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vier\Desktop\COLEGIOS\5-PABLO VI\BLOQUE A1\"/>
    </mc:Choice>
  </mc:AlternateContent>
  <bookViews>
    <workbookView xWindow="0" yWindow="900" windowWidth="20520" windowHeight="7770"/>
  </bookViews>
  <sheets>
    <sheet name="Cálculos Diseño Viguetas" sheetId="1" r:id="rId1"/>
  </sheets>
  <calcPr calcId="152511"/>
</workbook>
</file>

<file path=xl/calcChain.xml><?xml version="1.0" encoding="utf-8"?>
<calcChain xmlns="http://schemas.openxmlformats.org/spreadsheetml/2006/main">
  <c r="F21" i="1" l="1"/>
  <c r="F22" i="1" s="1"/>
  <c r="F14" i="1"/>
  <c r="K28" i="1"/>
  <c r="K27" i="1"/>
  <c r="K26" i="1"/>
  <c r="K25" i="1"/>
  <c r="K24" i="1"/>
  <c r="K23" i="1"/>
  <c r="K22" i="1"/>
  <c r="K21" i="1"/>
  <c r="K20" i="1"/>
  <c r="K16" i="1"/>
  <c r="L16" i="1" s="1"/>
  <c r="K15" i="1"/>
  <c r="L15" i="1" s="1"/>
  <c r="K14" i="1"/>
  <c r="L14" i="1" s="1"/>
  <c r="K13" i="1"/>
  <c r="L13" i="1" s="1"/>
  <c r="B22" i="1"/>
  <c r="K12" i="1"/>
  <c r="L12" i="1" s="1"/>
  <c r="B21" i="1"/>
  <c r="K11" i="1"/>
  <c r="L11" i="1" s="1"/>
  <c r="K10" i="1"/>
  <c r="L10" i="1" s="1"/>
  <c r="K9" i="1"/>
  <c r="L9" i="1" s="1"/>
  <c r="K8" i="1"/>
  <c r="L8" i="1" s="1"/>
  <c r="K7" i="1"/>
  <c r="L7" i="1" s="1"/>
  <c r="K6" i="1"/>
  <c r="L6" i="1" s="1"/>
  <c r="D6" i="1"/>
  <c r="B23" i="1" s="1"/>
  <c r="K5" i="1"/>
  <c r="L5" i="1" s="1"/>
  <c r="K4" i="1"/>
  <c r="L4" i="1" s="1"/>
  <c r="D17" i="1" l="1"/>
  <c r="B24" i="1"/>
  <c r="F11" i="1"/>
  <c r="D21" i="1"/>
  <c r="D22" i="1" s="1"/>
  <c r="D23" i="1" s="1"/>
  <c r="D16" i="1" s="1"/>
  <c r="B13" i="1" l="1"/>
  <c r="C12" i="1"/>
</calcChain>
</file>

<file path=xl/sharedStrings.xml><?xml version="1.0" encoding="utf-8"?>
<sst xmlns="http://schemas.openxmlformats.org/spreadsheetml/2006/main" count="54" uniqueCount="51">
  <si>
    <t>DATOS DE ENTRADA</t>
  </si>
  <si>
    <t>MATERIALES</t>
  </si>
  <si>
    <t>Fy =</t>
  </si>
  <si>
    <t>base =</t>
  </si>
  <si>
    <t>BARRA</t>
  </si>
  <si>
    <t>LONG. DESARROLLO</t>
  </si>
  <si>
    <t>TRASLAPO</t>
  </si>
  <si>
    <t>F'c =</t>
  </si>
  <si>
    <t>altura =</t>
  </si>
  <si>
    <t>FUERZAS</t>
  </si>
  <si>
    <t>rec. vertical =</t>
  </si>
  <si>
    <t>Momento último =</t>
  </si>
  <si>
    <t>d =</t>
  </si>
  <si>
    <t>Cortante apoyo =</t>
  </si>
  <si>
    <t>Base apoyo viga =</t>
  </si>
  <si>
    <t>REFUERZO</t>
  </si>
  <si>
    <t>A FLEXIÓN</t>
  </si>
  <si>
    <t>A CORTANTE</t>
  </si>
  <si>
    <t>Dist. donde (V=0) =</t>
  </si>
  <si>
    <t>Vc =</t>
  </si>
  <si>
    <t>ρmáx =</t>
  </si>
  <si>
    <t>Varilla a utilizar =</t>
  </si>
  <si>
    <t>Vd =</t>
  </si>
  <si>
    <t>(fi * Vc)/2 =</t>
  </si>
  <si>
    <t>ρmin =</t>
  </si>
  <si>
    <t>No. Varillas =</t>
  </si>
  <si>
    <t>Vu =</t>
  </si>
  <si>
    <t>dist. (fi * Vc)/2 =</t>
  </si>
  <si>
    <t>rec. lateral =</t>
  </si>
  <si>
    <t>Vs =</t>
  </si>
  <si>
    <t>bmin =</t>
  </si>
  <si>
    <t>FLEJES CONSTRUCTIVOS</t>
  </si>
  <si>
    <t>ρcalculada =</t>
  </si>
  <si>
    <t>Fleje a utilizar =</t>
  </si>
  <si>
    <t>Fy fleje =</t>
  </si>
  <si>
    <t>As requerido =</t>
  </si>
  <si>
    <t># Ramas =</t>
  </si>
  <si>
    <t>DIMENSIONES NOMINALES</t>
  </si>
  <si>
    <t>Designación</t>
  </si>
  <si>
    <t>Diámetro (in)</t>
  </si>
  <si>
    <t>Área (cm2)</t>
  </si>
  <si>
    <t>Perímetro (cm)</t>
  </si>
  <si>
    <t>Masa (Kg/m)</t>
  </si>
  <si>
    <t>Separación =</t>
  </si>
  <si>
    <t>S sugerida =</t>
  </si>
  <si>
    <t>CÁLCULOS FLEXIÓN</t>
  </si>
  <si>
    <t>CÁLCULOS CORTANTE</t>
  </si>
  <si>
    <t>Info. Adicional =</t>
  </si>
  <si>
    <t>No</t>
  </si>
  <si>
    <t>DISEÑO</t>
  </si>
  <si>
    <t>SECCIÓN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</si>
</sst>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\ &quot;Mpa&quot;"/>
    <numFmt numFmtId="165" formatCode="0.00\ &quot;m&quot;"/>
    <numFmt numFmtId="166" formatCode="General\ &quot;cm&quot;"/>
    <numFmt numFmtId="167" formatCode="&quot;No. &quot;General"/>
    <numFmt numFmtId="168" formatCode="0.000\ &quot;m&quot;"/>
    <numFmt numFmtId="169" formatCode="0.00000"/>
    <numFmt numFmtId="170" formatCode="0.00\ &quot;Ton.m&quot;"/>
    <numFmt numFmtId="171" formatCode="General\ &quot;Ton&quot;"/>
    <numFmt numFmtId="172" formatCode="0.00\ &quot;Mpa&quot;"/>
    <numFmt numFmtId="173" formatCode="0.00\ &quot;cm&quot;"/>
    <numFmt numFmtId="174" formatCode="0.00\ &quot;Ton&quot;"/>
    <numFmt numFmtId="175" formatCode="0.00\ &quot;cm2&quot;"/>
    <numFmt numFmtId="176" formatCode="0.000"/>
    <numFmt numFmtId="177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Gulim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7" fontId="0" fillId="0" borderId="14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9" fontId="0" fillId="0" borderId="0" xfId="0" applyNumberFormat="1" applyBorder="1" applyAlignment="1">
      <alignment horizontal="center" vertical="center"/>
    </xf>
    <xf numFmtId="167" fontId="0" fillId="0" borderId="17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172" fontId="0" fillId="0" borderId="12" xfId="0" applyNumberFormat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3" fontId="0" fillId="3" borderId="8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173" fontId="0" fillId="3" borderId="21" xfId="0" applyNumberForma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75" fontId="0" fillId="0" borderId="2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5" fontId="0" fillId="0" borderId="0" xfId="0" applyNumberForma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73" fontId="0" fillId="0" borderId="12" xfId="0" applyNumberFormat="1" applyBorder="1" applyAlignment="1">
      <alignment horizontal="center" vertical="center"/>
    </xf>
    <xf numFmtId="167" fontId="0" fillId="0" borderId="27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177" fontId="0" fillId="0" borderId="28" xfId="0" applyNumberForma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177" fontId="0" fillId="0" borderId="30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176" fontId="0" fillId="0" borderId="33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176" fontId="0" fillId="0" borderId="34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0" fillId="3" borderId="35" xfId="0" applyFill="1" applyBorder="1" applyAlignment="1">
      <alignment horizontal="center" vertical="center"/>
    </xf>
    <xf numFmtId="173" fontId="0" fillId="0" borderId="23" xfId="0" applyNumberForma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0" fillId="0" borderId="12" xfId="0" applyNumberForma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174" fontId="0" fillId="0" borderId="8" xfId="0" applyNumberFormat="1" applyFill="1" applyBorder="1" applyAlignment="1">
      <alignment horizontal="center" vertical="center"/>
    </xf>
    <xf numFmtId="172" fontId="0" fillId="0" borderId="8" xfId="0" applyNumberFormat="1" applyBorder="1" applyAlignment="1">
      <alignment horizontal="center" vertical="center"/>
    </xf>
    <xf numFmtId="172" fontId="0" fillId="0" borderId="23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64" fontId="0" fillId="5" borderId="8" xfId="0" applyNumberFormat="1" applyFill="1" applyBorder="1" applyAlignment="1">
      <alignment horizontal="center" vertical="center"/>
    </xf>
    <xf numFmtId="164" fontId="0" fillId="5" borderId="0" xfId="0" applyNumberFormat="1" applyFill="1" applyBorder="1" applyAlignment="1">
      <alignment horizontal="center" vertical="center"/>
    </xf>
    <xf numFmtId="167" fontId="0" fillId="5" borderId="8" xfId="0" applyNumberFormat="1" applyFill="1" applyBorder="1" applyAlignment="1">
      <alignment horizontal="center" vertical="center"/>
    </xf>
    <xf numFmtId="173" fontId="0" fillId="5" borderId="12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12" xfId="0" applyNumberFormat="1" applyFill="1" applyBorder="1" applyAlignment="1">
      <alignment horizontal="center" vertical="center"/>
    </xf>
    <xf numFmtId="168" fontId="0" fillId="5" borderId="12" xfId="0" applyNumberFormat="1" applyFill="1" applyBorder="1" applyAlignment="1">
      <alignment horizontal="center" vertical="center"/>
    </xf>
    <xf numFmtId="165" fontId="0" fillId="5" borderId="3" xfId="0" applyNumberFormat="1" applyFill="1" applyBorder="1" applyAlignment="1">
      <alignment horizontal="center" vertical="center"/>
    </xf>
    <xf numFmtId="164" fontId="0" fillId="5" borderId="12" xfId="0" applyNumberForma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170" fontId="0" fillId="5" borderId="8" xfId="0" applyNumberFormat="1" applyFill="1" applyBorder="1" applyAlignment="1">
      <alignment horizontal="center" vertical="center"/>
    </xf>
    <xf numFmtId="171" fontId="0" fillId="5" borderId="2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173" fontId="0" fillId="0" borderId="0" xfId="0" applyNumberForma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9">
    <dxf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numFmt numFmtId="178" formatCode=";;;"/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sqref="A1:F17"/>
    </sheetView>
  </sheetViews>
  <sheetFormatPr baseColWidth="10" defaultColWidth="9.140625" defaultRowHeight="15"/>
  <cols>
    <col min="1" max="1" width="22.28515625" style="1" bestFit="1" customWidth="1"/>
    <col min="2" max="2" width="12" style="1" bestFit="1" customWidth="1"/>
    <col min="3" max="3" width="19.42578125" style="1" bestFit="1" customWidth="1"/>
    <col min="4" max="4" width="19" style="1" bestFit="1" customWidth="1"/>
    <col min="5" max="5" width="20" style="1" hidden="1" customWidth="1"/>
    <col min="6" max="6" width="10.28515625" style="1" hidden="1" customWidth="1"/>
    <col min="7" max="7" width="18.28515625" style="1" bestFit="1" customWidth="1"/>
    <col min="8" max="8" width="13.42578125" style="1" customWidth="1"/>
    <col min="9" max="9" width="7.140625" style="1" hidden="1" customWidth="1"/>
    <col min="10" max="10" width="11.7109375" style="1" hidden="1" customWidth="1"/>
    <col min="11" max="11" width="18.85546875" style="1" hidden="1" customWidth="1"/>
    <col min="12" max="12" width="10.5703125" style="1" hidden="1" customWidth="1"/>
    <col min="13" max="13" width="14.42578125" style="1" hidden="1" customWidth="1"/>
    <col min="14" max="14" width="12.140625" style="1" hidden="1" customWidth="1"/>
    <col min="15" max="16384" width="9.140625" style="1"/>
  </cols>
  <sheetData>
    <row r="1" spans="1:12" ht="21.75" thickBot="1">
      <c r="A1" s="89" t="s">
        <v>0</v>
      </c>
      <c r="B1" s="90"/>
      <c r="C1" s="90"/>
      <c r="D1" s="91"/>
      <c r="F1" s="2"/>
      <c r="G1" s="2"/>
      <c r="H1" s="2"/>
    </row>
    <row r="2" spans="1:12" ht="16.5" thickBot="1">
      <c r="A2" s="92" t="s">
        <v>1</v>
      </c>
      <c r="B2" s="93"/>
      <c r="C2" s="92" t="s">
        <v>50</v>
      </c>
      <c r="D2" s="93"/>
      <c r="G2" s="2" t="s">
        <v>47</v>
      </c>
      <c r="H2" s="64" t="s">
        <v>48</v>
      </c>
    </row>
    <row r="3" spans="1:12" ht="16.5" thickBot="1">
      <c r="A3" s="4" t="s">
        <v>2</v>
      </c>
      <c r="B3" s="66">
        <v>420</v>
      </c>
      <c r="C3" s="4" t="s">
        <v>3</v>
      </c>
      <c r="D3" s="70">
        <v>1</v>
      </c>
      <c r="F3" s="54"/>
      <c r="G3" s="54"/>
      <c r="H3" s="3"/>
      <c r="J3" s="5" t="s">
        <v>4</v>
      </c>
      <c r="K3" s="6" t="s">
        <v>5</v>
      </c>
      <c r="L3" s="7" t="s">
        <v>6</v>
      </c>
    </row>
    <row r="4" spans="1:12" ht="15.75" thickBot="1">
      <c r="A4" s="8" t="s">
        <v>7</v>
      </c>
      <c r="B4" s="67">
        <v>21</v>
      </c>
      <c r="C4" s="9" t="s">
        <v>8</v>
      </c>
      <c r="D4" s="71">
        <v>0.15</v>
      </c>
      <c r="E4" s="53"/>
      <c r="H4" s="3"/>
      <c r="J4" s="10">
        <v>2</v>
      </c>
      <c r="K4" s="11">
        <f>((($B$3*10)*((J4/8)*2.54))/(6.6*SQRT($B$4*10)))/100</f>
        <v>0.27884921920697858</v>
      </c>
      <c r="L4" s="12">
        <f>K4*1.3</f>
        <v>0.36250398496907216</v>
      </c>
    </row>
    <row r="5" spans="1:12" ht="16.5" thickBot="1">
      <c r="A5" s="92" t="s">
        <v>9</v>
      </c>
      <c r="B5" s="94"/>
      <c r="C5" s="9" t="s">
        <v>10</v>
      </c>
      <c r="D5" s="72">
        <v>0.03</v>
      </c>
      <c r="F5" s="13"/>
      <c r="G5" s="2"/>
      <c r="H5" s="3"/>
      <c r="J5" s="14">
        <v>3</v>
      </c>
      <c r="K5" s="15">
        <f>((($B$3*10)*((J5/8)*2.54))/(6.6*SQRT($B$4*10)))/100</f>
        <v>0.41827382881046787</v>
      </c>
      <c r="L5" s="16">
        <f t="shared" ref="L5:L16" si="0">K5*1.3</f>
        <v>0.54375597745360826</v>
      </c>
    </row>
    <row r="6" spans="1:12">
      <c r="A6" s="4" t="s">
        <v>11</v>
      </c>
      <c r="B6" s="76">
        <v>1.42</v>
      </c>
      <c r="C6" s="9" t="s">
        <v>12</v>
      </c>
      <c r="D6" s="72">
        <f>D4-D5</f>
        <v>0.12</v>
      </c>
      <c r="F6" s="2"/>
      <c r="G6" s="2"/>
      <c r="H6" s="3"/>
      <c r="J6" s="14">
        <v>4</v>
      </c>
      <c r="K6" s="15">
        <f t="shared" ref="K6:K8" si="1">((($B$3*10)*((J6/8)*2.54))/(6.6*SQRT($B$4*10)))/100</f>
        <v>0.55769843841395716</v>
      </c>
      <c r="L6" s="16">
        <f t="shared" si="0"/>
        <v>0.72500796993814431</v>
      </c>
    </row>
    <row r="7" spans="1:12" ht="15.75" thickBot="1">
      <c r="A7" s="8" t="s">
        <v>13</v>
      </c>
      <c r="B7" s="77">
        <v>1.68</v>
      </c>
      <c r="C7" s="8" t="s">
        <v>14</v>
      </c>
      <c r="D7" s="73">
        <v>0.2</v>
      </c>
      <c r="E7" s="17"/>
      <c r="F7" s="2"/>
      <c r="G7" s="2"/>
      <c r="H7" s="2"/>
      <c r="J7" s="14">
        <v>5</v>
      </c>
      <c r="K7" s="15">
        <f t="shared" si="1"/>
        <v>0.69712304801744651</v>
      </c>
      <c r="L7" s="16">
        <f t="shared" si="0"/>
        <v>0.90625996242268048</v>
      </c>
    </row>
    <row r="8" spans="1:12" ht="15.75" thickBot="1">
      <c r="J8" s="14">
        <v>6</v>
      </c>
      <c r="K8" s="15">
        <f t="shared" si="1"/>
        <v>0.83654765762093575</v>
      </c>
      <c r="L8" s="16">
        <f t="shared" si="0"/>
        <v>1.0875119549072165</v>
      </c>
    </row>
    <row r="9" spans="1:12" ht="15.75" customHeight="1" thickBot="1">
      <c r="A9" s="95" t="s">
        <v>15</v>
      </c>
      <c r="B9" s="96"/>
      <c r="C9" s="96"/>
      <c r="D9" s="96"/>
      <c r="E9" s="96"/>
      <c r="F9" s="97"/>
      <c r="G9" s="57"/>
      <c r="H9" s="57"/>
      <c r="J9" s="14">
        <v>7</v>
      </c>
      <c r="K9" s="15">
        <f>((($B$3*10)*((J9/8)*2.54))/(5.3*SQRT($B$4*10)))/100</f>
        <v>1.2153616912606049</v>
      </c>
      <c r="L9" s="16">
        <f t="shared" si="0"/>
        <v>1.5799701986387864</v>
      </c>
    </row>
    <row r="10" spans="1:12" ht="16.5" thickBot="1">
      <c r="A10" s="83" t="s">
        <v>16</v>
      </c>
      <c r="B10" s="84"/>
      <c r="C10" s="83" t="s">
        <v>17</v>
      </c>
      <c r="D10" s="85"/>
      <c r="E10" s="85"/>
      <c r="F10" s="84"/>
      <c r="I10" s="2"/>
      <c r="J10" s="14">
        <v>8</v>
      </c>
      <c r="K10" s="15">
        <f t="shared" ref="K10:K16" si="2">((($B$3*10)*((J10/8)*2.54))/(5.3*SQRT($B$4*10)))/100</f>
        <v>1.3889847900121199</v>
      </c>
      <c r="L10" s="16">
        <f t="shared" si="0"/>
        <v>1.8056802270157559</v>
      </c>
    </row>
    <row r="11" spans="1:12" ht="16.5" thickBot="1">
      <c r="A11" s="83" t="s">
        <v>49</v>
      </c>
      <c r="B11" s="84"/>
      <c r="C11" s="18" t="s">
        <v>18</v>
      </c>
      <c r="D11" s="71">
        <v>2.2000000000000002</v>
      </c>
      <c r="E11" s="55" t="s">
        <v>27</v>
      </c>
      <c r="F11" s="63">
        <f>D11-(F22*D11/B7)</f>
        <v>1.8249380011568883</v>
      </c>
      <c r="I11" s="2"/>
      <c r="J11" s="14">
        <v>9</v>
      </c>
      <c r="K11" s="15">
        <f t="shared" si="2"/>
        <v>1.562607888763635</v>
      </c>
      <c r="L11" s="16">
        <f t="shared" si="0"/>
        <v>2.0313902553927257</v>
      </c>
    </row>
    <row r="12" spans="1:12" ht="16.5" thickBot="1">
      <c r="A12" s="27" t="s">
        <v>21</v>
      </c>
      <c r="B12" s="68">
        <v>4</v>
      </c>
      <c r="C12" s="83" t="str">
        <f>IF(F22&gt;D22,"FLEJES CONSTRUCTIVOS","FLEJES NECESARIOS")</f>
        <v>FLEJES CONSTRUCTIVOS</v>
      </c>
      <c r="D12" s="84"/>
      <c r="E12" s="83" t="s">
        <v>31</v>
      </c>
      <c r="F12" s="84"/>
      <c r="I12" s="2"/>
      <c r="J12" s="14">
        <v>10</v>
      </c>
      <c r="K12" s="15">
        <f t="shared" si="2"/>
        <v>1.7362309875151498</v>
      </c>
      <c r="L12" s="16">
        <f t="shared" si="0"/>
        <v>2.2571002837696947</v>
      </c>
    </row>
    <row r="13" spans="1:12">
      <c r="A13" s="18" t="s">
        <v>25</v>
      </c>
      <c r="B13" s="25">
        <f>ROUNDUP(B24/VLOOKUP(B12,$J$20:$N$28,3,FALSE),0)</f>
        <v>4</v>
      </c>
      <c r="C13" s="27" t="s">
        <v>33</v>
      </c>
      <c r="D13" s="68">
        <v>3</v>
      </c>
      <c r="E13" s="22" t="s">
        <v>33</v>
      </c>
      <c r="F13" s="68">
        <v>3</v>
      </c>
      <c r="I13" s="2"/>
      <c r="J13" s="14">
        <v>11</v>
      </c>
      <c r="K13" s="15">
        <f t="shared" si="2"/>
        <v>1.9098540862666651</v>
      </c>
      <c r="L13" s="16">
        <f t="shared" si="0"/>
        <v>2.4828103121466647</v>
      </c>
    </row>
    <row r="14" spans="1:12">
      <c r="A14" s="18" t="s">
        <v>28</v>
      </c>
      <c r="B14" s="69">
        <v>3</v>
      </c>
      <c r="C14" s="18" t="s">
        <v>34</v>
      </c>
      <c r="D14" s="74">
        <v>420</v>
      </c>
      <c r="E14" s="23" t="s">
        <v>34</v>
      </c>
      <c r="F14" s="58">
        <f>D14</f>
        <v>420</v>
      </c>
      <c r="I14" s="2"/>
      <c r="J14" s="14">
        <v>12</v>
      </c>
      <c r="K14" s="15">
        <f t="shared" si="2"/>
        <v>2.0834771850181801</v>
      </c>
      <c r="L14" s="16">
        <f t="shared" si="0"/>
        <v>2.7085203405236342</v>
      </c>
    </row>
    <row r="15" spans="1:12" ht="15.75" thickBot="1">
      <c r="A15" s="55" t="s">
        <v>30</v>
      </c>
      <c r="B15" s="56">
        <v>25</v>
      </c>
      <c r="C15" s="18" t="s">
        <v>36</v>
      </c>
      <c r="D15" s="75">
        <v>2</v>
      </c>
      <c r="E15" s="23" t="s">
        <v>36</v>
      </c>
      <c r="F15" s="75">
        <v>1</v>
      </c>
      <c r="I15" s="2"/>
      <c r="J15" s="14">
        <v>14</v>
      </c>
      <c r="K15" s="15">
        <f t="shared" si="2"/>
        <v>2.4307233825212098</v>
      </c>
      <c r="L15" s="16">
        <f t="shared" si="0"/>
        <v>3.1599403972775728</v>
      </c>
    </row>
    <row r="16" spans="1:12" ht="15.75" thickBot="1">
      <c r="A16" s="32"/>
      <c r="B16" s="78"/>
      <c r="C16" s="18" t="s">
        <v>43</v>
      </c>
      <c r="D16" s="37">
        <f>(($D$15*VLOOKUP(D13,$J$20:$N$28,3,FALSE))*$D$14)/(($D$3*100)*$D$23)</f>
        <v>-10.010698626551836</v>
      </c>
      <c r="I16" s="2"/>
      <c r="J16" s="28">
        <v>18</v>
      </c>
      <c r="K16" s="29">
        <f t="shared" si="2"/>
        <v>3.12521577752727</v>
      </c>
      <c r="L16" s="30">
        <f t="shared" si="0"/>
        <v>4.0627805107854513</v>
      </c>
    </row>
    <row r="17" spans="1:14" ht="15.75" thickBot="1">
      <c r="C17" s="55" t="s">
        <v>44</v>
      </c>
      <c r="D17" s="56">
        <f>($D$6/2)*100</f>
        <v>6</v>
      </c>
      <c r="E17" s="32"/>
      <c r="F17" s="43"/>
      <c r="I17" s="2"/>
    </row>
    <row r="18" spans="1:14" ht="15.75" thickBot="1">
      <c r="C18" s="32"/>
      <c r="D18" s="79"/>
      <c r="E18" s="2"/>
      <c r="F18" s="2"/>
      <c r="I18" s="2"/>
      <c r="J18" s="80" t="s">
        <v>37</v>
      </c>
      <c r="K18" s="81"/>
      <c r="L18" s="81"/>
      <c r="M18" s="81"/>
      <c r="N18" s="82"/>
    </row>
    <row r="19" spans="1:14" ht="15.75" thickBot="1">
      <c r="D19" s="33"/>
      <c r="I19" s="2"/>
      <c r="J19" s="34" t="s">
        <v>38</v>
      </c>
      <c r="K19" s="35" t="s">
        <v>39</v>
      </c>
      <c r="L19" s="35" t="s">
        <v>40</v>
      </c>
      <c r="M19" s="35" t="s">
        <v>41</v>
      </c>
      <c r="N19" s="36" t="s">
        <v>42</v>
      </c>
    </row>
    <row r="20" spans="1:14" ht="15.75" thickBot="1">
      <c r="A20" s="86" t="s">
        <v>45</v>
      </c>
      <c r="B20" s="88"/>
      <c r="C20" s="86" t="s">
        <v>46</v>
      </c>
      <c r="D20" s="87"/>
      <c r="E20" s="87"/>
      <c r="F20" s="88"/>
      <c r="I20" s="2"/>
      <c r="J20" s="38">
        <v>2</v>
      </c>
      <c r="K20" s="39">
        <f>1/4</f>
        <v>0.25</v>
      </c>
      <c r="L20" s="40">
        <v>0.32</v>
      </c>
      <c r="M20" s="41">
        <v>2</v>
      </c>
      <c r="N20" s="42">
        <v>0.25</v>
      </c>
    </row>
    <row r="21" spans="1:14">
      <c r="A21" s="20" t="s">
        <v>20</v>
      </c>
      <c r="B21" s="21">
        <f>0.75*(0.85*(IF($B$4&lt;28,0.85,IF(0.85-(($B$4-28)*0.05)/7&gt;=0.65,0.85-(($B$4-28)*0.05)/7,0.65)))*$B$4)/$B$3*((0.003/(0.003+$B$3/203900)))</f>
        <v>1.6064017519627796E-2</v>
      </c>
      <c r="C21" s="59" t="s">
        <v>22</v>
      </c>
      <c r="D21" s="60">
        <f>(-B7*(D7+2*(D6-D11)))/(2*D11)</f>
        <v>1.5119999999999998</v>
      </c>
      <c r="E21" s="59" t="s">
        <v>19</v>
      </c>
      <c r="F21" s="61">
        <f>SQRT($B$4)/6</f>
        <v>0.76376261582597327</v>
      </c>
      <c r="I21" s="2"/>
      <c r="J21" s="44">
        <v>3</v>
      </c>
      <c r="K21" s="45">
        <f>3/8</f>
        <v>0.375</v>
      </c>
      <c r="L21" s="46">
        <v>0.71</v>
      </c>
      <c r="M21" s="47">
        <v>3</v>
      </c>
      <c r="N21" s="48">
        <v>0.56000000000000005</v>
      </c>
    </row>
    <row r="22" spans="1:14">
      <c r="A22" s="18" t="s">
        <v>24</v>
      </c>
      <c r="B22" s="24">
        <f>1.4/B3</f>
        <v>3.3333333333333331E-3</v>
      </c>
      <c r="C22" s="18" t="s">
        <v>26</v>
      </c>
      <c r="D22" s="19">
        <f>((D21/100)/($D$3*$D$6))</f>
        <v>0.126</v>
      </c>
      <c r="E22" s="18" t="s">
        <v>23</v>
      </c>
      <c r="F22" s="19">
        <f>0.75*$F$21/2</f>
        <v>0.28641098093473999</v>
      </c>
      <c r="I22" s="2"/>
      <c r="J22" s="44">
        <v>4</v>
      </c>
      <c r="K22" s="45">
        <f>1/2</f>
        <v>0.5</v>
      </c>
      <c r="L22" s="46">
        <v>1.29</v>
      </c>
      <c r="M22" s="47">
        <v>4</v>
      </c>
      <c r="N22" s="48">
        <v>0.99399999999999999</v>
      </c>
    </row>
    <row r="23" spans="1:14" ht="15.75" thickBot="1">
      <c r="A23" s="18" t="s">
        <v>32</v>
      </c>
      <c r="B23" s="26">
        <f>(1/(B3/(0.85*B4)))*(1-SQRT(1-((2*(B3/(0.85*B4))*((B6/(D3*D6^2))*0.01))/(0.9*B3))))</f>
        <v>2.6941532186833114E-3</v>
      </c>
      <c r="C23" s="55" t="s">
        <v>29</v>
      </c>
      <c r="D23" s="62">
        <f>($D$22/0.75)-$F$21</f>
        <v>-0.59576261582597323</v>
      </c>
      <c r="I23" s="2"/>
      <c r="J23" s="44">
        <v>5</v>
      </c>
      <c r="K23" s="45">
        <f>5/8</f>
        <v>0.625</v>
      </c>
      <c r="L23" s="46">
        <v>1.99</v>
      </c>
      <c r="M23" s="47">
        <v>5</v>
      </c>
      <c r="N23" s="48">
        <v>1.552</v>
      </c>
    </row>
    <row r="24" spans="1:14">
      <c r="A24" s="18" t="s">
        <v>35</v>
      </c>
      <c r="B24" s="31">
        <f>(IF(AND(B23&lt;B21,B23&gt;B22),B23,IF(AND(B23&lt;B21,B23&lt;B22),B22,IF(AND(B23&gt;B21,B23&gt;B22),"Pasa la máxima",0))))*D3*D6*10000</f>
        <v>3.9999999999999996</v>
      </c>
      <c r="I24" s="2"/>
      <c r="J24" s="44">
        <v>6</v>
      </c>
      <c r="K24" s="45">
        <f>6/8</f>
        <v>0.75</v>
      </c>
      <c r="L24" s="46">
        <v>2.84</v>
      </c>
      <c r="M24" s="47">
        <v>6</v>
      </c>
      <c r="N24" s="48">
        <v>2.2349999999999999</v>
      </c>
    </row>
    <row r="25" spans="1:14">
      <c r="A25" s="65"/>
      <c r="B25" s="65"/>
      <c r="J25" s="44">
        <v>7</v>
      </c>
      <c r="K25" s="45">
        <f>7/8</f>
        <v>0.875</v>
      </c>
      <c r="L25" s="46">
        <v>3.87</v>
      </c>
      <c r="M25" s="47">
        <v>7</v>
      </c>
      <c r="N25" s="48">
        <v>3.0419999999999998</v>
      </c>
    </row>
    <row r="26" spans="1:14">
      <c r="A26" s="2"/>
      <c r="B26" s="43"/>
      <c r="J26" s="44">
        <v>8</v>
      </c>
      <c r="K26" s="45">
        <f>8/8</f>
        <v>1</v>
      </c>
      <c r="L26" s="46">
        <v>5.0999999999999996</v>
      </c>
      <c r="M26" s="47">
        <v>8</v>
      </c>
      <c r="N26" s="48">
        <v>3.9729999999999999</v>
      </c>
    </row>
    <row r="27" spans="1:14">
      <c r="B27" s="43"/>
      <c r="J27" s="44">
        <v>9</v>
      </c>
      <c r="K27" s="45">
        <f>9/8</f>
        <v>1.125</v>
      </c>
      <c r="L27" s="46">
        <v>6.45</v>
      </c>
      <c r="M27" s="47">
        <v>9</v>
      </c>
      <c r="N27" s="48">
        <v>5.0599999999999996</v>
      </c>
    </row>
    <row r="28" spans="1:14" ht="15.75" thickBot="1">
      <c r="B28" s="43"/>
      <c r="J28" s="49">
        <v>10</v>
      </c>
      <c r="K28" s="50">
        <f>10/8</f>
        <v>1.25</v>
      </c>
      <c r="L28" s="51">
        <v>8.19</v>
      </c>
      <c r="M28" s="51">
        <v>10.130000000000001</v>
      </c>
      <c r="N28" s="52">
        <v>6.4039999999999999</v>
      </c>
    </row>
    <row r="29" spans="1:14">
      <c r="B29" s="43"/>
    </row>
  </sheetData>
  <dataConsolidate/>
  <mergeCells count="13">
    <mergeCell ref="C20:F20"/>
    <mergeCell ref="A20:B20"/>
    <mergeCell ref="A11:B11"/>
    <mergeCell ref="A1:D1"/>
    <mergeCell ref="A2:B2"/>
    <mergeCell ref="C2:D2"/>
    <mergeCell ref="A5:B5"/>
    <mergeCell ref="A9:F9"/>
    <mergeCell ref="J18:N18"/>
    <mergeCell ref="A10:B10"/>
    <mergeCell ref="C10:F10"/>
    <mergeCell ref="C12:D12"/>
    <mergeCell ref="E12:F12"/>
  </mergeCells>
  <conditionalFormatting sqref="B15">
    <cfRule type="expression" dxfId="8" priority="10">
      <formula>$B$15&gt;($D$3*100)</formula>
    </cfRule>
    <cfRule type="expression" dxfId="7" priority="11">
      <formula>$B$15&lt;($D$3*100)</formula>
    </cfRule>
  </conditionalFormatting>
  <conditionalFormatting sqref="B23">
    <cfRule type="expression" dxfId="6" priority="6">
      <formula>$B$23&lt;$B$22</formula>
    </cfRule>
    <cfRule type="cellIs" dxfId="5" priority="7" operator="between">
      <formula>$B$22</formula>
      <formula>$B$21</formula>
    </cfRule>
    <cfRule type="expression" dxfId="4" priority="8">
      <formula>$B$23&gt;$B$21</formula>
    </cfRule>
  </conditionalFormatting>
  <conditionalFormatting sqref="A16:B16">
    <cfRule type="expression" dxfId="3" priority="3">
      <formula>$C$2&lt;&gt;"PLACA"</formula>
    </cfRule>
  </conditionalFormatting>
  <conditionalFormatting sqref="E12:F15">
    <cfRule type="expression" dxfId="2" priority="32">
      <formula>$F$22&gt;$D$22</formula>
    </cfRule>
  </conditionalFormatting>
  <conditionalFormatting sqref="C20:D28 E20:F27 A20:B24">
    <cfRule type="expression" dxfId="1" priority="2">
      <formula>$H$2="No"</formula>
    </cfRule>
  </conditionalFormatting>
  <conditionalFormatting sqref="A11:B11">
    <cfRule type="expression" dxfId="0" priority="43">
      <formula>#REF!&gt;$B$21</formula>
    </cfRule>
  </conditionalFormatting>
  <dataValidations count="6">
    <dataValidation operator="greaterThan" allowBlank="1" showInputMessage="1" showErrorMessage="1" errorTitle="Error" error="La cuantía calculada supera la cuantía máxima. Se recomienda cambiar la resistencia (f'c) del concreto o cambiar la sección." sqref="B23"/>
    <dataValidation type="list" allowBlank="1" showInputMessage="1" showErrorMessage="1" sqref="D13 F13">
      <formula1>$J$20:$J$22</formula1>
    </dataValidation>
    <dataValidation type="list" allowBlank="1" showInputMessage="1" showErrorMessage="1" sqref="B3 D14">
      <formula1>"240,420"</formula1>
    </dataValidation>
    <dataValidation type="list" allowBlank="1" showInputMessage="1" showErrorMessage="1" sqref="B12">
      <formula1>$J$20:$J$28</formula1>
    </dataValidation>
    <dataValidation type="list" allowBlank="1" showInputMessage="1" showErrorMessage="1" sqref="B4">
      <formula1>"21,28,35,40"</formula1>
    </dataValidation>
    <dataValidation type="list" allowBlank="1" showInputMessage="1" showErrorMessage="1" sqref="H2">
      <formula1>"Sí, No"</formula1>
    </dataValidation>
  </dataValidations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Cálculos Diseño Viguetas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Javier</cp:lastModifiedBy>
  <dcterms:created xsi:type="dcterms:W3CDTF">2011-02-21T14:50:21Z</dcterms:created>
  <dcterms:modified xsi:type="dcterms:W3CDTF">2016-11-11T21:46:15Z</dcterms:modified>
</cp:coreProperties>
</file>