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YECTOS\70-COLEGIOS GRUPO 9\70-A-INEM SEDE CENTRAL-PASTO\ARQUITECTURA\"/>
    </mc:Choice>
  </mc:AlternateContent>
  <bookViews>
    <workbookView xWindow="6930" yWindow="-15" windowWidth="14670" windowHeight="9810" tabRatio="812" activeTab="3"/>
  </bookViews>
  <sheets>
    <sheet name="ÁREAS CONTRATADAS-PROYECTADAS" sheetId="1" r:id="rId1"/>
    <sheet name="LOTE vs MATRICULA" sheetId="4" r:id="rId2"/>
    <sheet name="MATRICULA" sheetId="2" r:id="rId3"/>
    <sheet name="DIAGNOSTICO ÁREAS" sheetId="3" r:id="rId4"/>
  </sheets>
  <definedNames>
    <definedName name="_xlnm.Print_Area" localSheetId="0">'ÁREAS CONTRATADAS-PROYECTADAS'!$A$1:$J$15</definedName>
    <definedName name="_xlnm.Print_Area" localSheetId="3">'DIAGNOSTICO ÁREAS'!$A$1:$N$113</definedName>
  </definedNames>
  <calcPr calcId="152511"/>
</workbook>
</file>

<file path=xl/calcChain.xml><?xml version="1.0" encoding="utf-8"?>
<calcChain xmlns="http://schemas.openxmlformats.org/spreadsheetml/2006/main">
  <c r="H13" i="1" l="1"/>
  <c r="H7" i="1" l="1"/>
  <c r="H9" i="1"/>
  <c r="H10" i="1" l="1"/>
  <c r="H15" i="1" l="1"/>
  <c r="H16" i="1"/>
  <c r="H8" i="1"/>
  <c r="E112" i="3" l="1"/>
  <c r="E111" i="3"/>
  <c r="C103" i="3"/>
  <c r="E103" i="3" s="1"/>
  <c r="I103" i="3" s="1"/>
  <c r="C102" i="3"/>
  <c r="E102" i="3" s="1"/>
  <c r="C101" i="3"/>
  <c r="E101" i="3" s="1"/>
  <c r="C100" i="3"/>
  <c r="E100" i="3" s="1"/>
  <c r="C99" i="3"/>
  <c r="E99" i="3" s="1"/>
  <c r="I99" i="3" s="1"/>
  <c r="C98" i="3"/>
  <c r="E98" i="3" s="1"/>
  <c r="C97" i="3"/>
  <c r="E97" i="3" s="1"/>
  <c r="C96" i="3"/>
  <c r="E96" i="3" s="1"/>
  <c r="C95" i="3"/>
  <c r="E95" i="3" s="1"/>
  <c r="I95" i="3" s="1"/>
  <c r="C94" i="3"/>
  <c r="E94" i="3" s="1"/>
  <c r="C93" i="3"/>
  <c r="E93" i="3" s="1"/>
  <c r="F103" i="3"/>
  <c r="F102" i="3"/>
  <c r="F101" i="3"/>
  <c r="F100" i="3"/>
  <c r="F99" i="3"/>
  <c r="F98" i="3"/>
  <c r="F97" i="3"/>
  <c r="F96" i="3"/>
  <c r="F95" i="3"/>
  <c r="F94" i="3"/>
  <c r="F93" i="3"/>
  <c r="I96" i="3" l="1"/>
  <c r="I100" i="3"/>
  <c r="I93" i="3"/>
  <c r="I97" i="3"/>
  <c r="I101" i="3"/>
  <c r="G95" i="3"/>
  <c r="G103" i="3"/>
  <c r="G99" i="3"/>
  <c r="G101" i="3"/>
  <c r="G96" i="3"/>
  <c r="G100" i="3"/>
  <c r="G93" i="3"/>
  <c r="G97" i="3"/>
  <c r="I94" i="3"/>
  <c r="G94" i="3"/>
  <c r="I98" i="3"/>
  <c r="G98" i="3"/>
  <c r="I102" i="3"/>
  <c r="G102" i="3"/>
  <c r="I42" i="3"/>
  <c r="G41" i="3"/>
  <c r="G40" i="3"/>
  <c r="G39" i="3"/>
  <c r="E9" i="3"/>
  <c r="E8" i="3"/>
  <c r="E7" i="3"/>
  <c r="F14" i="3"/>
  <c r="I14" i="3" s="1"/>
  <c r="J14" i="3"/>
  <c r="K14" i="3" s="1"/>
  <c r="J15" i="3"/>
  <c r="K15" i="3" s="1"/>
  <c r="J16" i="3"/>
  <c r="K16" i="3" s="1"/>
  <c r="J17" i="3"/>
  <c r="K17" i="3" s="1"/>
  <c r="J18" i="3"/>
  <c r="K18" i="3" s="1"/>
  <c r="F72" i="3"/>
  <c r="F74" i="3"/>
  <c r="F73" i="3"/>
  <c r="F71" i="3"/>
  <c r="F70" i="3"/>
  <c r="F69" i="3"/>
  <c r="F68" i="3"/>
  <c r="F67" i="3"/>
  <c r="F66" i="3"/>
  <c r="F65" i="3"/>
  <c r="F64" i="3"/>
  <c r="C71" i="3"/>
  <c r="E71" i="3" s="1"/>
  <c r="I71" i="3" s="1"/>
  <c r="C74" i="3"/>
  <c r="E74" i="3" s="1"/>
  <c r="C73" i="3"/>
  <c r="E73" i="3" s="1"/>
  <c r="C72" i="3"/>
  <c r="E72" i="3" s="1"/>
  <c r="C70" i="3"/>
  <c r="E70" i="3" s="1"/>
  <c r="C69" i="3"/>
  <c r="E69" i="3" s="1"/>
  <c r="C68" i="3"/>
  <c r="E68" i="3" s="1"/>
  <c r="C67" i="3"/>
  <c r="E67" i="3" s="1"/>
  <c r="C66" i="3"/>
  <c r="E66" i="3" s="1"/>
  <c r="C65" i="3"/>
  <c r="E65" i="3" s="1"/>
  <c r="C64" i="3"/>
  <c r="E64" i="3" s="1"/>
  <c r="G42" i="3" l="1"/>
  <c r="J42" i="3" s="1"/>
  <c r="L39" i="3" s="1"/>
  <c r="I18" i="3"/>
  <c r="I15" i="3"/>
  <c r="I69" i="3"/>
  <c r="I16" i="3"/>
  <c r="I17" i="3"/>
  <c r="I72" i="3"/>
  <c r="I65" i="3"/>
  <c r="G67" i="3"/>
  <c r="G71" i="3"/>
  <c r="I67" i="3"/>
  <c r="I66" i="3"/>
  <c r="G66" i="3"/>
  <c r="G64" i="3"/>
  <c r="I64" i="3"/>
  <c r="I68" i="3"/>
  <c r="G68" i="3"/>
  <c r="I73" i="3"/>
  <c r="G73" i="3"/>
  <c r="G74" i="3"/>
  <c r="I74" i="3"/>
  <c r="I70" i="3"/>
  <c r="G70" i="3"/>
  <c r="G69" i="3"/>
  <c r="G65" i="3"/>
  <c r="G72" i="3"/>
  <c r="M25" i="3" l="1"/>
  <c r="J19" i="3"/>
  <c r="K19" i="3" s="1"/>
  <c r="J20" i="3"/>
  <c r="K20" i="3" s="1"/>
  <c r="J21" i="3"/>
  <c r="K21" i="3" s="1"/>
  <c r="J22" i="3"/>
  <c r="K22" i="3" s="1"/>
  <c r="J23" i="3"/>
  <c r="K23" i="3" s="1"/>
  <c r="J24" i="3"/>
  <c r="K24" i="3" s="1"/>
  <c r="L25" i="3"/>
  <c r="E34" i="3" s="1"/>
  <c r="H25" i="3"/>
  <c r="B2" i="3"/>
  <c r="B2" i="2"/>
  <c r="B3" i="3"/>
  <c r="B3" i="2"/>
  <c r="E35" i="3" l="1"/>
  <c r="K42" i="3"/>
  <c r="M39" i="3" s="1"/>
  <c r="I24" i="3"/>
  <c r="I20" i="3"/>
  <c r="F35" i="3"/>
  <c r="I35" i="3" s="1"/>
  <c r="K35" i="3"/>
  <c r="I23" i="3"/>
  <c r="I19" i="3"/>
  <c r="I22" i="3"/>
  <c r="I21" i="3"/>
  <c r="E15" i="1"/>
  <c r="F6" i="1"/>
  <c r="F19" i="4" l="1"/>
  <c r="G19" i="4" s="1"/>
  <c r="F18" i="4"/>
  <c r="G18" i="4" s="1"/>
  <c r="F17" i="4"/>
  <c r="G17" i="4" s="1"/>
  <c r="F16" i="4"/>
  <c r="G16" i="4" s="1"/>
  <c r="F15" i="4"/>
  <c r="G15" i="4" s="1"/>
  <c r="F14" i="4"/>
  <c r="G14" i="4" s="1"/>
  <c r="G13" i="4"/>
  <c r="F13" i="4"/>
  <c r="F12" i="4"/>
  <c r="G12" i="4" s="1"/>
  <c r="F11" i="4"/>
  <c r="G11" i="4" s="1"/>
  <c r="I17" i="2"/>
  <c r="I18" i="2"/>
  <c r="J22" i="2"/>
  <c r="H12" i="2"/>
  <c r="I12" i="2" s="1"/>
  <c r="H13" i="2"/>
  <c r="I13" i="2" s="1"/>
  <c r="H14" i="2"/>
  <c r="I14" i="2" s="1"/>
  <c r="H15" i="2"/>
  <c r="I15" i="2" s="1"/>
  <c r="H16" i="2"/>
  <c r="I16" i="2" s="1"/>
  <c r="H17" i="2"/>
  <c r="H18" i="2"/>
  <c r="H19" i="2"/>
  <c r="I19" i="2" s="1"/>
  <c r="H20" i="2"/>
  <c r="I20" i="2" s="1"/>
  <c r="H21" i="2"/>
  <c r="I21" i="2" s="1"/>
  <c r="H11" i="2"/>
  <c r="I11" i="2" s="1"/>
  <c r="H10" i="2"/>
  <c r="I10" i="2" s="1"/>
  <c r="I22" i="2" s="1"/>
  <c r="E22" i="2"/>
  <c r="H22" i="2" l="1"/>
</calcChain>
</file>

<file path=xl/sharedStrings.xml><?xml version="1.0" encoding="utf-8"?>
<sst xmlns="http://schemas.openxmlformats.org/spreadsheetml/2006/main" count="248" uniqueCount="174">
  <si>
    <t>AULAS DE CLASE</t>
  </si>
  <si>
    <t>PROG. CONT.</t>
  </si>
  <si>
    <t>PROG. PROY.</t>
  </si>
  <si>
    <t>CANT.</t>
  </si>
  <si>
    <t>ÁREA CONT.</t>
  </si>
  <si>
    <t>CIRCULACIÓN CUBIERTAS ABIERTAS</t>
  </si>
  <si>
    <t>DIF %</t>
  </si>
  <si>
    <t>ÁREA CONSTRUIDA CUBIERTA CONTRACTUAL</t>
  </si>
  <si>
    <t>ÁREA CONSTRUIDA CUBIERTA PROYECTADA</t>
  </si>
  <si>
    <t>LOCALIZACIÓN</t>
  </si>
  <si>
    <t>INSTITUCIÓN EDUCATIVA</t>
  </si>
  <si>
    <t>BATERÍAS SANITARIAS</t>
  </si>
  <si>
    <t>ESCALERA CONTRAPISO</t>
  </si>
  <si>
    <t>CONVENCIONES</t>
  </si>
  <si>
    <t>ÁREAS CONSTRUIDAS CUBIERTAS</t>
  </si>
  <si>
    <t>ÁREAS CONSTRUIDAS DESCUBIERTAS</t>
  </si>
  <si>
    <t>ÁREAS MENORES AL CONTRATADO</t>
  </si>
  <si>
    <t>ÁREAS MAYORES AL CONTRATADO</t>
  </si>
  <si>
    <t>FECHA</t>
  </si>
  <si>
    <t>INF. EXTRAIDA DE:</t>
  </si>
  <si>
    <t>SEDE PRINCIPAL</t>
  </si>
  <si>
    <t>SECTOR</t>
  </si>
  <si>
    <t>CANTIDAD GRADOS</t>
  </si>
  <si>
    <t>GRADOS</t>
  </si>
  <si>
    <t>N° ESTUDIANTES</t>
  </si>
  <si>
    <t>JORNADA</t>
  </si>
  <si>
    <t>PRE-ESCOLAR</t>
  </si>
  <si>
    <t>Transición</t>
  </si>
  <si>
    <t>EDUCACIÓN BASICA PRIMARIA</t>
  </si>
  <si>
    <t>Primero</t>
  </si>
  <si>
    <t>Segundo</t>
  </si>
  <si>
    <t>Tercero</t>
  </si>
  <si>
    <t xml:space="preserve">Cuarto </t>
  </si>
  <si>
    <t>Quinto</t>
  </si>
  <si>
    <t>EDUCACIÓN BASICA SECUNDARIA</t>
  </si>
  <si>
    <t>Sexto</t>
  </si>
  <si>
    <t>Séptimo</t>
  </si>
  <si>
    <t>Octavo</t>
  </si>
  <si>
    <t>Noveno</t>
  </si>
  <si>
    <t>EDUCACIÓN BASICA MEDIA</t>
  </si>
  <si>
    <t>Decimo</t>
  </si>
  <si>
    <t>Once</t>
  </si>
  <si>
    <t>TOTALES</t>
  </si>
  <si>
    <t>CANT. AULAS x GRADO</t>
  </si>
  <si>
    <t>Mañana</t>
  </si>
  <si>
    <t>AMBIENTES DEL PROYECTO (NORMA)</t>
  </si>
  <si>
    <t>ÁREAS PROYECTADAS</t>
  </si>
  <si>
    <t>CANT. MATRICULA</t>
  </si>
  <si>
    <t>ÁREA REQUERIDA (m2)</t>
  </si>
  <si>
    <t>ÁREA UTIL PROYECTADA</t>
  </si>
  <si>
    <t>ÁREA (m2/ESTUDIANTE)</t>
  </si>
  <si>
    <t>CUMPLE / NO CUMPLE</t>
  </si>
  <si>
    <t>AMBIENTE COMPLEMENTARIOS</t>
  </si>
  <si>
    <t>N° MAX. ALUM. x AULA</t>
  </si>
  <si>
    <t>m2</t>
  </si>
  <si>
    <t>ÁREA LOTE</t>
  </si>
  <si>
    <t>TABLA 1. TAMAÑO DE LOTES Y ÁREAS LIBRES</t>
  </si>
  <si>
    <t>Máxima capacidad estudiantes/jornada</t>
  </si>
  <si>
    <t>N° de pisos a construir</t>
  </si>
  <si>
    <t>Área útil mínima de lote (m2 por estudiante)</t>
  </si>
  <si>
    <t>Área lotes requeridos</t>
  </si>
  <si>
    <t>Área lote vs Matricula posible</t>
  </si>
  <si>
    <t xml:space="preserve">3 y 4 </t>
  </si>
  <si>
    <t>CONCLUSIÓN</t>
  </si>
  <si>
    <t>Según el área del lote de la institución, la matricula es para 480 alumnos en uno o hasta cuatro piso,  y 960 alumnos desarrollado en tres y cuatro pisos como condición</t>
  </si>
  <si>
    <t>DIFERENCIA ÁREA</t>
  </si>
  <si>
    <t>INEM - PASTO</t>
  </si>
  <si>
    <t>ÁREA PROY.</t>
  </si>
  <si>
    <t>DIF M2</t>
  </si>
  <si>
    <t>MUNICIPIO PASTO, NARIÑO</t>
  </si>
  <si>
    <t>I.E.M. LUIS DELFIN INSUASTY RODRIGUEZ INEM PASTO SEDE CENTRAL</t>
  </si>
  <si>
    <t xml:space="preserve">AULAS DE CLASE </t>
  </si>
  <si>
    <t>CIRCULACIÓN CUBIERTAS ABIERTAS (PRIMER PISO)</t>
  </si>
  <si>
    <t>RAMPA ELEVADA</t>
  </si>
  <si>
    <t>ESCALERA ELEVADA</t>
  </si>
  <si>
    <t>ANDENES PERIMETRALES</t>
  </si>
  <si>
    <t>ÁREA CONSTRUIDA DESCUBIERTA PROYECTADA</t>
  </si>
  <si>
    <t>TOMADO DE ESCRITURA PÚBLICA Y CERTIFICADO DE TRADICIÓN</t>
  </si>
  <si>
    <t>GRUPO 9</t>
  </si>
  <si>
    <t>AMBIENTE "A"</t>
  </si>
  <si>
    <t>NUMERO MAX. DE ESTU/MAESTRO</t>
  </si>
  <si>
    <t>CANT EST. x AULA</t>
  </si>
  <si>
    <t>N° AULA</t>
  </si>
  <si>
    <t>BASICA Y MEDIA (6-16 años)</t>
  </si>
  <si>
    <t>TOTAL</t>
  </si>
  <si>
    <t>CAPACIDAD EST/APARATO</t>
  </si>
  <si>
    <t>APARATOS</t>
  </si>
  <si>
    <t>APARATOS PROYECTADOS</t>
  </si>
  <si>
    <t>BAÑOS ESCOLARES</t>
  </si>
  <si>
    <t>SIN SIMAT</t>
  </si>
  <si>
    <t>CIRCULACIÓN CUBIERTA ABIERTA ELEVADA (SEGUNDO PISO)</t>
  </si>
  <si>
    <t>CUARTO TECNICO</t>
  </si>
  <si>
    <t xml:space="preserve"> </t>
  </si>
  <si>
    <t>ÁREA REJILLA</t>
  </si>
  <si>
    <t>DIFERENCIA</t>
  </si>
  <si>
    <t>ÁREA VENTANAS</t>
  </si>
  <si>
    <t>V1</t>
  </si>
  <si>
    <t>V2</t>
  </si>
  <si>
    <t>V3</t>
  </si>
  <si>
    <t>V4</t>
  </si>
  <si>
    <t>V5</t>
  </si>
  <si>
    <t>V6</t>
  </si>
  <si>
    <t>V5A</t>
  </si>
  <si>
    <t>V5B</t>
  </si>
  <si>
    <t>ÁREA EFECTIVA TOTAL</t>
  </si>
  <si>
    <t>EXIGIDO</t>
  </si>
  <si>
    <t>CUMPLE/NO CUMPLE</t>
  </si>
  <si>
    <t xml:space="preserve">  </t>
  </si>
  <si>
    <t>AMBIENTE</t>
  </si>
  <si>
    <t>NORMA: NTC 4595</t>
  </si>
  <si>
    <t># MÁXIMO DE ESTUDIANTES/ MAESTRO</t>
  </si>
  <si>
    <t>ÁREA (M2/ESTUDIANTE)</t>
  </si>
  <si>
    <t>ÁREA TOTAL</t>
  </si>
  <si>
    <t>BÁSICA  Y MEDIA</t>
  </si>
  <si>
    <t>ESPECIAL</t>
  </si>
  <si>
    <t>AULA 1</t>
  </si>
  <si>
    <t>AULA 2</t>
  </si>
  <si>
    <t>AULA 3</t>
  </si>
  <si>
    <t>AULA 4</t>
  </si>
  <si>
    <t>AULA 5</t>
  </si>
  <si>
    <t>AULA 6</t>
  </si>
  <si>
    <t>AULA 7</t>
  </si>
  <si>
    <t>AULA 8</t>
  </si>
  <si>
    <t>AULA 9</t>
  </si>
  <si>
    <t>AULA 10</t>
  </si>
  <si>
    <t>AULA 11</t>
  </si>
  <si>
    <t>8.2.2</t>
  </si>
  <si>
    <t>8.2 COMODIDAD VISUAL</t>
  </si>
  <si>
    <t>"Las aberturas para acceso de luz deben totalizar un área efectiva equivalente a 1/3 del área del piso del espacio servido en zonas climáticas templada y fría"</t>
  </si>
  <si>
    <t>TABLA 5. ÁREAS PARA SERVICIOS SANITARIOS</t>
  </si>
  <si>
    <t>TABLA 2. ÁREAS PARA AMBIENTES A</t>
  </si>
  <si>
    <t>TIPO</t>
  </si>
  <si>
    <t>CAPACIDAD (ESTUDIANTE/APARATO)</t>
  </si>
  <si>
    <t>ÁREA (M2/APARATO)</t>
  </si>
  <si>
    <t>ESCOLARES</t>
  </si>
  <si>
    <t>15 NIÑAS(O)S</t>
  </si>
  <si>
    <t>25 NIÑA(O)S</t>
  </si>
  <si>
    <t>BATERIA 1</t>
  </si>
  <si>
    <t>BATERIA 2</t>
  </si>
  <si>
    <t>BATERIA 3</t>
  </si>
  <si>
    <t>ESPACIO</t>
  </si>
  <si>
    <t xml:space="preserve">UBICACIÓN </t>
  </si>
  <si>
    <t>MÓDULO A</t>
  </si>
  <si>
    <t>MÓDULO B PISO 1</t>
  </si>
  <si>
    <t>MÓDULO B PISO 2</t>
  </si>
  <si>
    <t>APARATOS NIÑAS</t>
  </si>
  <si>
    <t>APARATOS NIÑOS</t>
  </si>
  <si>
    <t>A. MOVILIDAD R.</t>
  </si>
  <si>
    <t>TOTAL APARATOS</t>
  </si>
  <si>
    <t>ÁREA BATERIA</t>
  </si>
  <si>
    <t>-</t>
  </si>
  <si>
    <t>ÁREA EXIGIDA</t>
  </si>
  <si>
    <t>APARATOS EXIGIDOS</t>
  </si>
  <si>
    <t>CUMPLE/NO ÁREA</t>
  </si>
  <si>
    <t>CUMPLE/NO APARATOS</t>
  </si>
  <si>
    <t>FRIA/TEMPLADA</t>
  </si>
  <si>
    <t>CÁLIDA SECA</t>
  </si>
  <si>
    <t>CÁLIDA HÚMEDA</t>
  </si>
  <si>
    <t>AMBIENTE A</t>
  </si>
  <si>
    <t>DE 1/15 A 1/12 DEL ÁREA DE LA PLANTA</t>
  </si>
  <si>
    <t>1/9 DEL ÁREA</t>
  </si>
  <si>
    <t>1/6 DEL ÁREA</t>
  </si>
  <si>
    <t>ÁREA APERTURAS</t>
  </si>
  <si>
    <t>REJILLA PUERTA P1</t>
  </si>
  <si>
    <t>REJILLA PUERTA P2</t>
  </si>
  <si>
    <t>ÁREAS EFECTIVAS DE ILUMINACIÓN AMBIENTES "A"</t>
  </si>
  <si>
    <t xml:space="preserve"> TABLA 8. ÁREAS EFECTIVAS DE VENTILACIÓN AMBIENTES "A"</t>
  </si>
  <si>
    <t>TABLA 9. ALTURA MÍNIMA DE PISO, EN METROS.</t>
  </si>
  <si>
    <t>FRÍA/TEMPLADA</t>
  </si>
  <si>
    <t>CÁLIDA HUMEDA</t>
  </si>
  <si>
    <t>BATERIAS SANITARIAS</t>
  </si>
  <si>
    <t>ALTURA EXIGIDA</t>
  </si>
  <si>
    <t>ALTURA PROYECTADA</t>
  </si>
  <si>
    <t xml:space="preserve">AMBIENTE 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</si>
</sst>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sz val="11"/>
      <name val="Century Gothic"/>
      <family val="2"/>
    </font>
    <font>
      <b/>
      <sz val="11"/>
      <color rgb="FFFF0000"/>
      <name val="Century Gothic"/>
      <family val="2"/>
    </font>
    <font>
      <b/>
      <sz val="11"/>
      <color rgb="FF00B050"/>
      <name val="Century Gothic"/>
      <family val="2"/>
    </font>
    <font>
      <b/>
      <sz val="26"/>
      <color theme="1"/>
      <name val="Century Gothic"/>
      <family val="2"/>
    </font>
    <font>
      <b/>
      <sz val="11"/>
      <color theme="9" tint="-0.249977111117893"/>
      <name val="Century Gothic"/>
      <family val="2"/>
    </font>
    <font>
      <sz val="11"/>
      <color rgb="FF0033CC"/>
      <name val="Century Gothic"/>
      <family val="2"/>
    </font>
    <font>
      <b/>
      <sz val="16"/>
      <color theme="1"/>
      <name val="Century Gothic"/>
      <family val="2"/>
    </font>
    <font>
      <b/>
      <sz val="24"/>
      <color theme="1"/>
      <name val="Century Gothic"/>
      <family val="2"/>
    </font>
    <font>
      <b/>
      <sz val="12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9"/>
      <color theme="1"/>
      <name val="Century Gothic"/>
      <family val="2"/>
    </font>
    <font>
      <sz val="9"/>
      <color theme="1"/>
      <name val="Century Gothic"/>
      <family val="2"/>
    </font>
    <font>
      <sz val="9"/>
      <color rgb="FFFF0000"/>
      <name val="Century Gothic"/>
      <family val="2"/>
    </font>
    <font>
      <sz val="9"/>
      <name val="Century Gothic"/>
      <family val="2"/>
    </font>
    <font>
      <b/>
      <sz val="9"/>
      <name val="Century Gothic"/>
      <family val="2"/>
    </font>
    <font>
      <sz val="15.4"/>
      <color rgb="FF363636"/>
      <name val="Segoe UI Light"/>
      <family val="2"/>
    </font>
    <font>
      <sz val="10"/>
      <name val="Century Gothic"/>
      <family val="2"/>
    </font>
    <font>
      <b/>
      <sz val="10"/>
      <color rgb="FFFF0000"/>
      <name val="Century Gothic"/>
      <family val="2"/>
    </font>
    <font>
      <b/>
      <sz val="10"/>
      <name val="Century Gothic"/>
      <family val="2"/>
    </font>
    <font>
      <b/>
      <sz val="9"/>
      <color rgb="FFFF0000"/>
      <name val="Century Gothic"/>
      <family val="2"/>
    </font>
    <font>
      <sz val="11"/>
      <color theme="1"/>
      <name val="Calibri"/>
      <family val="2"/>
    </font>
    <font>
      <sz val="11"/>
      <color rgb="FFFF0000"/>
      <name val="Century Gothic"/>
      <family val="2"/>
    </font>
    <font>
      <b/>
      <sz val="11"/>
      <color rgb="FF0000FF"/>
      <name val="Century Gothic"/>
      <family val="2"/>
    </font>
    <font>
      <b/>
      <sz val="11"/>
      <color rgb="FF0070C0"/>
      <name val="Century Gothic"/>
      <family val="2"/>
    </font>
    <font>
      <b/>
      <sz val="11"/>
      <name val="Century Gothic"/>
      <family val="2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entury Gothic"/>
      <family val="2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4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10" fontId="4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0" fontId="4" fillId="0" borderId="0" xfId="0" applyNumberFormat="1" applyFont="1" applyBorder="1" applyAlignment="1">
      <alignment horizontal="center" vertical="center"/>
    </xf>
    <xf numFmtId="10" fontId="3" fillId="0" borderId="0" xfId="0" applyNumberFormat="1" applyFont="1" applyBorder="1" applyAlignment="1">
      <alignment horizontal="center" vertical="center"/>
    </xf>
    <xf numFmtId="1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1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2" fontId="5" fillId="0" borderId="1" xfId="0" applyNumberFormat="1" applyFont="1" applyBorder="1" applyAlignment="1">
      <alignment horizontal="center" vertical="center"/>
    </xf>
    <xf numFmtId="10" fontId="5" fillId="0" borderId="12" xfId="0" applyNumberFormat="1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10" fontId="4" fillId="0" borderId="7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/>
    </xf>
    <xf numFmtId="0" fontId="11" fillId="0" borderId="15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3" fillId="0" borderId="0" xfId="0" applyFont="1" applyBorder="1" applyAlignment="1">
      <alignment horizontal="right" vertical="center" wrapText="1"/>
    </xf>
    <xf numFmtId="0" fontId="14" fillId="6" borderId="16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2" fillId="6" borderId="19" xfId="0" applyFont="1" applyFill="1" applyBorder="1"/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7" borderId="21" xfId="0" applyFont="1" applyFill="1" applyBorder="1" applyAlignment="1">
      <alignment horizontal="center" vertical="center"/>
    </xf>
    <xf numFmtId="0" fontId="15" fillId="7" borderId="15" xfId="0" applyFont="1" applyFill="1" applyBorder="1" applyAlignment="1">
      <alignment horizontal="center" vertical="center"/>
    </xf>
    <xf numFmtId="0" fontId="15" fillId="7" borderId="35" xfId="0" applyFont="1" applyFill="1" applyBorder="1" applyAlignment="1">
      <alignment horizontal="center" vertical="center"/>
    </xf>
    <xf numFmtId="0" fontId="15" fillId="7" borderId="3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left" vertical="center" wrapText="1"/>
    </xf>
    <xf numFmtId="0" fontId="14" fillId="0" borderId="13" xfId="0" applyFont="1" applyBorder="1" applyAlignment="1">
      <alignment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 wrapText="1"/>
    </xf>
    <xf numFmtId="0" fontId="15" fillId="0" borderId="3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3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1" fillId="7" borderId="0" xfId="0" applyFont="1" applyFill="1" applyBorder="1" applyAlignment="1">
      <alignment vertical="center"/>
    </xf>
    <xf numFmtId="0" fontId="15" fillId="7" borderId="0" xfId="0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vertical="center"/>
    </xf>
    <xf numFmtId="0" fontId="17" fillId="7" borderId="0" xfId="0" applyFont="1" applyFill="1" applyBorder="1" applyAlignment="1">
      <alignment horizontal="center" vertical="center"/>
    </xf>
    <xf numFmtId="0" fontId="15" fillId="7" borderId="0" xfId="0" applyFont="1" applyFill="1" applyBorder="1" applyAlignment="1">
      <alignment vertical="center"/>
    </xf>
    <xf numFmtId="0" fontId="15" fillId="7" borderId="0" xfId="0" applyFont="1" applyFill="1" applyBorder="1" applyAlignment="1">
      <alignment horizontal="center" vertical="center"/>
    </xf>
    <xf numFmtId="0" fontId="0" fillId="0" borderId="0" xfId="0" applyBorder="1"/>
    <xf numFmtId="0" fontId="14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2" fontId="0" fillId="0" borderId="0" xfId="0" applyNumberFormat="1"/>
    <xf numFmtId="0" fontId="19" fillId="0" borderId="0" xfId="0" applyFont="1"/>
    <xf numFmtId="0" fontId="0" fillId="7" borderId="0" xfId="0" applyFill="1" applyBorder="1"/>
    <xf numFmtId="0" fontId="12" fillId="7" borderId="0" xfId="0" applyFont="1" applyFill="1" applyBorder="1" applyAlignment="1">
      <alignment horizontal="left" vertical="center" wrapText="1"/>
    </xf>
    <xf numFmtId="0" fontId="15" fillId="7" borderId="0" xfId="0" applyFont="1" applyFill="1" applyBorder="1" applyAlignment="1">
      <alignment vertical="center" wrapText="1"/>
    </xf>
    <xf numFmtId="0" fontId="17" fillId="7" borderId="0" xfId="0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7" borderId="24" xfId="0" applyFont="1" applyFill="1" applyBorder="1" applyAlignment="1">
      <alignment horizontal="center" vertical="center"/>
    </xf>
    <xf numFmtId="0" fontId="17" fillId="7" borderId="40" xfId="0" applyFont="1" applyFill="1" applyBorder="1" applyAlignment="1">
      <alignment horizontal="center" vertical="center"/>
    </xf>
    <xf numFmtId="0" fontId="0" fillId="7" borderId="0" xfId="0" applyFill="1"/>
    <xf numFmtId="0" fontId="12" fillId="7" borderId="0" xfId="0" applyFont="1" applyFill="1" applyBorder="1"/>
    <xf numFmtId="0" fontId="13" fillId="7" borderId="0" xfId="0" applyFont="1" applyFill="1" applyBorder="1" applyAlignment="1">
      <alignment vertical="center"/>
    </xf>
    <xf numFmtId="0" fontId="20" fillId="7" borderId="17" xfId="0" applyFont="1" applyFill="1" applyBorder="1" applyAlignment="1">
      <alignment horizontal="center" vertical="center" wrapText="1"/>
    </xf>
    <xf numFmtId="2" fontId="12" fillId="7" borderId="18" xfId="0" applyNumberFormat="1" applyFont="1" applyFill="1" applyBorder="1" applyAlignment="1">
      <alignment horizontal="center" vertical="center"/>
    </xf>
    <xf numFmtId="2" fontId="20" fillId="7" borderId="17" xfId="0" applyNumberFormat="1" applyFont="1" applyFill="1" applyBorder="1" applyAlignment="1">
      <alignment horizontal="center" vertical="center"/>
    </xf>
    <xf numFmtId="2" fontId="20" fillId="7" borderId="0" xfId="0" applyNumberFormat="1" applyFont="1" applyFill="1" applyBorder="1" applyAlignment="1">
      <alignment horizontal="center" vertical="center"/>
    </xf>
    <xf numFmtId="0" fontId="12" fillId="7" borderId="0" xfId="0" applyFont="1" applyFill="1" applyBorder="1" applyAlignment="1"/>
    <xf numFmtId="0" fontId="12" fillId="7" borderId="0" xfId="0" applyFont="1" applyFill="1"/>
    <xf numFmtId="0" fontId="20" fillId="7" borderId="0" xfId="0" applyFont="1" applyFill="1" applyBorder="1" applyAlignment="1">
      <alignment vertical="center" wrapText="1"/>
    </xf>
    <xf numFmtId="0" fontId="20" fillId="7" borderId="0" xfId="0" applyFont="1" applyFill="1" applyBorder="1" applyAlignment="1">
      <alignment horizontal="center" vertical="center" wrapText="1"/>
    </xf>
    <xf numFmtId="2" fontId="12" fillId="7" borderId="0" xfId="0" applyNumberFormat="1" applyFont="1" applyFill="1" applyBorder="1" applyAlignment="1">
      <alignment horizontal="center" vertical="center"/>
    </xf>
    <xf numFmtId="0" fontId="15" fillId="0" borderId="30" xfId="0" applyFont="1" applyBorder="1" applyAlignment="1">
      <alignment vertical="center"/>
    </xf>
    <xf numFmtId="0" fontId="13" fillId="7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2" fontId="18" fillId="0" borderId="16" xfId="0" applyNumberFormat="1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 wrapText="1"/>
    </xf>
    <xf numFmtId="0" fontId="14" fillId="6" borderId="42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2" fontId="15" fillId="0" borderId="23" xfId="0" applyNumberFormat="1" applyFont="1" applyFill="1" applyBorder="1" applyAlignment="1">
      <alignment horizontal="center" vertical="center" wrapText="1"/>
    </xf>
    <xf numFmtId="2" fontId="15" fillId="0" borderId="35" xfId="0" applyNumberFormat="1" applyFont="1" applyFill="1" applyBorder="1" applyAlignment="1">
      <alignment horizontal="center" vertical="center" wrapText="1"/>
    </xf>
    <xf numFmtId="0" fontId="18" fillId="0" borderId="17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5" fillId="0" borderId="43" xfId="0" applyFont="1" applyBorder="1" applyAlignment="1">
      <alignment horizontal="center" vertical="center" wrapText="1"/>
    </xf>
    <xf numFmtId="2" fontId="14" fillId="0" borderId="24" xfId="0" applyNumberFormat="1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2" fontId="14" fillId="0" borderId="39" xfId="0" applyNumberFormat="1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2" fontId="14" fillId="0" borderId="40" xfId="0" applyNumberFormat="1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2" fillId="0" borderId="0" xfId="0" applyFont="1"/>
    <xf numFmtId="0" fontId="15" fillId="0" borderId="0" xfId="0" applyFont="1" applyAlignment="1">
      <alignment vertical="center" wrapText="1"/>
    </xf>
    <xf numFmtId="0" fontId="24" fillId="0" borderId="0" xfId="0" applyFont="1" applyFill="1" applyBorder="1"/>
    <xf numFmtId="2" fontId="23" fillId="0" borderId="32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2" fillId="0" borderId="46" xfId="0" applyFont="1" applyBorder="1" applyAlignment="1">
      <alignment horizontal="left"/>
    </xf>
    <xf numFmtId="2" fontId="1" fillId="0" borderId="47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/>
    </xf>
    <xf numFmtId="10" fontId="25" fillId="0" borderId="0" xfId="0" applyNumberFormat="1" applyFont="1" applyBorder="1" applyAlignment="1">
      <alignment horizontal="center" vertical="center"/>
    </xf>
    <xf numFmtId="2" fontId="1" fillId="0" borderId="4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/>
    </xf>
    <xf numFmtId="0" fontId="1" fillId="0" borderId="50" xfId="0" applyFont="1" applyBorder="1" applyAlignment="1">
      <alignment vertical="center"/>
    </xf>
    <xf numFmtId="2" fontId="1" fillId="0" borderId="51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left"/>
    </xf>
    <xf numFmtId="0" fontId="7" fillId="0" borderId="50" xfId="0" applyFont="1" applyBorder="1" applyAlignment="1">
      <alignment horizontal="center" vertical="center"/>
    </xf>
    <xf numFmtId="2" fontId="4" fillId="0" borderId="50" xfId="0" applyNumberFormat="1" applyFont="1" applyBorder="1" applyAlignment="1">
      <alignment horizontal="center" vertical="center"/>
    </xf>
    <xf numFmtId="10" fontId="4" fillId="0" borderId="52" xfId="0" applyNumberFormat="1" applyFont="1" applyBorder="1" applyAlignment="1">
      <alignment horizontal="center" vertical="center"/>
    </xf>
    <xf numFmtId="2" fontId="1" fillId="0" borderId="53" xfId="0" applyNumberFormat="1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10" fontId="27" fillId="0" borderId="0" xfId="0" applyNumberFormat="1" applyFont="1" applyBorder="1" applyAlignment="1">
      <alignment vertical="center"/>
    </xf>
    <xf numFmtId="10" fontId="27" fillId="0" borderId="0" xfId="0" applyNumberFormat="1" applyFont="1" applyBorder="1" applyAlignment="1">
      <alignment horizontal="center" vertical="center"/>
    </xf>
    <xf numFmtId="2" fontId="28" fillId="0" borderId="4" xfId="0" applyNumberFormat="1" applyFont="1" applyBorder="1" applyAlignment="1">
      <alignment horizontal="center" vertical="center"/>
    </xf>
    <xf numFmtId="2" fontId="4" fillId="0" borderId="55" xfId="0" applyNumberFormat="1" applyFont="1" applyBorder="1" applyAlignment="1">
      <alignment horizontal="center" vertical="center"/>
    </xf>
    <xf numFmtId="10" fontId="4" fillId="0" borderId="56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 vertical="center"/>
    </xf>
    <xf numFmtId="10" fontId="5" fillId="0" borderId="17" xfId="0" applyNumberFormat="1" applyFont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 wrapText="1"/>
    </xf>
    <xf numFmtId="0" fontId="20" fillId="7" borderId="17" xfId="0" applyNumberFormat="1" applyFont="1" applyFill="1" applyBorder="1" applyAlignment="1">
      <alignment horizontal="center" vertical="center" wrapText="1"/>
    </xf>
    <xf numFmtId="2" fontId="20" fillId="7" borderId="32" xfId="0" applyNumberFormat="1" applyFont="1" applyFill="1" applyBorder="1" applyAlignment="1">
      <alignment horizontal="center" vertical="center"/>
    </xf>
    <xf numFmtId="0" fontId="21" fillId="7" borderId="31" xfId="0" applyFont="1" applyFill="1" applyBorder="1" applyAlignment="1">
      <alignment horizontal="center" vertical="center" wrapText="1"/>
    </xf>
    <xf numFmtId="0" fontId="20" fillId="7" borderId="32" xfId="0" applyFont="1" applyFill="1" applyBorder="1" applyAlignment="1">
      <alignment horizontal="center" vertical="center" wrapText="1"/>
    </xf>
    <xf numFmtId="0" fontId="0" fillId="7" borderId="43" xfId="0" applyFill="1" applyBorder="1" applyAlignment="1">
      <alignment horizontal="center" vertical="center"/>
    </xf>
    <xf numFmtId="0" fontId="20" fillId="7" borderId="0" xfId="0" applyNumberFormat="1" applyFont="1" applyFill="1" applyBorder="1" applyAlignment="1">
      <alignment horizontal="center" vertical="center" wrapText="1"/>
    </xf>
    <xf numFmtId="2" fontId="20" fillId="7" borderId="23" xfId="0" applyNumberFormat="1" applyFont="1" applyFill="1" applyBorder="1" applyAlignment="1">
      <alignment horizontal="center" vertical="center"/>
    </xf>
    <xf numFmtId="0" fontId="21" fillId="7" borderId="22" xfId="0" applyFont="1" applyFill="1" applyBorder="1" applyAlignment="1">
      <alignment horizontal="center" vertical="center" wrapText="1"/>
    </xf>
    <xf numFmtId="0" fontId="20" fillId="7" borderId="23" xfId="0" applyFont="1" applyFill="1" applyBorder="1" applyAlignment="1">
      <alignment horizontal="center" vertical="center" wrapText="1"/>
    </xf>
    <xf numFmtId="0" fontId="0" fillId="7" borderId="44" xfId="0" applyFill="1" applyBorder="1" applyAlignment="1">
      <alignment horizontal="center" vertical="center"/>
    </xf>
    <xf numFmtId="2" fontId="22" fillId="7" borderId="0" xfId="0" applyNumberFormat="1" applyFont="1" applyFill="1" applyBorder="1" applyAlignment="1">
      <alignment horizontal="center" vertical="center"/>
    </xf>
    <xf numFmtId="2" fontId="20" fillId="7" borderId="35" xfId="0" applyNumberFormat="1" applyFont="1" applyFill="1" applyBorder="1" applyAlignment="1">
      <alignment horizontal="center" vertical="center"/>
    </xf>
    <xf numFmtId="0" fontId="21" fillId="7" borderId="36" xfId="0" applyFont="1" applyFill="1" applyBorder="1" applyAlignment="1">
      <alignment horizontal="center" vertical="center" wrapText="1"/>
    </xf>
    <xf numFmtId="0" fontId="20" fillId="7" borderId="35" xfId="0" applyFont="1" applyFill="1" applyBorder="1" applyAlignment="1">
      <alignment horizontal="center" vertical="center" wrapText="1"/>
    </xf>
    <xf numFmtId="0" fontId="0" fillId="7" borderId="45" xfId="0" applyFill="1" applyBorder="1" applyAlignment="1">
      <alignment horizontal="center" vertical="center"/>
    </xf>
    <xf numFmtId="2" fontId="20" fillId="7" borderId="13" xfId="0" applyNumberFormat="1" applyFont="1" applyFill="1" applyBorder="1" applyAlignment="1">
      <alignment horizontal="center" vertical="center"/>
    </xf>
    <xf numFmtId="0" fontId="21" fillId="7" borderId="13" xfId="0" applyFont="1" applyFill="1" applyBorder="1" applyAlignment="1">
      <alignment horizontal="center" vertical="center" wrapText="1"/>
    </xf>
    <xf numFmtId="0" fontId="20" fillId="7" borderId="13" xfId="0" applyFont="1" applyFill="1" applyBorder="1" applyAlignment="1">
      <alignment horizontal="center" vertical="center" wrapText="1"/>
    </xf>
    <xf numFmtId="2" fontId="20" fillId="7" borderId="37" xfId="0" applyNumberFormat="1" applyFont="1" applyFill="1" applyBorder="1" applyAlignment="1">
      <alignment horizontal="center" vertical="center"/>
    </xf>
    <xf numFmtId="2" fontId="20" fillId="7" borderId="39" xfId="0" applyNumberFormat="1" applyFont="1" applyFill="1" applyBorder="1" applyAlignment="1">
      <alignment horizontal="center" vertical="center"/>
    </xf>
    <xf numFmtId="2" fontId="20" fillId="7" borderId="40" xfId="0" applyNumberFormat="1" applyFont="1" applyFill="1" applyBorder="1" applyAlignment="1">
      <alignment horizontal="center" vertical="center"/>
    </xf>
    <xf numFmtId="0" fontId="13" fillId="6" borderId="32" xfId="0" applyFont="1" applyFill="1" applyBorder="1" applyAlignment="1">
      <alignment horizontal="center" vertical="center"/>
    </xf>
    <xf numFmtId="0" fontId="13" fillId="6" borderId="26" xfId="0" applyFont="1" applyFill="1" applyBorder="1" applyAlignment="1">
      <alignment horizontal="center" vertical="center"/>
    </xf>
    <xf numFmtId="1" fontId="20" fillId="7" borderId="17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26" fillId="8" borderId="8" xfId="0" applyFont="1" applyFill="1" applyBorder="1" applyAlignment="1">
      <alignment horizontal="left"/>
    </xf>
    <xf numFmtId="0" fontId="26" fillId="8" borderId="1" xfId="0" applyFont="1" applyFill="1" applyBorder="1" applyAlignment="1">
      <alignment horizontal="center" vertical="center"/>
    </xf>
    <xf numFmtId="0" fontId="26" fillId="8" borderId="9" xfId="0" applyFont="1" applyFill="1" applyBorder="1" applyAlignment="1">
      <alignment horizontal="left"/>
    </xf>
    <xf numFmtId="0" fontId="26" fillId="8" borderId="6" xfId="0" applyFont="1" applyFill="1" applyBorder="1" applyAlignment="1">
      <alignment horizontal="center" vertical="center"/>
    </xf>
    <xf numFmtId="2" fontId="7" fillId="0" borderId="55" xfId="0" applyNumberFormat="1" applyFont="1" applyBorder="1" applyAlignment="1">
      <alignment horizontal="center" vertical="center"/>
    </xf>
    <xf numFmtId="2" fontId="26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3" fillId="0" borderId="10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8" fillId="3" borderId="5" xfId="0" applyFont="1" applyFill="1" applyBorder="1"/>
    <xf numFmtId="0" fontId="0" fillId="4" borderId="5" xfId="0" applyFill="1" applyBorder="1"/>
    <xf numFmtId="0" fontId="3" fillId="0" borderId="9" xfId="0" applyFont="1" applyFill="1" applyBorder="1" applyAlignment="1">
      <alignment vertical="center"/>
    </xf>
    <xf numFmtId="0" fontId="0" fillId="5" borderId="7" xfId="0" applyFill="1" applyBorder="1"/>
    <xf numFmtId="0" fontId="29" fillId="0" borderId="0" xfId="0" applyFont="1"/>
    <xf numFmtId="0" fontId="0" fillId="0" borderId="22" xfId="0" applyFill="1" applyBorder="1"/>
    <xf numFmtId="0" fontId="10" fillId="7" borderId="0" xfId="0" applyFont="1" applyFill="1" applyBorder="1" applyAlignment="1">
      <alignment horizontal="right" vertical="center" wrapText="1"/>
    </xf>
    <xf numFmtId="2" fontId="0" fillId="7" borderId="0" xfId="0" applyNumberFormat="1" applyFill="1"/>
    <xf numFmtId="2" fontId="12" fillId="7" borderId="0" xfId="0" applyNumberFormat="1" applyFont="1" applyFill="1" applyBorder="1"/>
    <xf numFmtId="2" fontId="13" fillId="7" borderId="0" xfId="0" applyNumberFormat="1" applyFont="1" applyFill="1" applyBorder="1" applyAlignment="1">
      <alignment vertical="center"/>
    </xf>
    <xf numFmtId="2" fontId="12" fillId="7" borderId="0" xfId="0" applyNumberFormat="1" applyFont="1" applyFill="1" applyBorder="1" applyAlignment="1"/>
    <xf numFmtId="0" fontId="0" fillId="0" borderId="0" xfId="0" applyFill="1" applyBorder="1"/>
    <xf numFmtId="0" fontId="0" fillId="0" borderId="1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21" fillId="7" borderId="0" xfId="0" applyFont="1" applyFill="1" applyBorder="1" applyAlignment="1">
      <alignment vertical="center"/>
    </xf>
    <xf numFmtId="2" fontId="0" fillId="7" borderId="0" xfId="0" applyNumberFormat="1" applyFill="1" applyBorder="1" applyAlignment="1">
      <alignment horizontal="center" vertical="center"/>
    </xf>
    <xf numFmtId="2" fontId="20" fillId="7" borderId="38" xfId="0" applyNumberFormat="1" applyFont="1" applyFill="1" applyBorder="1" applyAlignment="1">
      <alignment horizontal="center" vertical="center"/>
    </xf>
    <xf numFmtId="0" fontId="0" fillId="7" borderId="41" xfId="0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 wrapText="1"/>
    </xf>
    <xf numFmtId="0" fontId="32" fillId="7" borderId="0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right" vertical="center" wrapText="1"/>
    </xf>
    <xf numFmtId="0" fontId="21" fillId="7" borderId="0" xfId="0" applyFont="1" applyFill="1" applyBorder="1" applyAlignment="1">
      <alignment horizontal="center" vertical="center" wrapText="1"/>
    </xf>
    <xf numFmtId="0" fontId="0" fillId="7" borderId="0" xfId="0" applyFill="1" applyBorder="1" applyAlignment="1">
      <alignment horizontal="center" vertical="center"/>
    </xf>
    <xf numFmtId="0" fontId="0" fillId="0" borderId="0" xfId="0" applyAlignment="1"/>
    <xf numFmtId="0" fontId="0" fillId="0" borderId="60" xfId="0" applyBorder="1"/>
    <xf numFmtId="0" fontId="0" fillId="0" borderId="61" xfId="0" applyBorder="1"/>
    <xf numFmtId="0" fontId="30" fillId="6" borderId="3" xfId="0" applyFont="1" applyFill="1" applyBorder="1"/>
    <xf numFmtId="0" fontId="30" fillId="6" borderId="4" xfId="0" applyFont="1" applyFill="1" applyBorder="1"/>
    <xf numFmtId="0" fontId="30" fillId="6" borderId="23" xfId="0" applyFont="1" applyFill="1" applyBorder="1"/>
    <xf numFmtId="0" fontId="30" fillId="6" borderId="35" xfId="0" applyFont="1" applyFill="1" applyBorder="1"/>
    <xf numFmtId="0" fontId="0" fillId="6" borderId="17" xfId="0" applyFill="1" applyBorder="1"/>
    <xf numFmtId="0" fontId="0" fillId="6" borderId="3" xfId="0" applyFill="1" applyBorder="1"/>
    <xf numFmtId="0" fontId="30" fillId="6" borderId="46" xfId="0" applyFont="1" applyFill="1" applyBorder="1"/>
    <xf numFmtId="0" fontId="0" fillId="0" borderId="62" xfId="0" applyBorder="1"/>
    <xf numFmtId="0" fontId="0" fillId="0" borderId="63" xfId="0" applyBorder="1"/>
    <xf numFmtId="0" fontId="0" fillId="0" borderId="64" xfId="0" applyBorder="1"/>
    <xf numFmtId="0" fontId="30" fillId="6" borderId="17" xfId="0" applyFont="1" applyFill="1" applyBorder="1"/>
    <xf numFmtId="0" fontId="30" fillId="6" borderId="21" xfId="0" applyFont="1" applyFill="1" applyBorder="1"/>
    <xf numFmtId="0" fontId="33" fillId="6" borderId="21" xfId="0" applyFont="1" applyFill="1" applyBorder="1"/>
    <xf numFmtId="0" fontId="33" fillId="6" borderId="23" xfId="0" applyFont="1" applyFill="1" applyBorder="1"/>
    <xf numFmtId="0" fontId="33" fillId="6" borderId="35" xfId="0" applyFont="1" applyFill="1" applyBorder="1"/>
    <xf numFmtId="0" fontId="30" fillId="7" borderId="0" xfId="0" applyFont="1" applyFill="1" applyBorder="1"/>
    <xf numFmtId="0" fontId="0" fillId="6" borderId="4" xfId="0" applyFill="1" applyBorder="1"/>
    <xf numFmtId="0" fontId="13" fillId="6" borderId="17" xfId="0" applyFont="1" applyFill="1" applyBorder="1" applyAlignment="1">
      <alignment horizontal="right" vertical="center" wrapText="1"/>
    </xf>
    <xf numFmtId="0" fontId="0" fillId="0" borderId="0" xfId="0" applyBorder="1" applyAlignment="1">
      <alignment horizontal="center"/>
    </xf>
    <xf numFmtId="16" fontId="0" fillId="0" borderId="0" xfId="0" applyNumberFormat="1" applyBorder="1"/>
    <xf numFmtId="0" fontId="0" fillId="6" borderId="42" xfId="0" applyFill="1" applyBorder="1"/>
    <xf numFmtId="0" fontId="30" fillId="6" borderId="30" xfId="0" applyFont="1" applyFill="1" applyBorder="1"/>
    <xf numFmtId="0" fontId="30" fillId="6" borderId="42" xfId="0" applyFont="1" applyFill="1" applyBorder="1"/>
    <xf numFmtId="0" fontId="0" fillId="6" borderId="30" xfId="0" applyFill="1" applyBorder="1"/>
    <xf numFmtId="0" fontId="12" fillId="7" borderId="63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12" fillId="7" borderId="64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 wrapText="1"/>
    </xf>
    <xf numFmtId="0" fontId="12" fillId="7" borderId="7" xfId="0" applyFont="1" applyFill="1" applyBorder="1" applyAlignment="1">
      <alignment horizontal="center" vertical="center" wrapText="1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6" borderId="17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left" vertical="center" wrapText="1"/>
    </xf>
    <xf numFmtId="0" fontId="13" fillId="6" borderId="35" xfId="0" applyFont="1" applyFill="1" applyBorder="1" applyAlignment="1">
      <alignment horizontal="left" vertical="center" wrapText="1"/>
    </xf>
    <xf numFmtId="0" fontId="22" fillId="6" borderId="17" xfId="0" applyFont="1" applyFill="1" applyBorder="1" applyAlignment="1">
      <alignment horizontal="left" vertical="center" wrapText="1"/>
    </xf>
    <xf numFmtId="0" fontId="22" fillId="6" borderId="17" xfId="0" applyFont="1" applyFill="1" applyBorder="1" applyAlignment="1">
      <alignment vertical="center" wrapText="1"/>
    </xf>
    <xf numFmtId="0" fontId="0" fillId="0" borderId="60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3" fillId="6" borderId="17" xfId="0" applyFont="1" applyFill="1" applyBorder="1" applyAlignment="1">
      <alignment vertical="center"/>
    </xf>
    <xf numFmtId="0" fontId="30" fillId="6" borderId="17" xfId="0" applyFont="1" applyFill="1" applyBorder="1" applyAlignment="1">
      <alignment vertical="center"/>
    </xf>
    <xf numFmtId="0" fontId="30" fillId="6" borderId="17" xfId="0" applyFont="1" applyFill="1" applyBorder="1" applyAlignment="1">
      <alignment vertical="center" wrapText="1"/>
    </xf>
    <xf numFmtId="0" fontId="30" fillId="6" borderId="42" xfId="0" applyFont="1" applyFill="1" applyBorder="1" applyAlignment="1">
      <alignment vertical="center" wrapText="1"/>
    </xf>
    <xf numFmtId="0" fontId="0" fillId="0" borderId="2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7" borderId="58" xfId="0" applyFill="1" applyBorder="1" applyAlignment="1">
      <alignment horizontal="center" vertical="center"/>
    </xf>
    <xf numFmtId="0" fontId="21" fillId="7" borderId="66" xfId="0" applyFont="1" applyFill="1" applyBorder="1" applyAlignment="1">
      <alignment horizontal="center" vertical="center"/>
    </xf>
    <xf numFmtId="0" fontId="21" fillId="7" borderId="61" xfId="0" applyFont="1" applyFill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9" borderId="64" xfId="0" applyFill="1" applyBorder="1" applyAlignment="1">
      <alignment horizontal="center" vertical="center"/>
    </xf>
    <xf numFmtId="0" fontId="0" fillId="9" borderId="62" xfId="0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21" fillId="7" borderId="7" xfId="0" applyFont="1" applyFill="1" applyBorder="1" applyAlignment="1">
      <alignment horizontal="center" vertical="center"/>
    </xf>
    <xf numFmtId="0" fontId="21" fillId="7" borderId="5" xfId="0" applyFont="1" applyFill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60" xfId="0" applyNumberFormat="1" applyBorder="1" applyAlignment="1">
      <alignment horizontal="center" vertical="center"/>
    </xf>
    <xf numFmtId="0" fontId="0" fillId="6" borderId="21" xfId="0" applyFill="1" applyBorder="1"/>
    <xf numFmtId="0" fontId="30" fillId="6" borderId="68" xfId="0" applyFont="1" applyFill="1" applyBorder="1"/>
    <xf numFmtId="16" fontId="0" fillId="0" borderId="69" xfId="0" applyNumberFormat="1" applyBorder="1"/>
    <xf numFmtId="16" fontId="0" fillId="0" borderId="66" xfId="0" applyNumberFormat="1" applyBorder="1"/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4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7" fillId="0" borderId="54" xfId="0" applyFont="1" applyBorder="1" applyAlignment="1">
      <alignment horizontal="left" vertical="center"/>
    </xf>
    <xf numFmtId="0" fontId="7" fillId="0" borderId="55" xfId="0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5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5" fillId="6" borderId="37" xfId="0" applyFont="1" applyFill="1" applyBorder="1" applyAlignment="1">
      <alignment horizontal="center" vertical="center" wrapText="1"/>
    </xf>
    <xf numFmtId="0" fontId="15" fillId="6" borderId="39" xfId="0" applyFont="1" applyFill="1" applyBorder="1" applyAlignment="1">
      <alignment horizontal="center" vertical="center" wrapText="1"/>
    </xf>
    <xf numFmtId="0" fontId="15" fillId="6" borderId="4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5" fillId="6" borderId="24" xfId="0" applyFont="1" applyFill="1" applyBorder="1" applyAlignment="1">
      <alignment horizontal="center" vertical="center" wrapText="1"/>
    </xf>
    <xf numFmtId="0" fontId="15" fillId="6" borderId="2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5" fillId="7" borderId="0" xfId="0" applyFont="1" applyFill="1" applyBorder="1" applyAlignment="1">
      <alignment horizontal="left" vertical="center" wrapText="1"/>
    </xf>
    <xf numFmtId="0" fontId="13" fillId="7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3" fillId="0" borderId="15" xfId="0" applyFont="1" applyBorder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5" fillId="6" borderId="21" xfId="0" applyFont="1" applyFill="1" applyBorder="1" applyAlignment="1">
      <alignment horizontal="left" vertical="center" wrapText="1"/>
    </xf>
    <xf numFmtId="0" fontId="15" fillId="6" borderId="35" xfId="0" applyFont="1" applyFill="1" applyBorder="1" applyAlignment="1">
      <alignment horizontal="left" vertical="center" wrapText="1"/>
    </xf>
    <xf numFmtId="0" fontId="15" fillId="6" borderId="19" xfId="0" applyFont="1" applyFill="1" applyBorder="1" applyAlignment="1">
      <alignment horizontal="left" vertical="center" wrapText="1"/>
    </xf>
    <xf numFmtId="0" fontId="15" fillId="6" borderId="20" xfId="0" applyFont="1" applyFill="1" applyBorder="1" applyAlignment="1">
      <alignment horizontal="left" vertical="center" wrapText="1"/>
    </xf>
    <xf numFmtId="0" fontId="15" fillId="6" borderId="30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30" fillId="6" borderId="16" xfId="0" applyFont="1" applyFill="1" applyBorder="1" applyAlignment="1">
      <alignment horizontal="center" vertical="center"/>
    </xf>
    <xf numFmtId="0" fontId="30" fillId="6" borderId="42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48" xfId="0" applyBorder="1" applyAlignment="1">
      <alignment horizontal="center"/>
    </xf>
    <xf numFmtId="0" fontId="0" fillId="0" borderId="63" xfId="0" applyBorder="1" applyAlignment="1">
      <alignment horizontal="center"/>
    </xf>
    <xf numFmtId="2" fontId="31" fillId="0" borderId="53" xfId="0" applyNumberFormat="1" applyFont="1" applyBorder="1" applyAlignment="1">
      <alignment horizontal="center" vertical="center"/>
    </xf>
    <xf numFmtId="2" fontId="31" fillId="0" borderId="64" xfId="0" applyNumberFormat="1" applyFont="1" applyBorder="1" applyAlignment="1">
      <alignment horizontal="center" vertical="center"/>
    </xf>
    <xf numFmtId="2" fontId="0" fillId="0" borderId="48" xfId="0" applyNumberFormat="1" applyBorder="1" applyAlignment="1">
      <alignment horizontal="center" vertical="center"/>
    </xf>
    <xf numFmtId="2" fontId="0" fillId="0" borderId="63" xfId="0" applyNumberFormat="1" applyBorder="1" applyAlignment="1">
      <alignment horizontal="center" vertical="center"/>
    </xf>
    <xf numFmtId="2" fontId="31" fillId="0" borderId="48" xfId="0" applyNumberFormat="1" applyFont="1" applyBorder="1" applyAlignment="1">
      <alignment horizontal="center" vertical="center"/>
    </xf>
    <xf numFmtId="2" fontId="31" fillId="0" borderId="63" xfId="0" applyNumberFormat="1" applyFont="1" applyBorder="1" applyAlignment="1">
      <alignment horizontal="center" vertical="center"/>
    </xf>
    <xf numFmtId="2" fontId="0" fillId="0" borderId="47" xfId="0" applyNumberFormat="1" applyBorder="1" applyAlignment="1">
      <alignment horizontal="center" vertical="center"/>
    </xf>
    <xf numFmtId="2" fontId="0" fillId="0" borderId="65" xfId="0" applyNumberFormat="1" applyBorder="1" applyAlignment="1">
      <alignment horizontal="center" vertical="center"/>
    </xf>
    <xf numFmtId="0" fontId="21" fillId="7" borderId="33" xfId="0" applyFont="1" applyFill="1" applyBorder="1" applyAlignment="1">
      <alignment horizontal="center" vertical="center" wrapText="1"/>
    </xf>
    <xf numFmtId="0" fontId="21" fillId="7" borderId="57" xfId="0" applyFont="1" applyFill="1" applyBorder="1" applyAlignment="1">
      <alignment horizontal="center" vertical="center" wrapText="1"/>
    </xf>
    <xf numFmtId="0" fontId="21" fillId="7" borderId="38" xfId="0" applyFont="1" applyFill="1" applyBorder="1" applyAlignment="1">
      <alignment horizontal="center" vertical="center" wrapText="1"/>
    </xf>
    <xf numFmtId="0" fontId="21" fillId="7" borderId="19" xfId="0" applyFont="1" applyFill="1" applyBorder="1" applyAlignment="1">
      <alignment horizontal="center" vertical="center" wrapText="1"/>
    </xf>
    <xf numFmtId="0" fontId="21" fillId="7" borderId="20" xfId="0" applyFont="1" applyFill="1" applyBorder="1" applyAlignment="1">
      <alignment horizontal="center" vertical="center" wrapText="1"/>
    </xf>
    <xf numFmtId="0" fontId="21" fillId="7" borderId="30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64" xfId="0" applyBorder="1" applyAlignment="1">
      <alignment horizontal="center"/>
    </xf>
    <xf numFmtId="0" fontId="0" fillId="0" borderId="69" xfId="0" applyBorder="1" applyAlignment="1">
      <alignment horizontal="center"/>
    </xf>
    <xf numFmtId="0" fontId="30" fillId="6" borderId="2" xfId="0" applyFont="1" applyFill="1" applyBorder="1" applyAlignment="1">
      <alignment horizontal="center"/>
    </xf>
    <xf numFmtId="0" fontId="30" fillId="6" borderId="4" xfId="0" applyFont="1" applyFill="1" applyBorder="1" applyAlignment="1">
      <alignment horizontal="center"/>
    </xf>
    <xf numFmtId="0" fontId="30" fillId="6" borderId="16" xfId="0" applyFont="1" applyFill="1" applyBorder="1" applyAlignment="1">
      <alignment horizontal="center"/>
    </xf>
    <xf numFmtId="0" fontId="30" fillId="6" borderId="42" xfId="0" applyFont="1" applyFill="1" applyBorder="1" applyAlignment="1">
      <alignment horizontal="center"/>
    </xf>
    <xf numFmtId="0" fontId="0" fillId="7" borderId="0" xfId="0" applyFont="1" applyFill="1" applyBorder="1" applyAlignment="1">
      <alignment horizontal="left"/>
    </xf>
    <xf numFmtId="0" fontId="0" fillId="0" borderId="51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21" fillId="7" borderId="16" xfId="0" applyFont="1" applyFill="1" applyBorder="1" applyAlignment="1">
      <alignment horizontal="center" vertical="center"/>
    </xf>
    <xf numFmtId="0" fontId="21" fillId="7" borderId="42" xfId="0" applyFont="1" applyFill="1" applyBorder="1" applyAlignment="1">
      <alignment horizontal="center" vertical="center"/>
    </xf>
    <xf numFmtId="0" fontId="13" fillId="7" borderId="13" xfId="0" applyFont="1" applyFill="1" applyBorder="1" applyAlignment="1">
      <alignment horizontal="left"/>
    </xf>
    <xf numFmtId="0" fontId="13" fillId="7" borderId="13" xfId="0" applyFont="1" applyFill="1" applyBorder="1" applyAlignment="1">
      <alignment horizontal="right" wrapText="1"/>
    </xf>
    <xf numFmtId="0" fontId="13" fillId="6" borderId="19" xfId="0" applyFont="1" applyFill="1" applyBorder="1" applyAlignment="1">
      <alignment horizontal="left" vertical="center" wrapText="1"/>
    </xf>
    <xf numFmtId="0" fontId="13" fillId="6" borderId="30" xfId="0" applyFont="1" applyFill="1" applyBorder="1" applyAlignment="1">
      <alignment horizontal="left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>
      <alignment horizontal="center" vertical="center" wrapText="1"/>
    </xf>
    <xf numFmtId="0" fontId="13" fillId="6" borderId="32" xfId="0" applyFont="1" applyFill="1" applyBorder="1" applyAlignment="1">
      <alignment horizontal="center" vertical="center" wrapText="1"/>
    </xf>
    <xf numFmtId="0" fontId="13" fillId="6" borderId="26" xfId="0" applyFont="1" applyFill="1" applyBorder="1" applyAlignment="1">
      <alignment horizontal="center" vertical="center" wrapText="1"/>
    </xf>
    <xf numFmtId="0" fontId="13" fillId="6" borderId="33" xfId="0" applyFont="1" applyFill="1" applyBorder="1" applyAlignment="1">
      <alignment horizontal="center" vertical="center"/>
    </xf>
    <xf numFmtId="0" fontId="13" fillId="6" borderId="34" xfId="0" applyFont="1" applyFill="1" applyBorder="1" applyAlignment="1">
      <alignment horizontal="center" vertical="center"/>
    </xf>
    <xf numFmtId="0" fontId="13" fillId="6" borderId="38" xfId="0" applyFont="1" applyFill="1" applyBorder="1" applyAlignment="1">
      <alignment horizontal="center" vertical="center"/>
    </xf>
    <xf numFmtId="0" fontId="13" fillId="6" borderId="41" xfId="0" applyFont="1" applyFill="1" applyBorder="1" applyAlignment="1">
      <alignment horizontal="center" vertical="center"/>
    </xf>
    <xf numFmtId="2" fontId="13" fillId="6" borderId="57" xfId="0" applyNumberFormat="1" applyFont="1" applyFill="1" applyBorder="1" applyAlignment="1">
      <alignment horizontal="center" vertical="center" wrapText="1"/>
    </xf>
    <xf numFmtId="0" fontId="9" fillId="7" borderId="0" xfId="0" applyFont="1" applyFill="1" applyBorder="1" applyAlignment="1">
      <alignment horizontal="right" vertical="center" wrapText="1"/>
    </xf>
    <xf numFmtId="0" fontId="10" fillId="7" borderId="0" xfId="0" applyFont="1" applyFill="1" applyBorder="1" applyAlignment="1">
      <alignment horizontal="right" vertical="center" wrapText="1"/>
    </xf>
    <xf numFmtId="0" fontId="32" fillId="7" borderId="0" xfId="0" applyFont="1" applyFill="1" applyBorder="1" applyAlignment="1">
      <alignment horizontal="center" vertical="center" wrapText="1"/>
    </xf>
    <xf numFmtId="0" fontId="13" fillId="7" borderId="0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30" fillId="6" borderId="3" xfId="0" applyFont="1" applyFill="1" applyBorder="1" applyAlignment="1">
      <alignment horizontal="center"/>
    </xf>
    <xf numFmtId="0" fontId="30" fillId="0" borderId="59" xfId="0" applyFont="1" applyFill="1" applyBorder="1" applyAlignment="1">
      <alignment horizontal="left"/>
    </xf>
    <xf numFmtId="0" fontId="30" fillId="0" borderId="60" xfId="0" applyFont="1" applyFill="1" applyBorder="1" applyAlignment="1">
      <alignment horizontal="left"/>
    </xf>
    <xf numFmtId="0" fontId="30" fillId="0" borderId="61" xfId="0" applyFont="1" applyFill="1" applyBorder="1" applyAlignment="1">
      <alignment horizontal="left"/>
    </xf>
    <xf numFmtId="0" fontId="0" fillId="6" borderId="46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31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3"/>
  <sheetViews>
    <sheetView topLeftCell="D1" zoomScale="80" zoomScaleNormal="80" zoomScaleSheetLayoutView="70" workbookViewId="0">
      <selection activeCell="H17" sqref="H17"/>
    </sheetView>
  </sheetViews>
  <sheetFormatPr baseColWidth="10" defaultRowHeight="15" x14ac:dyDescent="0.25"/>
  <cols>
    <col min="1" max="1" width="3.5703125" customWidth="1"/>
    <col min="2" max="2" width="22.85546875" customWidth="1"/>
    <col min="3" max="3" width="30.7109375" customWidth="1"/>
    <col min="4" max="4" width="66.28515625" customWidth="1"/>
    <col min="5" max="5" width="19.5703125" customWidth="1"/>
    <col min="6" max="6" width="65.7109375" customWidth="1"/>
    <col min="7" max="7" width="13.7109375" customWidth="1"/>
    <col min="8" max="8" width="23.85546875" customWidth="1"/>
    <col min="9" max="13" width="13.7109375" customWidth="1"/>
    <col min="14" max="14" width="14.42578125" customWidth="1"/>
  </cols>
  <sheetData>
    <row r="1" spans="2:14" ht="16.5" x14ac:dyDescent="0.25">
      <c r="B1" s="6"/>
      <c r="C1" s="6"/>
      <c r="D1" s="6"/>
      <c r="E1" s="6"/>
      <c r="F1" s="6"/>
      <c r="G1" s="6"/>
      <c r="H1" s="6"/>
      <c r="I1" s="6"/>
      <c r="J1" s="6"/>
    </row>
    <row r="2" spans="2:14" ht="16.5" customHeight="1" x14ac:dyDescent="0.25">
      <c r="B2" s="309" t="s">
        <v>66</v>
      </c>
      <c r="C2" s="309"/>
      <c r="D2" s="309"/>
      <c r="E2" s="309"/>
      <c r="F2" s="309"/>
      <c r="G2" s="309"/>
      <c r="H2" s="309"/>
      <c r="I2" s="309"/>
      <c r="J2" s="309"/>
      <c r="L2" s="6"/>
      <c r="M2" s="6"/>
      <c r="N2" s="5"/>
    </row>
    <row r="3" spans="2:14" ht="16.5" customHeight="1" thickBot="1" x14ac:dyDescent="0.3">
      <c r="B3" s="310"/>
      <c r="C3" s="310"/>
      <c r="D3" s="310"/>
      <c r="E3" s="310"/>
      <c r="F3" s="310"/>
      <c r="G3" s="310"/>
      <c r="H3" s="310"/>
      <c r="I3" s="310"/>
      <c r="J3" s="310"/>
      <c r="K3" s="6"/>
      <c r="L3" s="6"/>
      <c r="M3" s="6"/>
      <c r="N3" s="5"/>
    </row>
    <row r="4" spans="2:14" ht="20.100000000000001" customHeight="1" thickBot="1" x14ac:dyDescent="0.3">
      <c r="B4" s="8" t="s">
        <v>9</v>
      </c>
      <c r="C4" s="7" t="s">
        <v>10</v>
      </c>
      <c r="D4" s="7" t="s">
        <v>1</v>
      </c>
      <c r="E4" s="3" t="s">
        <v>4</v>
      </c>
      <c r="F4" s="146" t="s">
        <v>2</v>
      </c>
      <c r="G4" s="7" t="s">
        <v>3</v>
      </c>
      <c r="H4" s="7" t="s">
        <v>67</v>
      </c>
      <c r="I4" s="7" t="s">
        <v>68</v>
      </c>
      <c r="J4" s="3" t="s">
        <v>6</v>
      </c>
      <c r="K4" s="2"/>
      <c r="L4" s="2"/>
      <c r="M4" s="2"/>
      <c r="N4" s="5"/>
    </row>
    <row r="5" spans="2:14" ht="16.5" customHeight="1" x14ac:dyDescent="0.25">
      <c r="B5" s="303" t="s">
        <v>69</v>
      </c>
      <c r="C5" s="313" t="s">
        <v>70</v>
      </c>
      <c r="D5" s="17" t="s">
        <v>0</v>
      </c>
      <c r="E5" s="147">
        <v>780.36</v>
      </c>
      <c r="F5" s="148" t="s">
        <v>71</v>
      </c>
      <c r="G5" s="24">
        <v>11</v>
      </c>
      <c r="H5" s="24">
        <v>781.43</v>
      </c>
      <c r="I5" s="24"/>
      <c r="J5" s="20"/>
      <c r="K5" s="149"/>
      <c r="L5" s="12"/>
      <c r="M5" s="12"/>
      <c r="N5" s="5"/>
    </row>
    <row r="6" spans="2:14" ht="16.5" x14ac:dyDescent="0.25">
      <c r="B6" s="304"/>
      <c r="C6" s="314"/>
      <c r="D6" s="4" t="s">
        <v>11</v>
      </c>
      <c r="E6" s="150">
        <v>91.26</v>
      </c>
      <c r="F6" s="151" t="str">
        <f t="shared" ref="F6" si="0">D6</f>
        <v>BATERÍAS SANITARIAS</v>
      </c>
      <c r="G6" s="23">
        <v>3</v>
      </c>
      <c r="H6" s="198">
        <v>103.6</v>
      </c>
      <c r="I6" s="19"/>
      <c r="J6" s="21"/>
      <c r="K6" s="149"/>
      <c r="L6" s="12"/>
      <c r="M6" s="12"/>
      <c r="N6" s="5"/>
    </row>
    <row r="7" spans="2:14" ht="16.5" x14ac:dyDescent="0.25">
      <c r="B7" s="305"/>
      <c r="C7" s="315"/>
      <c r="D7" s="152"/>
      <c r="E7" s="153"/>
      <c r="F7" s="154" t="s">
        <v>72</v>
      </c>
      <c r="G7" s="155">
        <v>2</v>
      </c>
      <c r="H7" s="155">
        <f>107.66+62.14+9.74</f>
        <v>179.54000000000002</v>
      </c>
      <c r="I7" s="156"/>
      <c r="J7" s="157"/>
      <c r="K7" s="149"/>
      <c r="L7" s="12"/>
      <c r="M7" s="12"/>
      <c r="N7" s="5"/>
    </row>
    <row r="8" spans="2:14" ht="17.25" thickBot="1" x14ac:dyDescent="0.3">
      <c r="B8" s="306"/>
      <c r="C8" s="316"/>
      <c r="D8" s="9" t="s">
        <v>5</v>
      </c>
      <c r="E8" s="158">
        <v>373.55</v>
      </c>
      <c r="F8" s="154" t="s">
        <v>90</v>
      </c>
      <c r="G8" s="155">
        <v>1</v>
      </c>
      <c r="H8" s="155">
        <f>113.85</f>
        <v>113.85</v>
      </c>
      <c r="I8" s="159"/>
      <c r="J8" s="157"/>
      <c r="K8" s="13"/>
      <c r="L8" s="12"/>
      <c r="M8" s="12"/>
      <c r="N8" s="5"/>
    </row>
    <row r="9" spans="2:14" ht="16.5" x14ac:dyDescent="0.25">
      <c r="B9" s="160"/>
      <c r="C9" s="160"/>
      <c r="D9" s="11"/>
      <c r="E9" s="144"/>
      <c r="F9" s="199" t="s">
        <v>73</v>
      </c>
      <c r="G9" s="200">
        <v>1</v>
      </c>
      <c r="H9" s="161">
        <f>97.15+44.28</f>
        <v>141.43</v>
      </c>
      <c r="I9" s="162"/>
      <c r="J9" s="10"/>
      <c r="K9" s="13"/>
      <c r="L9" s="14"/>
      <c r="M9" s="14"/>
      <c r="N9" s="5"/>
    </row>
    <row r="10" spans="2:14" ht="16.5" x14ac:dyDescent="0.25">
      <c r="B10" s="160"/>
      <c r="C10" s="160"/>
      <c r="D10" s="11"/>
      <c r="E10" s="144"/>
      <c r="F10" s="151" t="s">
        <v>74</v>
      </c>
      <c r="G10" s="23">
        <v>1</v>
      </c>
      <c r="H10" s="23">
        <f>22.95</f>
        <v>22.95</v>
      </c>
      <c r="I10" s="162"/>
      <c r="J10" s="10"/>
      <c r="K10" s="13"/>
      <c r="L10" s="14"/>
      <c r="M10" s="14"/>
      <c r="N10" s="5"/>
    </row>
    <row r="11" spans="2:14" ht="16.5" x14ac:dyDescent="0.25">
      <c r="B11" s="160"/>
      <c r="C11" s="160"/>
      <c r="D11" s="11"/>
      <c r="E11" s="144"/>
      <c r="F11" s="151" t="s">
        <v>91</v>
      </c>
      <c r="G11" s="23">
        <v>1</v>
      </c>
      <c r="H11" s="23">
        <v>9.74</v>
      </c>
      <c r="I11" s="162"/>
      <c r="J11" s="10"/>
      <c r="K11" s="13"/>
      <c r="L11" s="14"/>
      <c r="M11" s="14"/>
      <c r="N11" s="5"/>
    </row>
    <row r="12" spans="2:14" ht="16.5" x14ac:dyDescent="0.25">
      <c r="B12" s="160"/>
      <c r="C12" s="160"/>
      <c r="D12" s="11"/>
      <c r="E12" s="144"/>
      <c r="F12" s="199" t="s">
        <v>12</v>
      </c>
      <c r="G12" s="200">
        <v>1</v>
      </c>
      <c r="H12" s="161">
        <v>6.71</v>
      </c>
      <c r="I12" s="162"/>
      <c r="J12" s="10"/>
      <c r="K12" s="13"/>
      <c r="L12" s="13"/>
      <c r="M12" s="13"/>
      <c r="N12" s="5"/>
    </row>
    <row r="13" spans="2:14" ht="17.25" thickBot="1" x14ac:dyDescent="0.3">
      <c r="B13" s="160"/>
      <c r="C13" s="160"/>
      <c r="D13" s="11"/>
      <c r="E13" s="144"/>
      <c r="F13" s="201" t="s">
        <v>75</v>
      </c>
      <c r="G13" s="202">
        <v>2</v>
      </c>
      <c r="H13" s="163">
        <f>60.46+25.65+26.12</f>
        <v>112.23</v>
      </c>
      <c r="I13" s="164"/>
      <c r="J13" s="22"/>
      <c r="K13" s="13"/>
      <c r="L13" s="11"/>
      <c r="M13" s="11"/>
      <c r="N13" s="5"/>
    </row>
    <row r="14" spans="2:14" ht="17.25" thickBot="1" x14ac:dyDescent="0.3">
      <c r="B14" s="160"/>
      <c r="C14" s="160"/>
      <c r="D14" s="15"/>
      <c r="E14" s="15"/>
      <c r="F14" s="11"/>
      <c r="G14" s="11"/>
      <c r="H14" s="15"/>
      <c r="I14" s="165"/>
      <c r="J14" s="166"/>
      <c r="K14" s="167"/>
      <c r="L14" s="11"/>
      <c r="M14" s="11"/>
      <c r="N14" s="5"/>
    </row>
    <row r="15" spans="2:14" ht="39.75" customHeight="1" thickBot="1" x14ac:dyDescent="0.3">
      <c r="B15" s="6"/>
      <c r="C15" s="6"/>
      <c r="D15" s="18" t="s">
        <v>7</v>
      </c>
      <c r="E15" s="168">
        <f>E5+E6+E8</f>
        <v>1245.17</v>
      </c>
      <c r="F15" s="311" t="s">
        <v>8</v>
      </c>
      <c r="G15" s="312"/>
      <c r="H15" s="203">
        <f>H5+H6+H7+H8+H10+H11</f>
        <v>1211.1099999999999</v>
      </c>
      <c r="I15" s="169"/>
      <c r="J15" s="170"/>
      <c r="K15" s="6"/>
      <c r="L15" s="6"/>
      <c r="M15" s="6"/>
      <c r="N15" s="5"/>
    </row>
    <row r="16" spans="2:14" ht="33" customHeight="1" thickBot="1" x14ac:dyDescent="0.3">
      <c r="B16" s="6"/>
      <c r="C16" s="6"/>
      <c r="D16" s="11"/>
      <c r="E16" s="11"/>
      <c r="F16" s="307" t="s">
        <v>76</v>
      </c>
      <c r="G16" s="308"/>
      <c r="H16" s="204">
        <f>H9+H12+H13</f>
        <v>260.37</v>
      </c>
      <c r="I16" s="171"/>
      <c r="J16" s="172"/>
      <c r="K16" s="6"/>
      <c r="L16" s="6"/>
      <c r="M16" s="6"/>
      <c r="N16" s="5"/>
    </row>
    <row r="17" spans="2:13" ht="16.5" x14ac:dyDescent="0.3">
      <c r="B17" s="6"/>
      <c r="C17" s="6"/>
      <c r="D17" s="11"/>
      <c r="E17" s="11"/>
      <c r="F17" s="11"/>
      <c r="G17" s="11"/>
      <c r="H17" s="145"/>
      <c r="I17" s="11"/>
      <c r="J17" s="6"/>
      <c r="L17" s="1"/>
      <c r="M17" s="1"/>
    </row>
    <row r="18" spans="2:13" ht="16.5" x14ac:dyDescent="0.3">
      <c r="B18" s="6"/>
      <c r="C18" s="6"/>
      <c r="D18" s="11"/>
      <c r="E18" s="11"/>
      <c r="F18" s="11"/>
      <c r="G18" s="11"/>
      <c r="H18" s="11"/>
      <c r="I18" s="11"/>
      <c r="J18" s="6"/>
      <c r="L18" s="1"/>
      <c r="M18" s="1"/>
    </row>
    <row r="19" spans="2:13" ht="24.75" customHeight="1" thickBot="1" x14ac:dyDescent="0.35">
      <c r="B19" s="6"/>
      <c r="C19" s="6"/>
      <c r="D19" s="11"/>
      <c r="E19" s="11"/>
      <c r="F19" s="205" t="s">
        <v>13</v>
      </c>
      <c r="G19" s="25"/>
      <c r="H19" s="11"/>
      <c r="I19" s="11"/>
      <c r="J19" s="6"/>
      <c r="L19" s="1"/>
      <c r="M19" s="1"/>
    </row>
    <row r="20" spans="2:13" ht="16.5" x14ac:dyDescent="0.3">
      <c r="B20" s="1"/>
      <c r="C20" s="1"/>
      <c r="D20" s="1"/>
      <c r="E20" s="1"/>
      <c r="F20" s="206" t="s">
        <v>14</v>
      </c>
      <c r="G20" s="207"/>
      <c r="H20" s="16"/>
      <c r="I20" s="16"/>
      <c r="J20" s="1"/>
    </row>
    <row r="21" spans="2:13" ht="16.5" x14ac:dyDescent="0.3">
      <c r="B21" s="1"/>
      <c r="C21" s="1"/>
      <c r="D21" s="1"/>
      <c r="E21" s="1"/>
      <c r="F21" s="208" t="s">
        <v>15</v>
      </c>
      <c r="G21" s="209"/>
      <c r="H21" s="1"/>
      <c r="I21" s="1"/>
      <c r="J21" s="1"/>
    </row>
    <row r="22" spans="2:13" ht="16.5" x14ac:dyDescent="0.3">
      <c r="B22" s="1"/>
      <c r="C22" s="1"/>
      <c r="D22" s="1"/>
      <c r="E22" s="1"/>
      <c r="F22" s="208" t="s">
        <v>16</v>
      </c>
      <c r="G22" s="210"/>
      <c r="H22" s="1"/>
      <c r="I22" s="1"/>
      <c r="J22" s="1"/>
    </row>
    <row r="23" spans="2:13" ht="17.25" thickBot="1" x14ac:dyDescent="0.3">
      <c r="F23" s="211" t="s">
        <v>17</v>
      </c>
      <c r="G23" s="212"/>
    </row>
  </sheetData>
  <mergeCells count="5">
    <mergeCell ref="B5:B8"/>
    <mergeCell ref="F16:G16"/>
    <mergeCell ref="B2:J3"/>
    <mergeCell ref="F15:G15"/>
    <mergeCell ref="C5:C8"/>
  </mergeCells>
  <pageMargins left="0.25" right="0.25" top="0.75" bottom="0.75" header="0.3" footer="0.3"/>
  <pageSetup paperSize="3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2"/>
  <sheetViews>
    <sheetView workbookViewId="0">
      <selection activeCell="H25" sqref="H25"/>
    </sheetView>
  </sheetViews>
  <sheetFormatPr baseColWidth="10" defaultRowHeight="15" x14ac:dyDescent="0.25"/>
  <cols>
    <col min="1" max="1" width="3.7109375" customWidth="1"/>
    <col min="2" max="4" width="17.7109375" customWidth="1"/>
    <col min="5" max="5" width="2.7109375" customWidth="1"/>
    <col min="6" max="7" width="17.7109375" customWidth="1"/>
  </cols>
  <sheetData>
    <row r="2" spans="1:11" ht="20.25" customHeight="1" x14ac:dyDescent="0.25">
      <c r="B2" s="322" t="s">
        <v>78</v>
      </c>
      <c r="C2" s="322"/>
      <c r="D2" s="322"/>
      <c r="E2" s="322"/>
      <c r="F2" s="322"/>
      <c r="G2" s="322"/>
    </row>
    <row r="3" spans="1:11" ht="30" thickBot="1" x14ac:dyDescent="0.3">
      <c r="B3" s="323" t="s">
        <v>66</v>
      </c>
      <c r="C3" s="323"/>
      <c r="D3" s="323"/>
      <c r="E3" s="323"/>
      <c r="F3" s="323"/>
      <c r="G3" s="323"/>
    </row>
    <row r="4" spans="1:11" ht="16.5" x14ac:dyDescent="0.25">
      <c r="A4" s="6"/>
      <c r="B4" s="6"/>
      <c r="C4" s="6"/>
      <c r="D4" s="6"/>
      <c r="E4" s="6"/>
      <c r="F4" s="6"/>
      <c r="G4" s="6"/>
    </row>
    <row r="5" spans="1:11" ht="16.5" x14ac:dyDescent="0.25">
      <c r="A5" s="6"/>
      <c r="B5" s="324"/>
      <c r="C5" s="324"/>
      <c r="D5" s="324"/>
      <c r="E5" s="324"/>
      <c r="F5" s="324"/>
      <c r="G5" s="6"/>
    </row>
    <row r="6" spans="1:11" ht="16.5" x14ac:dyDescent="0.25">
      <c r="A6" s="6"/>
      <c r="B6" s="123"/>
      <c r="C6" s="124" t="s">
        <v>54</v>
      </c>
      <c r="D6" s="123"/>
      <c r="E6" s="123"/>
      <c r="F6" s="123"/>
      <c r="G6" s="123"/>
      <c r="H6" s="6"/>
      <c r="I6" s="6"/>
      <c r="J6" s="6"/>
      <c r="K6" s="6"/>
    </row>
    <row r="7" spans="1:11" ht="16.5" x14ac:dyDescent="0.25">
      <c r="A7" s="6"/>
      <c r="B7" s="125" t="s">
        <v>55</v>
      </c>
      <c r="C7" s="126">
        <v>60000</v>
      </c>
      <c r="D7" s="328" t="s">
        <v>77</v>
      </c>
      <c r="E7" s="328"/>
      <c r="F7" s="328"/>
      <c r="G7" s="328"/>
      <c r="H7" s="6"/>
      <c r="I7" s="6"/>
      <c r="J7" s="6"/>
      <c r="K7" s="6"/>
    </row>
    <row r="8" spans="1:11" ht="16.5" x14ac:dyDescent="0.25">
      <c r="A8" s="6"/>
      <c r="B8" s="123"/>
      <c r="C8" s="123"/>
      <c r="D8" s="123"/>
      <c r="E8" s="123"/>
      <c r="F8" s="123"/>
      <c r="G8" s="123"/>
      <c r="H8" s="6"/>
      <c r="I8" s="6"/>
      <c r="J8" s="6"/>
      <c r="K8" s="6"/>
    </row>
    <row r="9" spans="1:11" ht="17.25" thickBot="1" x14ac:dyDescent="0.3">
      <c r="A9" s="6"/>
      <c r="B9" s="325" t="s">
        <v>56</v>
      </c>
      <c r="C9" s="325"/>
      <c r="D9" s="325"/>
      <c r="E9" s="123"/>
      <c r="F9" s="123"/>
      <c r="G9" s="123"/>
      <c r="H9" s="6"/>
      <c r="I9" s="6"/>
      <c r="J9" s="6"/>
      <c r="K9" s="6"/>
    </row>
    <row r="10" spans="1:11" ht="27" customHeight="1" thickBot="1" x14ac:dyDescent="0.3">
      <c r="A10" s="6"/>
      <c r="B10" s="33" t="s">
        <v>57</v>
      </c>
      <c r="C10" s="34" t="s">
        <v>58</v>
      </c>
      <c r="D10" s="113" t="s">
        <v>59</v>
      </c>
      <c r="E10" s="127"/>
      <c r="F10" s="33" t="s">
        <v>60</v>
      </c>
      <c r="G10" s="34" t="s">
        <v>61</v>
      </c>
      <c r="H10" s="6"/>
      <c r="I10" s="6"/>
      <c r="J10" s="6"/>
      <c r="K10" s="6"/>
    </row>
    <row r="11" spans="1:11" ht="16.5" x14ac:dyDescent="0.25">
      <c r="A11" s="6"/>
      <c r="B11" s="317">
        <v>480</v>
      </c>
      <c r="C11" s="61" t="s">
        <v>62</v>
      </c>
      <c r="D11" s="128">
        <v>4.43</v>
      </c>
      <c r="E11" s="62"/>
      <c r="F11" s="129">
        <f>D11*B11</f>
        <v>2126.3999999999996</v>
      </c>
      <c r="G11" s="130" t="str">
        <f>+IF(C7&gt;F11,"CUMPLE","NO CUMPLE")</f>
        <v>CUMPLE</v>
      </c>
      <c r="H11" s="6"/>
      <c r="I11" s="6"/>
      <c r="J11" s="6"/>
      <c r="K11" s="6"/>
    </row>
    <row r="12" spans="1:11" ht="16.5" x14ac:dyDescent="0.25">
      <c r="A12" s="6"/>
      <c r="B12" s="318"/>
      <c r="C12" s="43">
        <v>2</v>
      </c>
      <c r="D12" s="131">
        <v>5.74</v>
      </c>
      <c r="E12" s="74"/>
      <c r="F12" s="132">
        <f>D12*B11</f>
        <v>2755.2000000000003</v>
      </c>
      <c r="G12" s="133" t="str">
        <f>+IF(C7&gt;F12,"CUMPLE","NO CUMPLE")</f>
        <v>CUMPLE</v>
      </c>
      <c r="H12" s="6"/>
      <c r="I12" s="6"/>
      <c r="J12" s="6"/>
      <c r="K12" s="6"/>
    </row>
    <row r="13" spans="1:11" ht="17.25" thickBot="1" x14ac:dyDescent="0.3">
      <c r="A13" s="6"/>
      <c r="B13" s="319"/>
      <c r="C13" s="48">
        <v>1</v>
      </c>
      <c r="D13" s="134">
        <v>9.68</v>
      </c>
      <c r="E13" s="74"/>
      <c r="F13" s="132">
        <f>D13*B11</f>
        <v>4646.3999999999996</v>
      </c>
      <c r="G13" s="133" t="str">
        <f>+IF(C7&gt;F13,"CUMPLE","NO CUMPLE")</f>
        <v>CUMPLE</v>
      </c>
      <c r="H13" s="6"/>
      <c r="I13" s="6"/>
      <c r="J13" s="6"/>
      <c r="K13" s="6"/>
    </row>
    <row r="14" spans="1:11" ht="16.5" x14ac:dyDescent="0.25">
      <c r="A14" s="6"/>
      <c r="B14" s="326">
        <v>960</v>
      </c>
      <c r="C14" s="57" t="s">
        <v>62</v>
      </c>
      <c r="D14" s="135">
        <v>4.1500000000000004</v>
      </c>
      <c r="E14" s="74"/>
      <c r="F14" s="132">
        <f>D14*B14</f>
        <v>3984.0000000000005</v>
      </c>
      <c r="G14" s="133" t="str">
        <f>+IF(C7&gt;F14,"CUMPLE","NO CUMPLE")</f>
        <v>CUMPLE</v>
      </c>
      <c r="H14" s="6"/>
      <c r="I14" s="6"/>
      <c r="J14" s="6"/>
      <c r="K14" s="6"/>
    </row>
    <row r="15" spans="1:11" ht="16.5" x14ac:dyDescent="0.25">
      <c r="A15" s="6"/>
      <c r="B15" s="318"/>
      <c r="C15" s="43">
        <v>2</v>
      </c>
      <c r="D15" s="131">
        <v>5.33</v>
      </c>
      <c r="E15" s="74"/>
      <c r="F15" s="132">
        <f t="shared" ref="F15" si="0">D15*B14</f>
        <v>5116.8</v>
      </c>
      <c r="G15" s="133" t="str">
        <f>+IF(C7&gt;F15,"CUMPLE","NO CUMPLE")</f>
        <v>CUMPLE</v>
      </c>
      <c r="H15" s="6"/>
      <c r="I15" s="6"/>
      <c r="J15" s="6"/>
      <c r="K15" s="6"/>
    </row>
    <row r="16" spans="1:11" ht="17.25" thickBot="1" x14ac:dyDescent="0.3">
      <c r="A16" s="6"/>
      <c r="B16" s="327"/>
      <c r="C16" s="44">
        <v>1</v>
      </c>
      <c r="D16" s="136">
        <v>8.8699999999999992</v>
      </c>
      <c r="E16" s="74"/>
      <c r="F16" s="132">
        <f t="shared" ref="F16" si="1">D16*B14</f>
        <v>8515.1999999999989</v>
      </c>
      <c r="G16" s="133" t="str">
        <f>+IF(C7&gt;F16,"CUMPLE","NO CUMPLE")</f>
        <v>CUMPLE</v>
      </c>
      <c r="H16" s="6"/>
      <c r="I16" s="6"/>
      <c r="J16" s="6"/>
      <c r="K16" s="6"/>
    </row>
    <row r="17" spans="1:11" ht="16.5" x14ac:dyDescent="0.25">
      <c r="A17" s="6"/>
      <c r="B17" s="317">
        <v>1440</v>
      </c>
      <c r="C17" s="61" t="s">
        <v>62</v>
      </c>
      <c r="D17" s="137">
        <v>3.67</v>
      </c>
      <c r="E17" s="74"/>
      <c r="F17" s="132">
        <f>D17*B17</f>
        <v>5284.8</v>
      </c>
      <c r="G17" s="133" t="str">
        <f>+IF(C7&gt;F17,"CUMPLE","NO CUMPLE")</f>
        <v>CUMPLE</v>
      </c>
      <c r="H17" s="6"/>
      <c r="I17" s="6"/>
      <c r="J17" s="6"/>
      <c r="K17" s="6"/>
    </row>
    <row r="18" spans="1:11" ht="16.5" x14ac:dyDescent="0.25">
      <c r="A18" s="6"/>
      <c r="B18" s="318"/>
      <c r="C18" s="43">
        <v>2</v>
      </c>
      <c r="D18" s="131">
        <v>4.8099999999999996</v>
      </c>
      <c r="E18" s="74"/>
      <c r="F18" s="132">
        <f t="shared" ref="F18" si="2">D18*B17</f>
        <v>6926.4</v>
      </c>
      <c r="G18" s="133" t="str">
        <f>+IF(C7&gt;F18,"CUMPLE","NO CUMPLE")</f>
        <v>CUMPLE</v>
      </c>
      <c r="H18" s="6"/>
      <c r="I18" s="6"/>
      <c r="J18" s="6"/>
      <c r="K18" s="6"/>
    </row>
    <row r="19" spans="1:11" ht="17.25" thickBot="1" x14ac:dyDescent="0.3">
      <c r="A19" s="6"/>
      <c r="B19" s="319"/>
      <c r="C19" s="48">
        <v>1</v>
      </c>
      <c r="D19" s="134">
        <v>8.1999999999999993</v>
      </c>
      <c r="E19" s="74"/>
      <c r="F19" s="138">
        <f t="shared" ref="F19" si="3">D19*B17</f>
        <v>11807.999999999998</v>
      </c>
      <c r="G19" s="139" t="str">
        <f>+IF(C7&gt;F19,"CUMPLE","NO CUMPLE")</f>
        <v>CUMPLE</v>
      </c>
      <c r="H19" s="6"/>
      <c r="I19" s="6"/>
      <c r="J19" s="6"/>
      <c r="K19" s="6"/>
    </row>
    <row r="20" spans="1:11" ht="16.5" x14ac:dyDescent="0.25">
      <c r="A20" s="6"/>
      <c r="B20" s="123"/>
      <c r="C20" s="123"/>
      <c r="D20" s="123"/>
      <c r="E20" s="123"/>
      <c r="F20" s="123"/>
      <c r="G20" s="123"/>
      <c r="H20" s="6"/>
      <c r="I20" s="6"/>
      <c r="J20" s="6"/>
      <c r="K20" s="6"/>
    </row>
    <row r="21" spans="1:11" ht="16.5" x14ac:dyDescent="0.25">
      <c r="A21" s="6"/>
      <c r="B21" s="140" t="s">
        <v>63</v>
      </c>
      <c r="C21" s="141"/>
      <c r="D21" s="141"/>
      <c r="E21" s="141"/>
      <c r="F21" s="141"/>
      <c r="G21" s="141"/>
      <c r="H21" s="6"/>
      <c r="I21" s="6"/>
      <c r="J21" s="6"/>
      <c r="K21" s="6"/>
    </row>
    <row r="22" spans="1:11" ht="16.5" x14ac:dyDescent="0.25">
      <c r="A22" s="6"/>
      <c r="B22" s="320" t="s">
        <v>64</v>
      </c>
      <c r="C22" s="320"/>
      <c r="D22" s="320"/>
      <c r="E22" s="320"/>
      <c r="F22" s="320"/>
      <c r="G22" s="320"/>
      <c r="H22" s="6"/>
      <c r="I22" s="6"/>
      <c r="J22" s="6"/>
      <c r="K22" s="6"/>
    </row>
    <row r="23" spans="1:11" ht="17.25" thickBot="1" x14ac:dyDescent="0.3">
      <c r="A23" s="6"/>
      <c r="B23" s="321"/>
      <c r="C23" s="321"/>
      <c r="D23" s="321"/>
      <c r="E23" s="321"/>
      <c r="F23" s="321"/>
      <c r="G23" s="321"/>
      <c r="H23" s="6"/>
      <c r="I23" s="6"/>
      <c r="J23" s="6"/>
      <c r="K23" s="6"/>
    </row>
    <row r="24" spans="1:11" ht="16.5" x14ac:dyDescent="0.25">
      <c r="A24" s="6"/>
      <c r="B24" s="123"/>
      <c r="C24" s="123"/>
      <c r="D24" s="123"/>
      <c r="E24" s="123"/>
      <c r="F24" s="123"/>
      <c r="G24" s="123"/>
      <c r="H24" s="6"/>
      <c r="I24" s="6"/>
      <c r="J24" s="6"/>
      <c r="K24" s="6"/>
    </row>
    <row r="25" spans="1:11" ht="16.5" x14ac:dyDescent="0.25">
      <c r="A25" s="6"/>
      <c r="B25" s="123"/>
      <c r="C25" s="123"/>
      <c r="D25" s="123"/>
      <c r="E25" s="123"/>
      <c r="F25" s="123"/>
      <c r="G25" s="123"/>
      <c r="H25" s="6"/>
      <c r="I25" s="6"/>
      <c r="J25" s="6"/>
      <c r="K25" s="6"/>
    </row>
    <row r="26" spans="1:11" ht="16.5" x14ac:dyDescent="0.25">
      <c r="A26" s="6"/>
      <c r="B26" s="123"/>
      <c r="C26" s="123"/>
      <c r="D26" s="123"/>
      <c r="E26" s="123"/>
      <c r="F26" s="123"/>
      <c r="G26" s="123"/>
      <c r="H26" s="6"/>
      <c r="I26" s="6"/>
      <c r="J26" s="6"/>
      <c r="K26" s="6"/>
    </row>
    <row r="27" spans="1:11" ht="16.5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ht="16.5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ht="16.5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ht="16.5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ht="16.5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 ht="16.5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ht="16.5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ht="16.5" x14ac:dyDescent="0.25">
      <c r="A34" s="6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ht="16.5" x14ac:dyDescent="0.25">
      <c r="A35" s="6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ht="16.5" x14ac:dyDescent="0.25">
      <c r="A36" s="6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 ht="16.5" x14ac:dyDescent="0.25">
      <c r="A37" s="11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 ht="16.5" x14ac:dyDescent="0.25">
      <c r="A38" s="142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 ht="16.5" x14ac:dyDescent="0.25">
      <c r="A39" s="142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 ht="16.5" x14ac:dyDescent="0.25"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 ht="16.5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ht="16.5" x14ac:dyDescent="0.25">
      <c r="B42" s="6"/>
      <c r="C42" s="6"/>
      <c r="D42" s="6"/>
      <c r="E42" s="6"/>
      <c r="F42" s="6"/>
      <c r="G42" s="6"/>
      <c r="H42" s="6"/>
      <c r="I42" s="6"/>
      <c r="J42" s="6"/>
      <c r="K42" s="6"/>
    </row>
  </sheetData>
  <mergeCells count="9">
    <mergeCell ref="B17:B19"/>
    <mergeCell ref="B22:G23"/>
    <mergeCell ref="B2:G2"/>
    <mergeCell ref="B3:G3"/>
    <mergeCell ref="B5:F5"/>
    <mergeCell ref="B9:D9"/>
    <mergeCell ref="B11:B13"/>
    <mergeCell ref="B14:B16"/>
    <mergeCell ref="D7:G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3"/>
  <sheetViews>
    <sheetView workbookViewId="0">
      <selection activeCell="F19" sqref="F19"/>
    </sheetView>
  </sheetViews>
  <sheetFormatPr baseColWidth="10" defaultRowHeight="15" x14ac:dyDescent="0.25"/>
  <cols>
    <col min="1" max="1" width="3.7109375" customWidth="1"/>
    <col min="2" max="6" width="18.7109375" customWidth="1"/>
    <col min="7" max="7" width="2.7109375" customWidth="1"/>
    <col min="8" max="11" width="20.7109375" customWidth="1"/>
  </cols>
  <sheetData>
    <row r="2" spans="1:11" ht="15" customHeight="1" x14ac:dyDescent="0.25">
      <c r="B2" s="322" t="str">
        <f>'LOTE vs MATRICULA'!B2:G2</f>
        <v>GRUPO 9</v>
      </c>
      <c r="C2" s="322"/>
      <c r="D2" s="322"/>
      <c r="E2" s="322"/>
      <c r="F2" s="322"/>
      <c r="G2" s="322"/>
      <c r="H2" s="322"/>
      <c r="I2" s="322"/>
      <c r="J2" s="322"/>
      <c r="K2" s="322"/>
    </row>
    <row r="3" spans="1:11" ht="30" customHeight="1" x14ac:dyDescent="0.25">
      <c r="B3" s="334" t="str">
        <f>'LOTE vs MATRICULA'!B3:G3</f>
        <v>INEM - PASTO</v>
      </c>
      <c r="C3" s="334"/>
      <c r="D3" s="334"/>
      <c r="E3" s="334"/>
      <c r="F3" s="334"/>
      <c r="G3" s="334"/>
      <c r="H3" s="334"/>
      <c r="I3" s="334"/>
      <c r="J3" s="334"/>
      <c r="K3" s="334"/>
    </row>
    <row r="4" spans="1:11" ht="18" customHeight="1" x14ac:dyDescent="0.3">
      <c r="A4" s="6"/>
      <c r="B4" s="6"/>
      <c r="C4" s="6"/>
      <c r="D4" s="6"/>
      <c r="E4" s="6"/>
      <c r="F4" s="6"/>
      <c r="G4" s="6"/>
      <c r="H4" s="1"/>
      <c r="I4" s="1"/>
    </row>
    <row r="5" spans="1:11" ht="18" customHeight="1" x14ac:dyDescent="0.3">
      <c r="A5" s="6"/>
      <c r="B5" s="324"/>
      <c r="C5" s="324"/>
      <c r="D5" s="324"/>
      <c r="E5" s="324"/>
      <c r="F5" s="6"/>
      <c r="G5" s="6"/>
      <c r="H5" s="1"/>
      <c r="I5" s="1"/>
    </row>
    <row r="6" spans="1:11" ht="18" customHeight="1" x14ac:dyDescent="0.25">
      <c r="A6" s="6"/>
      <c r="B6" s="26" t="s">
        <v>18</v>
      </c>
      <c r="C6" s="27"/>
      <c r="D6" s="28" t="s">
        <v>19</v>
      </c>
      <c r="E6" s="337" t="s">
        <v>89</v>
      </c>
      <c r="F6" s="337"/>
      <c r="G6" s="337"/>
      <c r="H6" s="337"/>
      <c r="I6" s="337"/>
      <c r="J6" s="337"/>
      <c r="K6" s="337"/>
    </row>
    <row r="7" spans="1:11" ht="18" customHeight="1" x14ac:dyDescent="0.3">
      <c r="A7" s="6"/>
      <c r="B7" s="29"/>
      <c r="C7" s="30"/>
      <c r="D7" s="31"/>
      <c r="E7" s="32"/>
      <c r="F7" s="32"/>
      <c r="G7" s="104"/>
      <c r="H7" s="1"/>
      <c r="I7" s="1"/>
    </row>
    <row r="8" spans="1:11" ht="18" customHeight="1" thickBot="1" x14ac:dyDescent="0.35">
      <c r="A8" s="6"/>
      <c r="B8" s="344" t="s">
        <v>20</v>
      </c>
      <c r="C8" s="344"/>
      <c r="D8" s="344"/>
      <c r="E8" s="344"/>
      <c r="F8" s="344"/>
      <c r="G8" s="105"/>
      <c r="H8" s="335"/>
      <c r="I8" s="335"/>
      <c r="J8" s="335"/>
      <c r="K8" s="336"/>
    </row>
    <row r="9" spans="1:11" ht="18" customHeight="1" thickBot="1" x14ac:dyDescent="0.3">
      <c r="A9" s="6"/>
      <c r="B9" s="33" t="s">
        <v>21</v>
      </c>
      <c r="C9" s="34" t="s">
        <v>22</v>
      </c>
      <c r="D9" s="35" t="s">
        <v>23</v>
      </c>
      <c r="E9" s="34" t="s">
        <v>24</v>
      </c>
      <c r="F9" s="59" t="s">
        <v>25</v>
      </c>
      <c r="G9" s="106"/>
      <c r="H9" s="34" t="s">
        <v>43</v>
      </c>
      <c r="I9" s="34" t="s">
        <v>53</v>
      </c>
      <c r="J9" s="34" t="s">
        <v>53</v>
      </c>
      <c r="K9" s="72"/>
    </row>
    <row r="10" spans="1:11" ht="18" customHeight="1" thickBot="1" x14ac:dyDescent="0.3">
      <c r="A10" s="6"/>
      <c r="B10" s="36" t="s">
        <v>26</v>
      </c>
      <c r="C10" s="37"/>
      <c r="D10" s="38" t="s">
        <v>27</v>
      </c>
      <c r="E10" s="81"/>
      <c r="F10" s="58" t="s">
        <v>44</v>
      </c>
      <c r="G10" s="107"/>
      <c r="H10" s="143">
        <f>E10/20</f>
        <v>0</v>
      </c>
      <c r="I10" s="117" t="str">
        <f>IF(H10&lt;1,"1",IF(H10=1,"1",IF(H10&gt;1,"2")))</f>
        <v>1</v>
      </c>
      <c r="J10" s="114">
        <v>40</v>
      </c>
    </row>
    <row r="11" spans="1:11" ht="18" customHeight="1" x14ac:dyDescent="0.25">
      <c r="A11" s="6"/>
      <c r="B11" s="341" t="s">
        <v>28</v>
      </c>
      <c r="C11" s="56"/>
      <c r="D11" s="40" t="s">
        <v>29</v>
      </c>
      <c r="E11" s="82"/>
      <c r="F11" s="47" t="s">
        <v>44</v>
      </c>
      <c r="G11" s="107"/>
      <c r="H11" s="120">
        <f>E11/40</f>
        <v>0</v>
      </c>
      <c r="I11" s="118" t="str">
        <f t="shared" ref="I11:I21" si="0">IF(H11&lt;1,"1",IF(H11=1,"1",IF(H11&gt;1,"2")))</f>
        <v>1</v>
      </c>
      <c r="J11" s="115">
        <v>40</v>
      </c>
    </row>
    <row r="12" spans="1:11" ht="18" customHeight="1" x14ac:dyDescent="0.25">
      <c r="A12" s="6"/>
      <c r="B12" s="342"/>
      <c r="C12" s="43"/>
      <c r="D12" s="42" t="s">
        <v>30</v>
      </c>
      <c r="E12" s="83"/>
      <c r="F12" s="64" t="s">
        <v>44</v>
      </c>
      <c r="G12" s="107"/>
      <c r="H12" s="120">
        <f t="shared" ref="H12:H21" si="1">E12/40</f>
        <v>0</v>
      </c>
      <c r="I12" s="118" t="str">
        <f t="shared" si="0"/>
        <v>1</v>
      </c>
      <c r="J12" s="115">
        <v>40</v>
      </c>
    </row>
    <row r="13" spans="1:11" ht="18" customHeight="1" x14ac:dyDescent="0.25">
      <c r="A13" s="6"/>
      <c r="B13" s="342"/>
      <c r="C13" s="44"/>
      <c r="D13" s="42" t="s">
        <v>31</v>
      </c>
      <c r="E13" s="83"/>
      <c r="F13" s="64" t="s">
        <v>44</v>
      </c>
      <c r="G13" s="107"/>
      <c r="H13" s="120">
        <f t="shared" si="1"/>
        <v>0</v>
      </c>
      <c r="I13" s="118" t="str">
        <f t="shared" si="0"/>
        <v>1</v>
      </c>
      <c r="J13" s="115">
        <v>40</v>
      </c>
    </row>
    <row r="14" spans="1:11" ht="18" customHeight="1" x14ac:dyDescent="0.25">
      <c r="A14" s="6"/>
      <c r="B14" s="342"/>
      <c r="C14" s="43"/>
      <c r="D14" s="42" t="s">
        <v>32</v>
      </c>
      <c r="E14" s="83"/>
      <c r="F14" s="64" t="s">
        <v>44</v>
      </c>
      <c r="G14" s="107"/>
      <c r="H14" s="120">
        <f t="shared" si="1"/>
        <v>0</v>
      </c>
      <c r="I14" s="118" t="str">
        <f t="shared" si="0"/>
        <v>1</v>
      </c>
      <c r="J14" s="115">
        <v>40</v>
      </c>
    </row>
    <row r="15" spans="1:11" ht="18" customHeight="1" thickBot="1" x14ac:dyDescent="0.3">
      <c r="A15" s="6"/>
      <c r="B15" s="343"/>
      <c r="C15" s="44"/>
      <c r="D15" s="45" t="s">
        <v>33</v>
      </c>
      <c r="E15" s="84"/>
      <c r="F15" s="63" t="s">
        <v>44</v>
      </c>
      <c r="G15" s="107"/>
      <c r="H15" s="120">
        <f t="shared" si="1"/>
        <v>0</v>
      </c>
      <c r="I15" s="118" t="str">
        <f t="shared" si="0"/>
        <v>1</v>
      </c>
      <c r="J15" s="115">
        <v>40</v>
      </c>
    </row>
    <row r="16" spans="1:11" ht="18" customHeight="1" x14ac:dyDescent="0.25">
      <c r="A16" s="6"/>
      <c r="B16" s="341" t="s">
        <v>34</v>
      </c>
      <c r="C16" s="58"/>
      <c r="D16" s="46" t="s">
        <v>35</v>
      </c>
      <c r="E16" s="85"/>
      <c r="F16" s="47" t="s">
        <v>44</v>
      </c>
      <c r="G16" s="107"/>
      <c r="H16" s="120">
        <f t="shared" si="1"/>
        <v>0</v>
      </c>
      <c r="I16" s="118" t="str">
        <f t="shared" si="0"/>
        <v>1</v>
      </c>
      <c r="J16" s="115">
        <v>40</v>
      </c>
    </row>
    <row r="17" spans="1:11" ht="18" customHeight="1" x14ac:dyDescent="0.25">
      <c r="A17" s="6"/>
      <c r="B17" s="342"/>
      <c r="C17" s="43"/>
      <c r="D17" s="42" t="s">
        <v>36</v>
      </c>
      <c r="E17" s="83"/>
      <c r="F17" s="64" t="s">
        <v>44</v>
      </c>
      <c r="G17" s="107"/>
      <c r="H17" s="120">
        <f t="shared" si="1"/>
        <v>0</v>
      </c>
      <c r="I17" s="118" t="str">
        <f t="shared" si="0"/>
        <v>1</v>
      </c>
      <c r="J17" s="115">
        <v>40</v>
      </c>
    </row>
    <row r="18" spans="1:11" ht="18" customHeight="1" x14ac:dyDescent="0.25">
      <c r="A18" s="6"/>
      <c r="B18" s="342"/>
      <c r="C18" s="43"/>
      <c r="D18" s="42" t="s">
        <v>37</v>
      </c>
      <c r="E18" s="83"/>
      <c r="F18" s="64" t="s">
        <v>44</v>
      </c>
      <c r="G18" s="107"/>
      <c r="H18" s="120">
        <f t="shared" si="1"/>
        <v>0</v>
      </c>
      <c r="I18" s="118" t="str">
        <f t="shared" si="0"/>
        <v>1</v>
      </c>
      <c r="J18" s="115">
        <v>40</v>
      </c>
    </row>
    <row r="19" spans="1:11" ht="18" customHeight="1" thickBot="1" x14ac:dyDescent="0.3">
      <c r="A19" s="6"/>
      <c r="B19" s="343"/>
      <c r="C19" s="48"/>
      <c r="D19" s="49" t="s">
        <v>38</v>
      </c>
      <c r="E19" s="86"/>
      <c r="F19" s="63" t="s">
        <v>44</v>
      </c>
      <c r="G19" s="107"/>
      <c r="H19" s="120">
        <f t="shared" si="1"/>
        <v>0</v>
      </c>
      <c r="I19" s="118" t="str">
        <f t="shared" si="0"/>
        <v>1</v>
      </c>
      <c r="J19" s="115">
        <v>40</v>
      </c>
    </row>
    <row r="20" spans="1:11" ht="18" customHeight="1" x14ac:dyDescent="0.25">
      <c r="A20" s="6"/>
      <c r="B20" s="339" t="s">
        <v>39</v>
      </c>
      <c r="C20" s="50"/>
      <c r="D20" s="51" t="s">
        <v>40</v>
      </c>
      <c r="E20" s="87"/>
      <c r="F20" s="41" t="s">
        <v>44</v>
      </c>
      <c r="G20" s="107"/>
      <c r="H20" s="120">
        <f t="shared" si="1"/>
        <v>0</v>
      </c>
      <c r="I20" s="118" t="str">
        <f t="shared" si="0"/>
        <v>1</v>
      </c>
      <c r="J20" s="115">
        <v>40</v>
      </c>
    </row>
    <row r="21" spans="1:11" ht="18" customHeight="1" thickBot="1" x14ac:dyDescent="0.3">
      <c r="A21" s="6"/>
      <c r="B21" s="340"/>
      <c r="C21" s="52"/>
      <c r="D21" s="53" t="s">
        <v>41</v>
      </c>
      <c r="E21" s="88"/>
      <c r="F21" s="63" t="s">
        <v>44</v>
      </c>
      <c r="G21" s="107"/>
      <c r="H21" s="121">
        <f t="shared" si="1"/>
        <v>0</v>
      </c>
      <c r="I21" s="119" t="str">
        <f t="shared" si="0"/>
        <v>1</v>
      </c>
      <c r="J21" s="116">
        <v>40</v>
      </c>
    </row>
    <row r="22" spans="1:11" ht="18" customHeight="1" thickBot="1" x14ac:dyDescent="0.3">
      <c r="A22" s="6"/>
      <c r="B22" s="54" t="s">
        <v>42</v>
      </c>
      <c r="C22" s="39"/>
      <c r="D22" s="55"/>
      <c r="E22" s="37">
        <f>SUM(E10:E21)</f>
        <v>0</v>
      </c>
      <c r="F22" s="101"/>
      <c r="G22" s="108"/>
      <c r="H22" s="111">
        <f>SUM(H10:H21)</f>
        <v>0</v>
      </c>
      <c r="I22" s="122">
        <f>+I10+I11+I12+I13+I14+I15+I16+I17+I18+I19+I20+I21</f>
        <v>12</v>
      </c>
      <c r="J22" s="112">
        <f>SUM(J10:J21)</f>
        <v>480</v>
      </c>
      <c r="K22" s="110"/>
    </row>
    <row r="23" spans="1:11" ht="18" customHeight="1" x14ac:dyDescent="0.25">
      <c r="A23" s="11"/>
      <c r="B23" s="65"/>
      <c r="C23" s="73"/>
      <c r="D23" s="74"/>
      <c r="E23" s="65"/>
      <c r="F23" s="65"/>
      <c r="G23" s="65"/>
      <c r="H23" s="110"/>
      <c r="I23" s="107"/>
      <c r="J23" s="109"/>
      <c r="K23" s="110"/>
    </row>
    <row r="24" spans="1:11" ht="16.5" x14ac:dyDescent="0.25">
      <c r="A24" s="66"/>
      <c r="B24" s="330"/>
      <c r="C24" s="330"/>
      <c r="D24" s="330"/>
      <c r="E24" s="330"/>
      <c r="F24" s="330"/>
      <c r="G24" s="102"/>
      <c r="H24" s="332"/>
      <c r="I24" s="107"/>
      <c r="J24" s="338"/>
      <c r="K24" s="110"/>
    </row>
    <row r="25" spans="1:11" ht="57" customHeight="1" x14ac:dyDescent="0.25">
      <c r="A25" s="66"/>
      <c r="B25" s="60"/>
      <c r="C25" s="60"/>
      <c r="D25" s="60"/>
      <c r="E25" s="60"/>
      <c r="F25" s="60"/>
      <c r="G25" s="60"/>
      <c r="H25" s="332"/>
      <c r="I25" s="107"/>
      <c r="J25" s="338"/>
      <c r="K25" s="110"/>
    </row>
    <row r="26" spans="1:11" x14ac:dyDescent="0.25">
      <c r="A26" s="77"/>
      <c r="B26" s="329"/>
      <c r="C26" s="67"/>
      <c r="D26" s="71"/>
      <c r="E26" s="69"/>
      <c r="F26" s="67"/>
      <c r="G26" s="67"/>
      <c r="H26" s="331"/>
      <c r="I26" s="62"/>
      <c r="J26" s="333"/>
      <c r="K26" s="103"/>
    </row>
    <row r="27" spans="1:11" x14ac:dyDescent="0.25">
      <c r="A27" s="77"/>
      <c r="B27" s="329"/>
      <c r="C27" s="71"/>
      <c r="D27" s="71"/>
      <c r="E27" s="69"/>
      <c r="F27" s="67"/>
      <c r="G27" s="67"/>
      <c r="H27" s="331"/>
      <c r="I27" s="62"/>
      <c r="J27" s="333"/>
      <c r="K27" s="103"/>
    </row>
    <row r="28" spans="1:11" x14ac:dyDescent="0.25">
      <c r="A28" s="77"/>
      <c r="B28" s="329"/>
      <c r="C28" s="71"/>
      <c r="D28" s="71"/>
      <c r="E28" s="69"/>
      <c r="F28" s="67"/>
      <c r="G28" s="67"/>
      <c r="H28" s="331"/>
      <c r="I28" s="62"/>
      <c r="J28" s="333"/>
      <c r="K28" s="103"/>
    </row>
    <row r="29" spans="1:11" x14ac:dyDescent="0.25">
      <c r="A29" s="77"/>
      <c r="B29" s="329"/>
      <c r="C29" s="71"/>
      <c r="D29" s="71"/>
      <c r="E29" s="69"/>
      <c r="F29" s="67"/>
      <c r="G29" s="67"/>
      <c r="H29" s="331"/>
      <c r="I29" s="62"/>
      <c r="J29" s="333"/>
      <c r="K29" s="103"/>
    </row>
    <row r="30" spans="1:11" x14ac:dyDescent="0.25">
      <c r="A30" s="77"/>
      <c r="B30" s="329"/>
      <c r="C30" s="71"/>
      <c r="D30" s="71"/>
      <c r="E30" s="69"/>
      <c r="F30" s="67"/>
      <c r="G30" s="67"/>
      <c r="H30" s="331"/>
      <c r="I30" s="62"/>
      <c r="J30" s="333"/>
      <c r="K30" s="103"/>
    </row>
    <row r="31" spans="1:11" x14ac:dyDescent="0.25">
      <c r="A31" s="77"/>
      <c r="B31" s="78"/>
      <c r="C31" s="67"/>
      <c r="D31" s="68"/>
      <c r="E31" s="71"/>
      <c r="F31" s="70"/>
      <c r="G31" s="70"/>
      <c r="H31" s="331"/>
      <c r="I31" s="62"/>
      <c r="J31" s="333"/>
      <c r="K31" s="103"/>
    </row>
    <row r="32" spans="1:11" x14ac:dyDescent="0.25">
      <c r="A32" s="77"/>
      <c r="B32" s="77"/>
      <c r="C32" s="77"/>
      <c r="D32" s="77"/>
      <c r="E32" s="77"/>
      <c r="F32" s="77"/>
      <c r="G32" s="77"/>
      <c r="H32" s="331"/>
      <c r="I32" s="62"/>
      <c r="J32" s="333"/>
      <c r="K32" s="103"/>
    </row>
    <row r="33" spans="1:11" x14ac:dyDescent="0.25">
      <c r="A33" s="77"/>
      <c r="B33" s="330"/>
      <c r="C33" s="330"/>
      <c r="D33" s="330"/>
      <c r="E33" s="330"/>
      <c r="F33" s="330"/>
      <c r="G33" s="102"/>
      <c r="H33" s="331"/>
      <c r="I33" s="62"/>
      <c r="J33" s="333"/>
      <c r="K33" s="103"/>
    </row>
    <row r="34" spans="1:11" x14ac:dyDescent="0.25">
      <c r="A34" s="77"/>
      <c r="B34" s="60"/>
      <c r="C34" s="60"/>
      <c r="D34" s="67"/>
      <c r="E34" s="60"/>
      <c r="F34" s="60"/>
      <c r="G34" s="60"/>
      <c r="H34" s="72"/>
      <c r="I34" s="72"/>
      <c r="J34" s="72"/>
      <c r="K34" s="72"/>
    </row>
    <row r="35" spans="1:11" x14ac:dyDescent="0.25">
      <c r="A35" s="77"/>
      <c r="B35" s="79"/>
      <c r="C35" s="67"/>
      <c r="D35" s="67"/>
      <c r="E35" s="80"/>
      <c r="F35" s="67"/>
      <c r="G35" s="67"/>
      <c r="H35" s="72"/>
      <c r="I35" s="72"/>
      <c r="J35" s="72"/>
      <c r="K35" s="72"/>
    </row>
    <row r="36" spans="1:11" x14ac:dyDescent="0.25">
      <c r="A36" s="77"/>
      <c r="B36" s="329"/>
      <c r="C36" s="67"/>
      <c r="D36" s="71"/>
      <c r="E36" s="69"/>
      <c r="F36" s="67"/>
      <c r="G36" s="67"/>
      <c r="H36" s="72"/>
      <c r="I36" s="72"/>
      <c r="J36" s="72"/>
      <c r="K36" s="72"/>
    </row>
    <row r="37" spans="1:11" x14ac:dyDescent="0.25">
      <c r="A37" s="77"/>
      <c r="B37" s="329"/>
      <c r="C37" s="71"/>
      <c r="D37" s="71"/>
      <c r="E37" s="69"/>
      <c r="F37" s="67"/>
      <c r="G37" s="67"/>
      <c r="H37" s="72"/>
      <c r="I37" s="72"/>
      <c r="J37" s="72"/>
      <c r="K37" s="72"/>
    </row>
    <row r="38" spans="1:11" x14ac:dyDescent="0.25">
      <c r="A38" s="77"/>
      <c r="B38" s="329"/>
      <c r="C38" s="71"/>
      <c r="D38" s="71"/>
      <c r="E38" s="69"/>
      <c r="F38" s="67"/>
      <c r="G38" s="67"/>
      <c r="H38" s="72"/>
      <c r="I38" s="72"/>
      <c r="J38" s="72"/>
      <c r="K38" s="72"/>
    </row>
    <row r="39" spans="1:11" x14ac:dyDescent="0.25">
      <c r="A39" s="77"/>
      <c r="B39" s="329"/>
      <c r="C39" s="71"/>
      <c r="D39" s="71"/>
      <c r="E39" s="69"/>
      <c r="F39" s="67"/>
      <c r="G39" s="67"/>
      <c r="H39" s="72"/>
      <c r="I39" s="72"/>
      <c r="J39" s="72"/>
      <c r="K39" s="72"/>
    </row>
    <row r="40" spans="1:11" x14ac:dyDescent="0.25">
      <c r="A40" s="77"/>
      <c r="B40" s="329"/>
      <c r="C40" s="71"/>
      <c r="D40" s="71"/>
      <c r="E40" s="69"/>
      <c r="F40" s="67"/>
      <c r="G40" s="67"/>
      <c r="H40" s="72"/>
      <c r="I40" s="72"/>
      <c r="J40" s="72"/>
      <c r="K40" s="72"/>
    </row>
    <row r="41" spans="1:11" x14ac:dyDescent="0.25">
      <c r="A41" s="77"/>
      <c r="B41" s="78"/>
      <c r="C41" s="67"/>
      <c r="D41" s="68"/>
      <c r="E41" s="71"/>
      <c r="F41" s="70"/>
      <c r="G41" s="70"/>
      <c r="H41" s="72"/>
      <c r="I41" s="72"/>
      <c r="J41" s="72"/>
      <c r="K41" s="72"/>
    </row>
    <row r="42" spans="1:11" x14ac:dyDescent="0.25">
      <c r="A42" s="77"/>
      <c r="B42" s="77"/>
      <c r="C42" s="77"/>
      <c r="D42" s="77"/>
      <c r="E42" s="77"/>
      <c r="F42" s="77"/>
      <c r="G42" s="77"/>
      <c r="H42" s="72"/>
      <c r="I42" s="72"/>
      <c r="J42" s="72"/>
      <c r="K42" s="72"/>
    </row>
    <row r="43" spans="1:11" x14ac:dyDescent="0.25">
      <c r="A43" s="77"/>
      <c r="B43" s="78"/>
      <c r="C43" s="67"/>
      <c r="D43" s="68"/>
      <c r="E43" s="71"/>
      <c r="F43" s="70"/>
      <c r="G43" s="70"/>
      <c r="H43" s="72"/>
      <c r="I43" s="72"/>
      <c r="J43" s="72"/>
      <c r="K43" s="72"/>
    </row>
    <row r="44" spans="1:11" x14ac:dyDescent="0.25">
      <c r="A44" s="77"/>
      <c r="B44" s="77"/>
      <c r="C44" s="77"/>
      <c r="D44" s="77"/>
      <c r="E44" s="77"/>
      <c r="F44" s="77"/>
      <c r="G44" s="77"/>
      <c r="H44" s="72"/>
      <c r="I44" s="72"/>
      <c r="J44" s="72"/>
      <c r="K44" s="72"/>
    </row>
    <row r="45" spans="1:11" x14ac:dyDescent="0.25">
      <c r="A45" s="77"/>
      <c r="B45" s="77"/>
      <c r="C45" s="77"/>
      <c r="D45" s="77"/>
      <c r="E45" s="77"/>
      <c r="F45" s="77"/>
      <c r="G45" s="77"/>
      <c r="H45" s="72"/>
      <c r="I45" s="72"/>
      <c r="J45" s="72"/>
      <c r="K45" s="72"/>
    </row>
    <row r="46" spans="1:11" x14ac:dyDescent="0.25">
      <c r="A46" s="77"/>
      <c r="B46" s="77"/>
      <c r="C46" s="77"/>
      <c r="D46" s="77"/>
      <c r="E46" s="77"/>
      <c r="F46" s="77"/>
      <c r="G46" s="77"/>
      <c r="H46" s="72"/>
      <c r="I46" s="72"/>
      <c r="J46" s="72"/>
      <c r="K46" s="72"/>
    </row>
    <row r="47" spans="1:11" x14ac:dyDescent="0.25">
      <c r="A47" s="77"/>
      <c r="B47" s="77"/>
      <c r="C47" s="77"/>
      <c r="D47" s="77"/>
      <c r="E47" s="77"/>
      <c r="F47" s="77"/>
      <c r="G47" s="77"/>
      <c r="H47" s="72"/>
      <c r="I47" s="72"/>
      <c r="J47" s="72"/>
      <c r="K47" s="72"/>
    </row>
    <row r="48" spans="1:11" ht="15" customHeight="1" x14ac:dyDescent="0.25">
      <c r="A48" s="77"/>
      <c r="B48" s="77"/>
      <c r="C48" s="77"/>
      <c r="D48" s="77"/>
      <c r="E48" s="77"/>
      <c r="F48" s="77"/>
      <c r="G48" s="77"/>
      <c r="H48" s="72"/>
      <c r="I48" s="72"/>
      <c r="J48" s="72"/>
      <c r="K48" s="72"/>
    </row>
    <row r="49" spans="3:11" x14ac:dyDescent="0.25">
      <c r="C49" s="75"/>
      <c r="H49" s="72"/>
      <c r="I49" s="72"/>
      <c r="J49" s="72"/>
      <c r="K49" s="72"/>
    </row>
    <row r="50" spans="3:11" x14ac:dyDescent="0.25">
      <c r="H50" s="72"/>
      <c r="I50" s="72"/>
      <c r="J50" s="72"/>
      <c r="K50" s="72"/>
    </row>
    <row r="53" spans="3:11" ht="25.5" x14ac:dyDescent="0.5">
      <c r="C53" s="76"/>
    </row>
  </sheetData>
  <mergeCells count="23">
    <mergeCell ref="J26:J27"/>
    <mergeCell ref="J28:J29"/>
    <mergeCell ref="J30:J31"/>
    <mergeCell ref="J32:J33"/>
    <mergeCell ref="B2:K2"/>
    <mergeCell ref="B3:K3"/>
    <mergeCell ref="H8:K8"/>
    <mergeCell ref="E6:K6"/>
    <mergeCell ref="J24:J25"/>
    <mergeCell ref="B20:B21"/>
    <mergeCell ref="B16:B19"/>
    <mergeCell ref="B11:B15"/>
    <mergeCell ref="B5:E5"/>
    <mergeCell ref="B8:F8"/>
    <mergeCell ref="B36:B40"/>
    <mergeCell ref="B33:F33"/>
    <mergeCell ref="H30:H31"/>
    <mergeCell ref="H32:H33"/>
    <mergeCell ref="B24:F24"/>
    <mergeCell ref="B26:B30"/>
    <mergeCell ref="H24:H25"/>
    <mergeCell ref="H26:H27"/>
    <mergeCell ref="H28:H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2"/>
  <sheetViews>
    <sheetView showGridLines="0" tabSelected="1" view="pageBreakPreview" zoomScale="85" zoomScaleNormal="100" zoomScaleSheetLayoutView="85" workbookViewId="0">
      <selection activeCell="M39" sqref="M39:M42"/>
    </sheetView>
  </sheetViews>
  <sheetFormatPr baseColWidth="10" defaultRowHeight="15" x14ac:dyDescent="0.25"/>
  <cols>
    <col min="1" max="1" width="3.7109375" customWidth="1"/>
    <col min="2" max="2" width="20.7109375" customWidth="1"/>
    <col min="3" max="3" width="19" customWidth="1"/>
    <col min="4" max="4" width="19.85546875" customWidth="1"/>
    <col min="5" max="5" width="20.42578125" customWidth="1"/>
    <col min="6" max="6" width="16.42578125" customWidth="1"/>
    <col min="7" max="7" width="2.7109375" customWidth="1"/>
    <col min="8" max="8" width="16.7109375" customWidth="1"/>
    <col min="9" max="9" width="19.140625" customWidth="1"/>
    <col min="10" max="10" width="17.7109375" customWidth="1"/>
    <col min="11" max="11" width="19.5703125" customWidth="1"/>
    <col min="12" max="12" width="14.7109375" customWidth="1"/>
    <col min="14" max="14" width="18.140625" style="75" customWidth="1"/>
  </cols>
  <sheetData>
    <row r="1" spans="1:17" x14ac:dyDescent="0.2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216"/>
    </row>
    <row r="2" spans="1:17" ht="15" customHeight="1" x14ac:dyDescent="0.25">
      <c r="A2" s="89"/>
      <c r="B2" s="394" t="str">
        <f>MATRICULA!B2</f>
        <v>GRUPO 9</v>
      </c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89"/>
      <c r="N2" s="216"/>
    </row>
    <row r="3" spans="1:17" ht="30" customHeight="1" x14ac:dyDescent="0.25">
      <c r="A3" s="89"/>
      <c r="B3" s="395" t="str">
        <f>MATRICULA!B3</f>
        <v>INEM - PASTO</v>
      </c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89"/>
      <c r="N3" s="216"/>
    </row>
    <row r="4" spans="1:17" ht="30" customHeight="1" x14ac:dyDescent="0.25">
      <c r="A4" s="89"/>
      <c r="B4" s="396" t="s">
        <v>109</v>
      </c>
      <c r="C4" s="396"/>
      <c r="D4" s="215"/>
      <c r="E4" s="215"/>
      <c r="F4" s="215"/>
      <c r="G4" s="215"/>
      <c r="H4" s="215"/>
      <c r="I4" s="215"/>
      <c r="J4" s="215"/>
      <c r="M4" s="89"/>
      <c r="N4" s="216"/>
    </row>
    <row r="5" spans="1:17" ht="15" customHeight="1" thickBot="1" x14ac:dyDescent="0.3">
      <c r="A5" s="89"/>
      <c r="B5" s="397" t="s">
        <v>130</v>
      </c>
      <c r="C5" s="397"/>
      <c r="D5" s="215"/>
      <c r="E5" s="215"/>
      <c r="F5" s="215"/>
      <c r="G5" s="215"/>
      <c r="H5" s="215"/>
      <c r="I5" s="215"/>
      <c r="J5" s="215"/>
      <c r="K5" s="229"/>
      <c r="L5" s="230"/>
      <c r="M5" s="89"/>
      <c r="N5" s="216"/>
    </row>
    <row r="6" spans="1:17" ht="45" customHeight="1" thickBot="1" x14ac:dyDescent="0.3">
      <c r="A6" s="89"/>
      <c r="B6" s="254" t="s">
        <v>108</v>
      </c>
      <c r="C6" s="270" t="s">
        <v>110</v>
      </c>
      <c r="D6" s="254" t="s">
        <v>111</v>
      </c>
      <c r="E6" s="254" t="s">
        <v>112</v>
      </c>
      <c r="F6" s="215"/>
      <c r="G6" s="215"/>
      <c r="H6" s="215"/>
      <c r="I6" s="215"/>
      <c r="J6" s="215"/>
      <c r="K6" s="229"/>
      <c r="L6" s="230"/>
      <c r="M6" s="89"/>
      <c r="N6" s="216"/>
    </row>
    <row r="7" spans="1:17" ht="15" customHeight="1" x14ac:dyDescent="0.25">
      <c r="A7" s="89"/>
      <c r="B7" s="271" t="s">
        <v>26</v>
      </c>
      <c r="C7" s="261">
        <v>20</v>
      </c>
      <c r="D7" s="262">
        <v>2</v>
      </c>
      <c r="E7" s="263">
        <f>+C7*D7</f>
        <v>40</v>
      </c>
      <c r="F7" s="215"/>
      <c r="G7" s="215"/>
      <c r="H7" s="215"/>
      <c r="I7" s="215"/>
      <c r="J7" s="215"/>
      <c r="K7" s="229"/>
      <c r="L7" s="230"/>
      <c r="M7" s="89"/>
      <c r="N7" s="216"/>
    </row>
    <row r="8" spans="1:17" ht="15" customHeight="1" x14ac:dyDescent="0.25">
      <c r="A8" s="89"/>
      <c r="B8" s="271" t="s">
        <v>113</v>
      </c>
      <c r="C8" s="261">
        <v>40</v>
      </c>
      <c r="D8" s="262">
        <v>1.65</v>
      </c>
      <c r="E8" s="263">
        <f>+C8*D8</f>
        <v>66</v>
      </c>
      <c r="F8" s="215"/>
      <c r="G8" s="215"/>
      <c r="H8" s="215"/>
      <c r="I8" s="215"/>
      <c r="J8" s="215"/>
      <c r="K8" s="229"/>
      <c r="L8" s="230"/>
      <c r="M8" s="89"/>
      <c r="N8" s="216"/>
    </row>
    <row r="9" spans="1:17" ht="15" customHeight="1" thickBot="1" x14ac:dyDescent="0.3">
      <c r="A9" s="89"/>
      <c r="B9" s="272" t="s">
        <v>114</v>
      </c>
      <c r="C9" s="264">
        <v>12</v>
      </c>
      <c r="D9" s="265">
        <v>1.85</v>
      </c>
      <c r="E9" s="266">
        <f>+C9*D9</f>
        <v>22.200000000000003</v>
      </c>
      <c r="F9" s="215"/>
      <c r="G9" s="215"/>
      <c r="H9" s="215"/>
      <c r="I9" s="215"/>
      <c r="J9" s="215"/>
      <c r="K9" s="229"/>
      <c r="L9" s="230"/>
      <c r="M9" s="89"/>
      <c r="N9" s="216"/>
    </row>
    <row r="10" spans="1:17" ht="15" customHeight="1" x14ac:dyDescent="0.25">
      <c r="A10" s="89"/>
      <c r="B10" s="215"/>
      <c r="C10" s="231"/>
      <c r="D10" s="215"/>
      <c r="E10" s="215"/>
      <c r="F10" s="215"/>
      <c r="G10" s="215"/>
      <c r="H10" s="215"/>
      <c r="I10" s="215"/>
      <c r="J10" s="215"/>
      <c r="K10" s="229"/>
      <c r="L10" s="230"/>
      <c r="M10" s="89"/>
      <c r="N10" s="216"/>
    </row>
    <row r="11" spans="1:17" ht="15.75" customHeight="1" thickBot="1" x14ac:dyDescent="0.3">
      <c r="A11" s="89"/>
      <c r="B11" s="381" t="s">
        <v>45</v>
      </c>
      <c r="C11" s="381"/>
      <c r="D11" s="381"/>
      <c r="E11" s="381"/>
      <c r="F11" s="97"/>
      <c r="G11" s="90"/>
      <c r="H11" s="382" t="s">
        <v>46</v>
      </c>
      <c r="I11" s="382"/>
      <c r="J11" s="382"/>
      <c r="K11" s="382"/>
      <c r="L11" s="382"/>
      <c r="M11" s="382"/>
      <c r="N11" s="217"/>
      <c r="O11" s="90"/>
      <c r="P11" s="90"/>
      <c r="Q11" s="89"/>
    </row>
    <row r="12" spans="1:17" ht="15" customHeight="1" x14ac:dyDescent="0.25">
      <c r="A12" s="89"/>
      <c r="B12" s="383" t="s">
        <v>79</v>
      </c>
      <c r="C12" s="385" t="s">
        <v>47</v>
      </c>
      <c r="D12" s="385" t="s">
        <v>80</v>
      </c>
      <c r="E12" s="385" t="s">
        <v>50</v>
      </c>
      <c r="F12" s="385" t="s">
        <v>48</v>
      </c>
      <c r="G12" s="173"/>
      <c r="H12" s="385" t="s">
        <v>49</v>
      </c>
      <c r="I12" s="385" t="s">
        <v>65</v>
      </c>
      <c r="J12" s="385" t="s">
        <v>50</v>
      </c>
      <c r="K12" s="385" t="s">
        <v>51</v>
      </c>
      <c r="L12" s="385" t="s">
        <v>81</v>
      </c>
      <c r="M12" s="385" t="s">
        <v>82</v>
      </c>
      <c r="N12" s="393" t="s">
        <v>92</v>
      </c>
      <c r="O12" s="91"/>
      <c r="P12" s="90"/>
      <c r="Q12" s="89"/>
    </row>
    <row r="13" spans="1:17" ht="15" customHeight="1" thickBot="1" x14ac:dyDescent="0.3">
      <c r="A13" s="89"/>
      <c r="B13" s="384"/>
      <c r="C13" s="386"/>
      <c r="D13" s="386"/>
      <c r="E13" s="386"/>
      <c r="F13" s="386"/>
      <c r="G13" s="173"/>
      <c r="H13" s="386"/>
      <c r="I13" s="386"/>
      <c r="J13" s="386"/>
      <c r="K13" s="386"/>
      <c r="L13" s="386"/>
      <c r="M13" s="386"/>
      <c r="N13" s="393"/>
      <c r="O13" s="91"/>
      <c r="P13" s="90"/>
      <c r="Q13" s="89"/>
    </row>
    <row r="14" spans="1:17" ht="27.75" customHeight="1" thickBot="1" x14ac:dyDescent="0.3">
      <c r="A14" s="89"/>
      <c r="B14" s="273" t="s">
        <v>83</v>
      </c>
      <c r="C14" s="92">
        <v>2000</v>
      </c>
      <c r="D14" s="174">
        <v>40</v>
      </c>
      <c r="E14" s="93">
        <v>1.65</v>
      </c>
      <c r="F14" s="94">
        <f>D14*E14</f>
        <v>66</v>
      </c>
      <c r="G14" s="95"/>
      <c r="H14" s="192">
        <v>66.010000000000005</v>
      </c>
      <c r="I14" s="192">
        <f>H14-$F$14</f>
        <v>1.0000000000005116E-2</v>
      </c>
      <c r="J14" s="175">
        <f>H14/$D$14</f>
        <v>1.6502500000000002</v>
      </c>
      <c r="K14" s="176" t="str">
        <f>IF(J14&gt;E14," CUMPLE "," NO CUMPLE ")</f>
        <v xml:space="preserve"> CUMPLE </v>
      </c>
      <c r="L14" s="177">
        <v>40</v>
      </c>
      <c r="M14" s="178">
        <v>1</v>
      </c>
      <c r="N14" s="226" t="s">
        <v>92</v>
      </c>
      <c r="O14" s="96"/>
      <c r="P14" s="90"/>
      <c r="Q14" s="89"/>
    </row>
    <row r="15" spans="1:17" ht="20.100000000000001" customHeight="1" x14ac:dyDescent="0.25">
      <c r="A15" s="89"/>
      <c r="B15" s="98"/>
      <c r="C15" s="99"/>
      <c r="D15" s="179"/>
      <c r="E15" s="100"/>
      <c r="F15" s="95"/>
      <c r="G15" s="95"/>
      <c r="H15" s="193">
        <v>66.41</v>
      </c>
      <c r="I15" s="193">
        <f t="shared" ref="I15:I24" si="0">H15-$F$14</f>
        <v>0.40999999999999659</v>
      </c>
      <c r="J15" s="180">
        <f t="shared" ref="J15:J24" si="1">H15/$D$14</f>
        <v>1.66025</v>
      </c>
      <c r="K15" s="181" t="str">
        <f t="shared" ref="K15:K24" si="2">IF(J15&gt;E15," CUMPLE "," NO CUMPLE ")</f>
        <v xml:space="preserve"> CUMPLE </v>
      </c>
      <c r="L15" s="182">
        <v>40</v>
      </c>
      <c r="M15" s="183">
        <v>2</v>
      </c>
      <c r="N15" s="226" t="s">
        <v>92</v>
      </c>
      <c r="O15" s="96"/>
      <c r="P15" s="90"/>
      <c r="Q15" s="89"/>
    </row>
    <row r="16" spans="1:17" ht="20.100000000000001" customHeight="1" x14ac:dyDescent="0.25">
      <c r="A16" s="89"/>
      <c r="B16" s="98"/>
      <c r="C16" s="99"/>
      <c r="D16" s="179"/>
      <c r="E16" s="100"/>
      <c r="F16" s="95"/>
      <c r="G16" s="95"/>
      <c r="H16" s="193">
        <v>66.489999999999995</v>
      </c>
      <c r="I16" s="193">
        <f t="shared" si="0"/>
        <v>0.48999999999999488</v>
      </c>
      <c r="J16" s="180">
        <f t="shared" si="1"/>
        <v>1.6622499999999998</v>
      </c>
      <c r="K16" s="181" t="str">
        <f t="shared" si="2"/>
        <v xml:space="preserve"> CUMPLE </v>
      </c>
      <c r="L16" s="182">
        <v>40</v>
      </c>
      <c r="M16" s="183">
        <v>3</v>
      </c>
      <c r="N16" s="226" t="s">
        <v>92</v>
      </c>
      <c r="O16" s="96"/>
      <c r="P16" s="90"/>
      <c r="Q16" s="89"/>
    </row>
    <row r="17" spans="1:17" ht="20.100000000000001" customHeight="1" x14ac:dyDescent="0.25">
      <c r="A17" s="89"/>
      <c r="B17" s="98"/>
      <c r="C17" s="99"/>
      <c r="D17" s="179"/>
      <c r="E17" s="100"/>
      <c r="F17" s="95"/>
      <c r="G17" s="95"/>
      <c r="H17" s="193">
        <v>66.400000000000006</v>
      </c>
      <c r="I17" s="193">
        <f t="shared" si="0"/>
        <v>0.40000000000000568</v>
      </c>
      <c r="J17" s="180">
        <f t="shared" si="1"/>
        <v>1.6600000000000001</v>
      </c>
      <c r="K17" s="181" t="str">
        <f t="shared" si="2"/>
        <v xml:space="preserve"> CUMPLE </v>
      </c>
      <c r="L17" s="182">
        <v>40</v>
      </c>
      <c r="M17" s="183">
        <v>4</v>
      </c>
      <c r="N17" s="226" t="s">
        <v>92</v>
      </c>
      <c r="O17" s="96"/>
      <c r="P17" s="90"/>
      <c r="Q17" s="89"/>
    </row>
    <row r="18" spans="1:17" ht="20.100000000000001" customHeight="1" x14ac:dyDescent="0.25">
      <c r="A18" s="89"/>
      <c r="B18" s="98"/>
      <c r="C18" s="99"/>
      <c r="D18" s="179"/>
      <c r="E18" s="100"/>
      <c r="F18" s="95"/>
      <c r="G18" s="95"/>
      <c r="H18" s="193">
        <v>66.430000000000007</v>
      </c>
      <c r="I18" s="193">
        <f t="shared" si="0"/>
        <v>0.43000000000000682</v>
      </c>
      <c r="J18" s="180">
        <f t="shared" si="1"/>
        <v>1.6607500000000002</v>
      </c>
      <c r="K18" s="181" t="str">
        <f t="shared" si="2"/>
        <v xml:space="preserve"> CUMPLE </v>
      </c>
      <c r="L18" s="182">
        <v>40</v>
      </c>
      <c r="M18" s="183">
        <v>5</v>
      </c>
      <c r="N18" s="226" t="s">
        <v>92</v>
      </c>
      <c r="O18" s="96"/>
      <c r="P18" s="90"/>
      <c r="Q18" s="89"/>
    </row>
    <row r="19" spans="1:17" ht="20.100000000000001" customHeight="1" x14ac:dyDescent="0.25">
      <c r="A19" s="89"/>
      <c r="B19" s="98"/>
      <c r="C19" s="99"/>
      <c r="D19" s="179"/>
      <c r="E19" s="100"/>
      <c r="F19" s="95"/>
      <c r="G19" s="95"/>
      <c r="H19" s="193">
        <v>66.64</v>
      </c>
      <c r="I19" s="193">
        <f t="shared" si="0"/>
        <v>0.64000000000000057</v>
      </c>
      <c r="J19" s="180">
        <f t="shared" si="1"/>
        <v>1.6659999999999999</v>
      </c>
      <c r="K19" s="181" t="str">
        <f t="shared" si="2"/>
        <v xml:space="preserve"> CUMPLE </v>
      </c>
      <c r="L19" s="182">
        <v>40</v>
      </c>
      <c r="M19" s="183">
        <v>6</v>
      </c>
      <c r="N19" s="226" t="s">
        <v>92</v>
      </c>
      <c r="O19" s="96"/>
      <c r="P19" s="90"/>
      <c r="Q19" s="89"/>
    </row>
    <row r="20" spans="1:17" ht="20.100000000000001" customHeight="1" x14ac:dyDescent="0.25">
      <c r="A20" s="89"/>
      <c r="B20" s="98"/>
      <c r="C20" s="99"/>
      <c r="D20" s="179"/>
      <c r="E20" s="100"/>
      <c r="G20" s="95"/>
      <c r="H20" s="193">
        <v>66.53</v>
      </c>
      <c r="I20" s="193">
        <f t="shared" si="0"/>
        <v>0.53000000000000114</v>
      </c>
      <c r="J20" s="180">
        <f t="shared" si="1"/>
        <v>1.6632500000000001</v>
      </c>
      <c r="K20" s="181" t="str">
        <f t="shared" si="2"/>
        <v xml:space="preserve"> CUMPLE </v>
      </c>
      <c r="L20" s="182">
        <v>40</v>
      </c>
      <c r="M20" s="183">
        <v>7</v>
      </c>
      <c r="N20" s="226" t="s">
        <v>92</v>
      </c>
      <c r="O20" s="96"/>
      <c r="P20" s="90"/>
      <c r="Q20" s="89"/>
    </row>
    <row r="21" spans="1:17" ht="20.100000000000001" customHeight="1" x14ac:dyDescent="0.25">
      <c r="A21" s="89"/>
      <c r="B21" s="98"/>
      <c r="C21" s="99"/>
      <c r="D21" s="179"/>
      <c r="E21" s="100"/>
      <c r="F21" s="184"/>
      <c r="G21" s="95"/>
      <c r="H21" s="193">
        <v>66.010000000000005</v>
      </c>
      <c r="I21" s="193">
        <f t="shared" si="0"/>
        <v>1.0000000000005116E-2</v>
      </c>
      <c r="J21" s="180">
        <f t="shared" si="1"/>
        <v>1.6502500000000002</v>
      </c>
      <c r="K21" s="181" t="str">
        <f t="shared" si="2"/>
        <v xml:space="preserve"> CUMPLE </v>
      </c>
      <c r="L21" s="182">
        <v>40</v>
      </c>
      <c r="M21" s="183">
        <v>8</v>
      </c>
      <c r="N21" s="226" t="s">
        <v>92</v>
      </c>
      <c r="O21" s="96"/>
      <c r="P21" s="90"/>
      <c r="Q21" s="89"/>
    </row>
    <row r="22" spans="1:17" ht="20.100000000000001" customHeight="1" x14ac:dyDescent="0.25">
      <c r="A22" s="89"/>
      <c r="B22" s="98"/>
      <c r="C22" s="99"/>
      <c r="D22" s="179"/>
      <c r="E22" s="100"/>
      <c r="F22" s="184"/>
      <c r="G22" s="95"/>
      <c r="H22" s="193">
        <v>66.41</v>
      </c>
      <c r="I22" s="193">
        <f t="shared" si="0"/>
        <v>0.40999999999999659</v>
      </c>
      <c r="J22" s="180">
        <f t="shared" si="1"/>
        <v>1.66025</v>
      </c>
      <c r="K22" s="181" t="str">
        <f t="shared" si="2"/>
        <v xml:space="preserve"> CUMPLE </v>
      </c>
      <c r="L22" s="182">
        <v>40</v>
      </c>
      <c r="M22" s="183">
        <v>9</v>
      </c>
      <c r="N22" s="226" t="s">
        <v>92</v>
      </c>
      <c r="O22" s="96"/>
      <c r="P22" s="90"/>
      <c r="Q22" s="89"/>
    </row>
    <row r="23" spans="1:17" ht="20.100000000000001" customHeight="1" x14ac:dyDescent="0.25">
      <c r="A23" s="89"/>
      <c r="B23" s="98"/>
      <c r="C23" s="99"/>
      <c r="D23" s="179"/>
      <c r="E23" s="100"/>
      <c r="F23" s="184"/>
      <c r="G23" s="95"/>
      <c r="H23" s="193">
        <v>66.489999999999995</v>
      </c>
      <c r="I23" s="193">
        <f t="shared" si="0"/>
        <v>0.48999999999999488</v>
      </c>
      <c r="J23" s="180">
        <f t="shared" si="1"/>
        <v>1.6622499999999998</v>
      </c>
      <c r="K23" s="181" t="str">
        <f t="shared" si="2"/>
        <v xml:space="preserve"> CUMPLE </v>
      </c>
      <c r="L23" s="182">
        <v>40</v>
      </c>
      <c r="M23" s="183">
        <v>10</v>
      </c>
      <c r="N23" s="226" t="s">
        <v>92</v>
      </c>
      <c r="O23" s="96"/>
      <c r="P23" s="90"/>
      <c r="Q23" s="89"/>
    </row>
    <row r="24" spans="1:17" ht="20.100000000000001" customHeight="1" thickBot="1" x14ac:dyDescent="0.3">
      <c r="A24" s="89"/>
      <c r="B24" s="98"/>
      <c r="C24" s="99"/>
      <c r="D24" s="179"/>
      <c r="E24" s="100"/>
      <c r="F24" s="184"/>
      <c r="G24" s="95"/>
      <c r="H24" s="194">
        <v>66.400000000000006</v>
      </c>
      <c r="I24" s="194">
        <f t="shared" si="0"/>
        <v>0.40000000000000568</v>
      </c>
      <c r="J24" s="185">
        <f t="shared" si="1"/>
        <v>1.6600000000000001</v>
      </c>
      <c r="K24" s="186" t="str">
        <f t="shared" si="2"/>
        <v xml:space="preserve"> CUMPLE </v>
      </c>
      <c r="L24" s="187">
        <v>40</v>
      </c>
      <c r="M24" s="188">
        <v>11</v>
      </c>
      <c r="N24" s="226" t="s">
        <v>92</v>
      </c>
      <c r="O24" s="96"/>
      <c r="P24" s="90"/>
      <c r="Q24" s="89"/>
    </row>
    <row r="25" spans="1:17" ht="20.100000000000001" customHeight="1" thickBot="1" x14ac:dyDescent="0.3">
      <c r="A25" s="89"/>
      <c r="B25" s="98"/>
      <c r="C25" s="99"/>
      <c r="D25" s="179"/>
      <c r="E25" s="100"/>
      <c r="F25" s="184" t="s">
        <v>84</v>
      </c>
      <c r="G25" s="95"/>
      <c r="H25" s="227">
        <f>SUM(H14:H24)</f>
        <v>730.22</v>
      </c>
      <c r="I25" s="189"/>
      <c r="J25" s="189"/>
      <c r="K25" s="190"/>
      <c r="L25" s="191">
        <f>SUM(L14:L24)</f>
        <v>440</v>
      </c>
      <c r="M25" s="228">
        <f>M24</f>
        <v>11</v>
      </c>
      <c r="N25" s="226" t="s">
        <v>107</v>
      </c>
      <c r="O25" s="96"/>
      <c r="P25" s="90"/>
      <c r="Q25" s="89"/>
    </row>
    <row r="26" spans="1:17" ht="20.100000000000001" customHeight="1" x14ac:dyDescent="0.25">
      <c r="A26" s="89"/>
      <c r="B26" s="98"/>
      <c r="C26" s="99"/>
      <c r="D26" s="179"/>
      <c r="E26" s="100"/>
      <c r="F26" s="184"/>
      <c r="G26" s="95"/>
      <c r="H26" s="95"/>
      <c r="I26" s="95"/>
      <c r="J26" s="95"/>
      <c r="K26" s="232"/>
      <c r="L26" s="99"/>
      <c r="M26" s="233"/>
      <c r="N26" s="226"/>
      <c r="O26" s="96"/>
      <c r="P26" s="90"/>
      <c r="Q26" s="89"/>
    </row>
    <row r="27" spans="1:17" ht="15" customHeight="1" thickBot="1" x14ac:dyDescent="0.3">
      <c r="B27" s="91" t="s">
        <v>129</v>
      </c>
      <c r="C27" s="91"/>
      <c r="D27" s="234"/>
      <c r="N27" s="223"/>
    </row>
    <row r="28" spans="1:17" ht="15.75" thickBot="1" x14ac:dyDescent="0.3">
      <c r="B28" s="247" t="s">
        <v>131</v>
      </c>
      <c r="C28" s="408" t="s">
        <v>132</v>
      </c>
      <c r="D28" s="409"/>
      <c r="E28" s="253" t="s">
        <v>133</v>
      </c>
      <c r="N28" s="223"/>
    </row>
    <row r="29" spans="1:17" x14ac:dyDescent="0.25">
      <c r="B29" s="248" t="s">
        <v>26</v>
      </c>
      <c r="C29" s="410" t="s">
        <v>135</v>
      </c>
      <c r="D29" s="411"/>
      <c r="E29" s="268">
        <v>3</v>
      </c>
      <c r="N29" s="223"/>
    </row>
    <row r="30" spans="1:17" ht="15.75" thickBot="1" x14ac:dyDescent="0.3">
      <c r="B30" s="240" t="s">
        <v>134</v>
      </c>
      <c r="C30" s="412" t="s">
        <v>136</v>
      </c>
      <c r="D30" s="413"/>
      <c r="E30" s="269">
        <v>3.6</v>
      </c>
      <c r="N30" s="223"/>
    </row>
    <row r="31" spans="1:17" x14ac:dyDescent="0.25">
      <c r="N31" s="223"/>
    </row>
    <row r="32" spans="1:17" ht="15.75" thickBot="1" x14ac:dyDescent="0.3">
      <c r="A32" s="89"/>
      <c r="B32" s="381" t="s">
        <v>45</v>
      </c>
      <c r="C32" s="381"/>
      <c r="D32" s="381"/>
      <c r="E32" s="381"/>
      <c r="F32" s="97"/>
      <c r="G32" s="90"/>
      <c r="H32" s="382" t="s">
        <v>46</v>
      </c>
      <c r="I32" s="382"/>
      <c r="J32" s="382"/>
      <c r="K32" s="382"/>
      <c r="L32" s="382"/>
      <c r="M32" s="90"/>
      <c r="N32" s="217"/>
      <c r="O32" s="90"/>
      <c r="P32" s="90"/>
      <c r="Q32" s="89"/>
    </row>
    <row r="33" spans="1:17" ht="15" customHeight="1" x14ac:dyDescent="0.25">
      <c r="A33" s="89"/>
      <c r="B33" s="383" t="s">
        <v>52</v>
      </c>
      <c r="C33" s="385" t="s">
        <v>85</v>
      </c>
      <c r="D33" s="387" t="s">
        <v>50</v>
      </c>
      <c r="E33" s="195" t="s">
        <v>86</v>
      </c>
      <c r="F33" s="387" t="s">
        <v>48</v>
      </c>
      <c r="G33" s="173"/>
      <c r="H33" s="385" t="s">
        <v>49</v>
      </c>
      <c r="I33" s="385" t="s">
        <v>65</v>
      </c>
      <c r="J33" s="387" t="s">
        <v>87</v>
      </c>
      <c r="K33" s="389" t="s">
        <v>51</v>
      </c>
      <c r="L33" s="390"/>
      <c r="M33" s="89"/>
      <c r="N33" s="218"/>
      <c r="O33" s="91"/>
      <c r="P33" s="90"/>
      <c r="Q33" s="89"/>
    </row>
    <row r="34" spans="1:17" ht="15.75" thickBot="1" x14ac:dyDescent="0.3">
      <c r="A34" s="89"/>
      <c r="B34" s="384"/>
      <c r="C34" s="386"/>
      <c r="D34" s="388"/>
      <c r="E34" s="196">
        <f>+L25</f>
        <v>440</v>
      </c>
      <c r="F34" s="388"/>
      <c r="G34" s="173"/>
      <c r="H34" s="386"/>
      <c r="I34" s="386"/>
      <c r="J34" s="388"/>
      <c r="K34" s="391"/>
      <c r="L34" s="392"/>
      <c r="M34" s="89"/>
      <c r="N34" s="218"/>
      <c r="O34" s="91"/>
      <c r="P34" s="90"/>
      <c r="Q34" s="89"/>
    </row>
    <row r="35" spans="1:17" ht="39.950000000000003" customHeight="1" thickBot="1" x14ac:dyDescent="0.3">
      <c r="A35" s="89"/>
      <c r="B35" s="274" t="s">
        <v>88</v>
      </c>
      <c r="C35" s="174">
        <v>25</v>
      </c>
      <c r="D35" s="93">
        <v>3.6</v>
      </c>
      <c r="E35" s="94">
        <f>E34/C35</f>
        <v>17.600000000000001</v>
      </c>
      <c r="F35" s="94">
        <f>D35*E35</f>
        <v>63.360000000000007</v>
      </c>
      <c r="G35" s="95"/>
      <c r="H35" s="94">
        <v>83.82</v>
      </c>
      <c r="I35" s="94">
        <f>H35-F35</f>
        <v>20.459999999999987</v>
      </c>
      <c r="J35" s="197">
        <v>18</v>
      </c>
      <c r="K35" s="379" t="str">
        <f>IF(J35&gt;E35," CUMPLE "," NO CUMPLE ")</f>
        <v xml:space="preserve"> CUMPLE </v>
      </c>
      <c r="L35" s="380"/>
      <c r="M35" s="89"/>
      <c r="N35" s="219"/>
      <c r="O35" s="96"/>
      <c r="P35" s="90"/>
      <c r="Q35" s="89"/>
    </row>
    <row r="36" spans="1:17" x14ac:dyDescent="0.25">
      <c r="H36" s="213"/>
    </row>
    <row r="37" spans="1:17" ht="15.75" thickBot="1" x14ac:dyDescent="0.3"/>
    <row r="38" spans="1:17" ht="32.25" customHeight="1" thickBot="1" x14ac:dyDescent="0.3">
      <c r="B38" s="279" t="s">
        <v>140</v>
      </c>
      <c r="C38" s="280" t="s">
        <v>141</v>
      </c>
      <c r="D38" s="280" t="s">
        <v>145</v>
      </c>
      <c r="E38" s="280" t="s">
        <v>146</v>
      </c>
      <c r="F38" s="280" t="s">
        <v>147</v>
      </c>
      <c r="G38" s="345" t="s">
        <v>148</v>
      </c>
      <c r="H38" s="346"/>
      <c r="I38" s="280" t="s">
        <v>149</v>
      </c>
      <c r="J38" s="280" t="s">
        <v>151</v>
      </c>
      <c r="K38" s="280" t="s">
        <v>152</v>
      </c>
      <c r="L38" s="281" t="s">
        <v>153</v>
      </c>
      <c r="M38" s="282" t="s">
        <v>154</v>
      </c>
    </row>
    <row r="39" spans="1:17" x14ac:dyDescent="0.25">
      <c r="B39" s="249" t="s">
        <v>137</v>
      </c>
      <c r="C39" s="244" t="s">
        <v>142</v>
      </c>
      <c r="D39" s="275">
        <v>2</v>
      </c>
      <c r="E39" s="275">
        <v>2</v>
      </c>
      <c r="F39" s="275" t="s">
        <v>150</v>
      </c>
      <c r="G39" s="367">
        <f>+E39+D39</f>
        <v>4</v>
      </c>
      <c r="H39" s="368"/>
      <c r="I39" s="275">
        <v>16.5</v>
      </c>
      <c r="J39" s="235" t="s">
        <v>92</v>
      </c>
      <c r="K39" s="236"/>
      <c r="L39" s="361" t="str">
        <f>IF(I42&gt;J42," CUMPLE "," NO CUMPLE ")</f>
        <v xml:space="preserve"> CUMPLE </v>
      </c>
      <c r="M39" s="364" t="str">
        <f>IF(G42&gt;K42," CUMPLE "," NO CUMPLE ")</f>
        <v xml:space="preserve"> CUMPLE </v>
      </c>
    </row>
    <row r="40" spans="1:17" x14ac:dyDescent="0.25">
      <c r="B40" s="250" t="s">
        <v>138</v>
      </c>
      <c r="C40" s="245" t="s">
        <v>143</v>
      </c>
      <c r="D40" s="277">
        <v>3</v>
      </c>
      <c r="E40" s="277">
        <v>3</v>
      </c>
      <c r="F40" s="277">
        <v>1</v>
      </c>
      <c r="G40" s="351">
        <f>+F40+E40+D40</f>
        <v>7</v>
      </c>
      <c r="H40" s="352"/>
      <c r="I40" s="277">
        <v>33.65</v>
      </c>
      <c r="J40" s="221"/>
      <c r="K40" s="222"/>
      <c r="L40" s="362"/>
      <c r="M40" s="365"/>
    </row>
    <row r="41" spans="1:17" x14ac:dyDescent="0.25">
      <c r="B41" s="250" t="s">
        <v>139</v>
      </c>
      <c r="C41" s="245" t="s">
        <v>144</v>
      </c>
      <c r="D41" s="277">
        <v>3</v>
      </c>
      <c r="E41" s="277">
        <v>3</v>
      </c>
      <c r="F41" s="277">
        <v>1</v>
      </c>
      <c r="G41" s="351">
        <f>+F41+E41+D41</f>
        <v>7</v>
      </c>
      <c r="H41" s="352"/>
      <c r="I41" s="277">
        <v>33.65</v>
      </c>
      <c r="J41" s="221"/>
      <c r="K41" s="222"/>
      <c r="L41" s="362"/>
      <c r="M41" s="365"/>
    </row>
    <row r="42" spans="1:17" ht="15.75" thickBot="1" x14ac:dyDescent="0.3">
      <c r="B42" s="251" t="s">
        <v>84</v>
      </c>
      <c r="C42" s="246"/>
      <c r="D42" s="224"/>
      <c r="E42" s="224"/>
      <c r="F42" s="224"/>
      <c r="G42" s="369">
        <f>+G41+G40+G39</f>
        <v>18</v>
      </c>
      <c r="H42" s="370"/>
      <c r="I42" s="278">
        <f>+I41+I40+I39</f>
        <v>83.8</v>
      </c>
      <c r="J42" s="278">
        <f>+D35*G42</f>
        <v>64.8</v>
      </c>
      <c r="K42" s="269">
        <f>+E34/C35</f>
        <v>17.600000000000001</v>
      </c>
      <c r="L42" s="363"/>
      <c r="M42" s="366"/>
    </row>
    <row r="43" spans="1:17" x14ac:dyDescent="0.25">
      <c r="B43" s="25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</row>
    <row r="45" spans="1:17" x14ac:dyDescent="0.25"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</row>
    <row r="46" spans="1:17" x14ac:dyDescent="0.25">
      <c r="B46" s="220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</row>
    <row r="47" spans="1:17" ht="15.75" thickBot="1" x14ac:dyDescent="0.3">
      <c r="B47" s="234" t="s">
        <v>165</v>
      </c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</row>
    <row r="48" spans="1:17" ht="15.75" thickBot="1" x14ac:dyDescent="0.3">
      <c r="B48" s="372" t="s">
        <v>127</v>
      </c>
      <c r="C48" s="404"/>
      <c r="D48" s="404"/>
      <c r="E48" s="373"/>
      <c r="F48" s="220"/>
      <c r="G48" s="220"/>
      <c r="H48" s="220"/>
      <c r="I48" s="220"/>
      <c r="J48" s="220"/>
      <c r="K48" s="220"/>
      <c r="L48" s="220"/>
      <c r="M48" s="220"/>
    </row>
    <row r="49" spans="2:13" x14ac:dyDescent="0.25">
      <c r="B49" s="405" t="s">
        <v>126</v>
      </c>
      <c r="C49" s="406"/>
      <c r="D49" s="406"/>
      <c r="E49" s="407"/>
      <c r="F49" s="220"/>
      <c r="G49" s="220"/>
      <c r="H49" s="220"/>
      <c r="I49" s="220"/>
      <c r="J49" s="220"/>
      <c r="K49" s="220"/>
      <c r="L49" s="220"/>
      <c r="M49" s="220"/>
    </row>
    <row r="50" spans="2:13" x14ac:dyDescent="0.25">
      <c r="B50" s="398" t="s">
        <v>128</v>
      </c>
      <c r="C50" s="399"/>
      <c r="D50" s="399"/>
      <c r="E50" s="400"/>
      <c r="F50" s="220"/>
      <c r="G50" s="220"/>
      <c r="H50" s="220"/>
      <c r="I50" s="220"/>
      <c r="J50" s="220"/>
      <c r="K50" s="220"/>
      <c r="L50" s="220"/>
      <c r="M50" s="220"/>
    </row>
    <row r="51" spans="2:13" ht="15.75" thickBot="1" x14ac:dyDescent="0.3">
      <c r="B51" s="401"/>
      <c r="C51" s="402"/>
      <c r="D51" s="402"/>
      <c r="E51" s="403"/>
      <c r="F51" s="220"/>
      <c r="G51" s="220"/>
      <c r="H51" s="220"/>
      <c r="I51" s="220"/>
      <c r="J51" s="220"/>
      <c r="K51" s="220"/>
      <c r="L51" s="220"/>
      <c r="M51" s="220"/>
    </row>
    <row r="52" spans="2:13" ht="15.75" thickBot="1" x14ac:dyDescent="0.3">
      <c r="B52" s="220"/>
      <c r="C52" s="220"/>
      <c r="D52" s="220"/>
      <c r="E52" s="220"/>
      <c r="F52" s="220"/>
      <c r="G52" s="220"/>
      <c r="H52" s="220"/>
      <c r="I52" s="220"/>
      <c r="J52" s="220"/>
      <c r="K52" s="220"/>
      <c r="L52" s="220"/>
      <c r="M52" s="220"/>
    </row>
    <row r="53" spans="2:13" ht="15.75" thickBot="1" x14ac:dyDescent="0.3">
      <c r="B53" s="247" t="s">
        <v>95</v>
      </c>
      <c r="C53" s="241"/>
    </row>
    <row r="54" spans="2:13" x14ac:dyDescent="0.25">
      <c r="B54" s="248" t="s">
        <v>96</v>
      </c>
      <c r="C54" s="283">
        <v>1.365</v>
      </c>
    </row>
    <row r="55" spans="2:13" x14ac:dyDescent="0.25">
      <c r="B55" s="239" t="s">
        <v>97</v>
      </c>
      <c r="C55" s="284">
        <v>3.0952000000000002</v>
      </c>
    </row>
    <row r="56" spans="2:13" x14ac:dyDescent="0.25">
      <c r="B56" s="239" t="s">
        <v>98</v>
      </c>
      <c r="C56" s="284">
        <v>0.55300000000000005</v>
      </c>
    </row>
    <row r="57" spans="2:13" x14ac:dyDescent="0.25">
      <c r="B57" s="239" t="s">
        <v>99</v>
      </c>
      <c r="C57" s="284">
        <v>0.74650000000000005</v>
      </c>
    </row>
    <row r="58" spans="2:13" x14ac:dyDescent="0.25">
      <c r="B58" s="239" t="s">
        <v>100</v>
      </c>
      <c r="C58" s="284">
        <v>10.5458</v>
      </c>
    </row>
    <row r="59" spans="2:13" x14ac:dyDescent="0.25">
      <c r="B59" s="239" t="s">
        <v>102</v>
      </c>
      <c r="C59" s="284">
        <v>10.329800000000001</v>
      </c>
    </row>
    <row r="60" spans="2:13" x14ac:dyDescent="0.25">
      <c r="B60" s="239" t="s">
        <v>103</v>
      </c>
      <c r="C60" s="284">
        <v>9.7100000000000009</v>
      </c>
    </row>
    <row r="61" spans="2:13" ht="15.75" thickBot="1" x14ac:dyDescent="0.3">
      <c r="B61" s="240" t="s">
        <v>101</v>
      </c>
      <c r="C61" s="285">
        <v>2.3624999999999998</v>
      </c>
    </row>
    <row r="62" spans="2:13" ht="15.75" thickBot="1" x14ac:dyDescent="0.3"/>
    <row r="63" spans="2:13" ht="28.5" customHeight="1" thickBot="1" x14ac:dyDescent="0.3">
      <c r="B63" s="247"/>
      <c r="C63" s="243" t="s">
        <v>95</v>
      </c>
      <c r="D63" s="237" t="s">
        <v>93</v>
      </c>
      <c r="E63" s="237" t="s">
        <v>104</v>
      </c>
      <c r="F63" s="237" t="s">
        <v>105</v>
      </c>
      <c r="G63" s="242"/>
      <c r="H63" s="237" t="s">
        <v>94</v>
      </c>
      <c r="I63" s="238" t="s">
        <v>106</v>
      </c>
      <c r="J63" s="72"/>
    </row>
    <row r="64" spans="2:13" x14ac:dyDescent="0.25">
      <c r="B64" s="248" t="s">
        <v>115</v>
      </c>
      <c r="C64" s="290">
        <f>+C55*3+C61+C60</f>
        <v>21.3581</v>
      </c>
      <c r="D64" s="275">
        <v>0.69320000000000004</v>
      </c>
      <c r="E64" s="275">
        <f>+C64+D64</f>
        <v>22.051300000000001</v>
      </c>
      <c r="F64" s="298">
        <f t="shared" ref="F64:F74" si="3">+H14/3</f>
        <v>22.003333333333334</v>
      </c>
      <c r="G64" s="359">
        <f t="shared" ref="G64:G74" si="4">+F64-E64</f>
        <v>-4.7966666666667379E-2</v>
      </c>
      <c r="H64" s="360"/>
      <c r="I64" s="288" t="str">
        <f>IF(E64&gt;F64," CUMPLE "," NO CUMPLE ")</f>
        <v xml:space="preserve"> CUMPLE </v>
      </c>
      <c r="J64" s="225"/>
    </row>
    <row r="65" spans="2:10" x14ac:dyDescent="0.25">
      <c r="B65" s="239" t="s">
        <v>116</v>
      </c>
      <c r="C65" s="293">
        <f>+C61+(C54*2)+(C55*2)+C59</f>
        <v>21.6127</v>
      </c>
      <c r="D65" s="277">
        <v>0.69320000000000004</v>
      </c>
      <c r="E65" s="277">
        <f t="shared" ref="E65:E74" si="5">+C65+D65</f>
        <v>22.305900000000001</v>
      </c>
      <c r="F65" s="297">
        <f t="shared" si="3"/>
        <v>22.136666666666667</v>
      </c>
      <c r="G65" s="355">
        <f t="shared" si="4"/>
        <v>-0.16923333333333446</v>
      </c>
      <c r="H65" s="356"/>
      <c r="I65" s="295" t="str">
        <f t="shared" ref="I65:I74" si="6">IF(E65&gt;F65," CUMPLE "," NO CUMPLE ")</f>
        <v xml:space="preserve"> CUMPLE </v>
      </c>
      <c r="J65" s="225"/>
    </row>
    <row r="66" spans="2:10" x14ac:dyDescent="0.25">
      <c r="B66" s="239" t="s">
        <v>117</v>
      </c>
      <c r="C66" s="293">
        <f>+C55*3+C61+C59</f>
        <v>21.977899999999998</v>
      </c>
      <c r="D66" s="277">
        <v>0.69320000000000004</v>
      </c>
      <c r="E66" s="277">
        <f t="shared" si="5"/>
        <v>22.671099999999999</v>
      </c>
      <c r="F66" s="297">
        <f t="shared" si="3"/>
        <v>22.16333333333333</v>
      </c>
      <c r="G66" s="357">
        <f t="shared" si="4"/>
        <v>-0.5077666666666687</v>
      </c>
      <c r="H66" s="358"/>
      <c r="I66" s="295" t="str">
        <f t="shared" si="6"/>
        <v xml:space="preserve"> CUMPLE </v>
      </c>
      <c r="J66" s="225"/>
    </row>
    <row r="67" spans="2:10" x14ac:dyDescent="0.25">
      <c r="B67" s="239" t="s">
        <v>118</v>
      </c>
      <c r="C67" s="293">
        <f>+C59+C61+(C54*2)+C55*2</f>
        <v>21.6127</v>
      </c>
      <c r="D67" s="277">
        <v>0.69320000000000004</v>
      </c>
      <c r="E67" s="277">
        <f t="shared" si="5"/>
        <v>22.305900000000001</v>
      </c>
      <c r="F67" s="297">
        <f t="shared" si="3"/>
        <v>22.133333333333336</v>
      </c>
      <c r="G67" s="355">
        <f t="shared" si="4"/>
        <v>-0.17256666666666476</v>
      </c>
      <c r="H67" s="356"/>
      <c r="I67" s="295" t="str">
        <f t="shared" si="6"/>
        <v xml:space="preserve"> CUMPLE </v>
      </c>
      <c r="J67" s="225"/>
    </row>
    <row r="68" spans="2:10" x14ac:dyDescent="0.25">
      <c r="B68" s="239" t="s">
        <v>119</v>
      </c>
      <c r="C68" s="293">
        <f>+C61+(C55*3)+C59</f>
        <v>21.977899999999998</v>
      </c>
      <c r="D68" s="277">
        <v>0.70109999999999995</v>
      </c>
      <c r="E68" s="277">
        <f t="shared" si="5"/>
        <v>22.678999999999998</v>
      </c>
      <c r="F68" s="297">
        <f t="shared" si="3"/>
        <v>22.143333333333334</v>
      </c>
      <c r="G68" s="357">
        <f t="shared" si="4"/>
        <v>-0.53566666666666407</v>
      </c>
      <c r="H68" s="358"/>
      <c r="I68" s="295" t="str">
        <f t="shared" si="6"/>
        <v xml:space="preserve"> CUMPLE </v>
      </c>
      <c r="J68" s="225"/>
    </row>
    <row r="69" spans="2:10" x14ac:dyDescent="0.25">
      <c r="B69" s="239" t="s">
        <v>120</v>
      </c>
      <c r="C69" s="293">
        <f>+C61+(C55*3)+C58</f>
        <v>22.193899999999999</v>
      </c>
      <c r="D69" s="276">
        <v>0.70109999999999995</v>
      </c>
      <c r="E69" s="277">
        <f t="shared" si="5"/>
        <v>22.895</v>
      </c>
      <c r="F69" s="297">
        <f t="shared" si="3"/>
        <v>22.213333333333335</v>
      </c>
      <c r="G69" s="357">
        <f t="shared" si="4"/>
        <v>-0.68166666666666487</v>
      </c>
      <c r="H69" s="358"/>
      <c r="I69" s="295" t="str">
        <f t="shared" si="6"/>
        <v xml:space="preserve"> CUMPLE </v>
      </c>
      <c r="J69" s="225"/>
    </row>
    <row r="70" spans="2:10" x14ac:dyDescent="0.25">
      <c r="B70" s="239" t="s">
        <v>121</v>
      </c>
      <c r="C70" s="293">
        <f>+C61+(C55*3)+C59</f>
        <v>21.977899999999998</v>
      </c>
      <c r="D70" s="276">
        <v>0.70109999999999995</v>
      </c>
      <c r="E70" s="277">
        <f t="shared" si="5"/>
        <v>22.678999999999998</v>
      </c>
      <c r="F70" s="297">
        <f t="shared" si="3"/>
        <v>22.176666666666666</v>
      </c>
      <c r="G70" s="357">
        <f t="shared" si="4"/>
        <v>-0.50233333333333263</v>
      </c>
      <c r="H70" s="358"/>
      <c r="I70" s="295" t="str">
        <f t="shared" si="6"/>
        <v xml:space="preserve"> CUMPLE </v>
      </c>
      <c r="J70" s="225"/>
    </row>
    <row r="71" spans="2:10" x14ac:dyDescent="0.25">
      <c r="B71" s="239" t="s">
        <v>122</v>
      </c>
      <c r="C71" s="293">
        <f>+C61+C60+(C55*3)</f>
        <v>21.3581</v>
      </c>
      <c r="D71" s="277">
        <v>0.70109999999999995</v>
      </c>
      <c r="E71" s="277">
        <f t="shared" si="5"/>
        <v>22.059200000000001</v>
      </c>
      <c r="F71" s="297">
        <f t="shared" si="3"/>
        <v>22.003333333333334</v>
      </c>
      <c r="G71" s="355">
        <f t="shared" si="4"/>
        <v>-5.5866666666666731E-2</v>
      </c>
      <c r="H71" s="356"/>
      <c r="I71" s="295" t="str">
        <f t="shared" si="6"/>
        <v xml:space="preserve"> CUMPLE </v>
      </c>
      <c r="J71" s="225"/>
    </row>
    <row r="72" spans="2:10" x14ac:dyDescent="0.25">
      <c r="B72" s="239" t="s">
        <v>123</v>
      </c>
      <c r="C72" s="293">
        <f>+C61+C59+(C54*2)+(C55*2)</f>
        <v>21.6127</v>
      </c>
      <c r="D72" s="277">
        <v>0.70109999999999995</v>
      </c>
      <c r="E72" s="277">
        <f t="shared" si="5"/>
        <v>22.313800000000001</v>
      </c>
      <c r="F72" s="297">
        <f t="shared" si="3"/>
        <v>22.136666666666667</v>
      </c>
      <c r="G72" s="357">
        <f t="shared" si="4"/>
        <v>-0.17713333333333381</v>
      </c>
      <c r="H72" s="358"/>
      <c r="I72" s="295" t="str">
        <f t="shared" si="6"/>
        <v xml:space="preserve"> CUMPLE </v>
      </c>
      <c r="J72" s="225"/>
    </row>
    <row r="73" spans="2:10" x14ac:dyDescent="0.25">
      <c r="B73" s="239" t="s">
        <v>124</v>
      </c>
      <c r="C73" s="293">
        <f>+C61+C59+(C54*2)+(C55*2)</f>
        <v>21.6127</v>
      </c>
      <c r="D73" s="277">
        <v>0.70109999999999995</v>
      </c>
      <c r="E73" s="277">
        <f t="shared" si="5"/>
        <v>22.313800000000001</v>
      </c>
      <c r="F73" s="297">
        <f t="shared" si="3"/>
        <v>22.16333333333333</v>
      </c>
      <c r="G73" s="355">
        <f t="shared" si="4"/>
        <v>-0.15046666666667008</v>
      </c>
      <c r="H73" s="356"/>
      <c r="I73" s="295" t="str">
        <f t="shared" si="6"/>
        <v xml:space="preserve"> CUMPLE </v>
      </c>
      <c r="J73" s="225"/>
    </row>
    <row r="74" spans="2:10" ht="15.75" thickBot="1" x14ac:dyDescent="0.3">
      <c r="B74" s="240" t="s">
        <v>125</v>
      </c>
      <c r="C74" s="289">
        <f>+C61+C59+(C55*3)</f>
        <v>21.977899999999998</v>
      </c>
      <c r="D74" s="278">
        <v>0.70109999999999995</v>
      </c>
      <c r="E74" s="278">
        <f t="shared" si="5"/>
        <v>22.678999999999998</v>
      </c>
      <c r="F74" s="296">
        <f t="shared" si="3"/>
        <v>22.133333333333336</v>
      </c>
      <c r="G74" s="353">
        <f t="shared" si="4"/>
        <v>-0.54566666666666208</v>
      </c>
      <c r="H74" s="354"/>
      <c r="I74" s="294" t="str">
        <f t="shared" si="6"/>
        <v xml:space="preserve"> CUMPLE </v>
      </c>
      <c r="J74" s="225"/>
    </row>
    <row r="75" spans="2:10" x14ac:dyDescent="0.25">
      <c r="J75" s="72"/>
    </row>
    <row r="76" spans="2:10" ht="15.75" thickBot="1" x14ac:dyDescent="0.3">
      <c r="B76" t="s">
        <v>166</v>
      </c>
      <c r="C76" s="234"/>
    </row>
    <row r="77" spans="2:10" ht="15.75" thickBot="1" x14ac:dyDescent="0.3">
      <c r="B77" s="247" t="s">
        <v>108</v>
      </c>
      <c r="C77" s="372" t="s">
        <v>155</v>
      </c>
      <c r="D77" s="373"/>
      <c r="E77" s="247" t="s">
        <v>156</v>
      </c>
      <c r="F77" s="247" t="s">
        <v>157</v>
      </c>
    </row>
    <row r="78" spans="2:10" ht="15.75" thickBot="1" x14ac:dyDescent="0.3">
      <c r="B78" s="300" t="s">
        <v>158</v>
      </c>
      <c r="C78" s="371" t="s">
        <v>159</v>
      </c>
      <c r="D78" s="371"/>
      <c r="E78" s="301" t="s">
        <v>160</v>
      </c>
      <c r="F78" s="302" t="s">
        <v>161</v>
      </c>
    </row>
    <row r="79" spans="2:10" ht="15.75" thickBot="1" x14ac:dyDescent="0.3">
      <c r="B79" s="77"/>
      <c r="C79" s="255"/>
      <c r="D79" s="255"/>
      <c r="E79" s="256"/>
      <c r="F79" s="256"/>
    </row>
    <row r="80" spans="2:10" ht="15.75" thickBot="1" x14ac:dyDescent="0.3">
      <c r="B80" s="247" t="s">
        <v>162</v>
      </c>
      <c r="C80" s="257"/>
      <c r="D80" s="255"/>
      <c r="E80" s="256"/>
      <c r="F80" s="256"/>
    </row>
    <row r="81" spans="2:9" x14ac:dyDescent="0.25">
      <c r="B81" s="248" t="s">
        <v>163</v>
      </c>
      <c r="C81" s="286">
        <v>0.69320000000000004</v>
      </c>
      <c r="D81" s="255"/>
      <c r="E81" s="256"/>
      <c r="F81" s="256"/>
    </row>
    <row r="82" spans="2:9" x14ac:dyDescent="0.25">
      <c r="B82" s="239" t="s">
        <v>164</v>
      </c>
      <c r="C82" s="284">
        <v>0.70109999999999995</v>
      </c>
      <c r="D82" s="255"/>
      <c r="E82" s="256"/>
      <c r="F82" s="256"/>
    </row>
    <row r="83" spans="2:9" x14ac:dyDescent="0.25">
      <c r="B83" s="239" t="s">
        <v>96</v>
      </c>
      <c r="C83" s="283" t="s">
        <v>150</v>
      </c>
      <c r="D83" s="255"/>
      <c r="E83" s="256"/>
      <c r="F83" s="256"/>
    </row>
    <row r="84" spans="2:9" x14ac:dyDescent="0.25">
      <c r="B84" s="239" t="s">
        <v>97</v>
      </c>
      <c r="C84" s="284">
        <v>0.9123</v>
      </c>
      <c r="D84" s="255"/>
      <c r="E84" s="256"/>
      <c r="F84" s="256"/>
    </row>
    <row r="85" spans="2:9" x14ac:dyDescent="0.25">
      <c r="B85" s="239" t="s">
        <v>98</v>
      </c>
      <c r="C85" s="284" t="s">
        <v>150</v>
      </c>
      <c r="D85" s="255"/>
      <c r="E85" s="256"/>
      <c r="F85" s="256"/>
    </row>
    <row r="86" spans="2:9" x14ac:dyDescent="0.25">
      <c r="B86" s="239" t="s">
        <v>99</v>
      </c>
      <c r="C86" s="284">
        <v>0.43602999999999997</v>
      </c>
      <c r="D86" s="255"/>
      <c r="E86" s="256"/>
      <c r="F86" s="256"/>
    </row>
    <row r="87" spans="2:9" x14ac:dyDescent="0.25">
      <c r="B87" s="239" t="s">
        <v>100</v>
      </c>
      <c r="C87" s="284">
        <v>1.2672000000000001</v>
      </c>
      <c r="D87" s="255"/>
      <c r="E87" s="256"/>
      <c r="F87" s="256"/>
    </row>
    <row r="88" spans="2:9" x14ac:dyDescent="0.25">
      <c r="B88" s="239" t="s">
        <v>102</v>
      </c>
      <c r="C88" s="284">
        <v>1.224</v>
      </c>
      <c r="D88" s="255"/>
      <c r="E88" s="256"/>
      <c r="F88" s="256"/>
    </row>
    <row r="89" spans="2:9" x14ac:dyDescent="0.25">
      <c r="B89" s="239" t="s">
        <v>103</v>
      </c>
      <c r="C89" s="284">
        <v>1.3752</v>
      </c>
      <c r="D89" s="255"/>
      <c r="E89" s="256"/>
      <c r="F89" s="256"/>
    </row>
    <row r="90" spans="2:9" ht="15.75" thickBot="1" x14ac:dyDescent="0.3">
      <c r="B90" s="240" t="s">
        <v>101</v>
      </c>
      <c r="C90" s="285">
        <v>1.7833000000000001</v>
      </c>
      <c r="D90" s="255"/>
      <c r="E90" s="256"/>
      <c r="F90" s="256"/>
    </row>
    <row r="91" spans="2:9" ht="15.75" thickBot="1" x14ac:dyDescent="0.3">
      <c r="E91" t="s">
        <v>92</v>
      </c>
    </row>
    <row r="92" spans="2:9" ht="15.75" thickBot="1" x14ac:dyDescent="0.3">
      <c r="B92" s="247"/>
      <c r="C92" s="247" t="s">
        <v>95</v>
      </c>
      <c r="D92" s="247" t="s">
        <v>93</v>
      </c>
      <c r="E92" s="247" t="s">
        <v>104</v>
      </c>
      <c r="F92" s="247" t="s">
        <v>105</v>
      </c>
      <c r="G92" s="374" t="s">
        <v>94</v>
      </c>
      <c r="H92" s="375"/>
      <c r="I92" s="247" t="s">
        <v>106</v>
      </c>
    </row>
    <row r="93" spans="2:9" x14ac:dyDescent="0.25">
      <c r="B93" s="248" t="s">
        <v>115</v>
      </c>
      <c r="C93" s="290">
        <f>+C90+C89+(C84*3)</f>
        <v>5.8954000000000004</v>
      </c>
      <c r="D93" s="275">
        <v>0.69320000000000004</v>
      </c>
      <c r="E93" s="275">
        <f>+D93+C93</f>
        <v>6.5886000000000005</v>
      </c>
      <c r="F93" s="267">
        <f t="shared" ref="F93:F103" si="7">+H14/15</f>
        <v>4.4006666666666669</v>
      </c>
      <c r="G93" s="347">
        <f t="shared" ref="G93:G103" si="8">+F93-E93</f>
        <v>-2.1879333333333335</v>
      </c>
      <c r="H93" s="348"/>
      <c r="I93" s="288" t="str">
        <f>IF(E93&gt;F93," CUMPLE "," NO CUMPLE ")</f>
        <v xml:space="preserve"> CUMPLE </v>
      </c>
    </row>
    <row r="94" spans="2:9" x14ac:dyDescent="0.25">
      <c r="B94" s="239" t="s">
        <v>116</v>
      </c>
      <c r="C94" s="293">
        <f>+C90+C88+(C84*2)</f>
        <v>4.8319000000000001</v>
      </c>
      <c r="D94" s="275">
        <v>0.69320000000000004</v>
      </c>
      <c r="E94" s="275">
        <f t="shared" ref="E94:E103" si="9">+D94+C94</f>
        <v>5.5251000000000001</v>
      </c>
      <c r="F94" s="277">
        <f t="shared" si="7"/>
        <v>4.4273333333333333</v>
      </c>
      <c r="G94" s="349">
        <f t="shared" si="8"/>
        <v>-1.0977666666666668</v>
      </c>
      <c r="H94" s="350"/>
      <c r="I94" s="288" t="str">
        <f t="shared" ref="I94:I103" si="10">IF(E94&gt;F94," CUMPLE "," NO CUMPLE ")</f>
        <v xml:space="preserve"> CUMPLE </v>
      </c>
    </row>
    <row r="95" spans="2:9" x14ac:dyDescent="0.25">
      <c r="B95" s="239" t="s">
        <v>117</v>
      </c>
      <c r="C95" s="293">
        <f>+C88+C90+(C84*3)</f>
        <v>5.7441999999999993</v>
      </c>
      <c r="D95" s="275">
        <v>0.69320000000000004</v>
      </c>
      <c r="E95" s="275">
        <f t="shared" si="9"/>
        <v>6.4373999999999993</v>
      </c>
      <c r="F95" s="276">
        <f t="shared" si="7"/>
        <v>4.4326666666666661</v>
      </c>
      <c r="G95" s="349">
        <f t="shared" si="8"/>
        <v>-2.0047333333333333</v>
      </c>
      <c r="H95" s="350"/>
      <c r="I95" s="288" t="str">
        <f t="shared" si="10"/>
        <v xml:space="preserve"> CUMPLE </v>
      </c>
    </row>
    <row r="96" spans="2:9" x14ac:dyDescent="0.25">
      <c r="B96" s="239" t="s">
        <v>118</v>
      </c>
      <c r="C96" s="293">
        <f>+C88+C90+(C84*2)</f>
        <v>4.8319000000000001</v>
      </c>
      <c r="D96" s="275">
        <v>0.69320000000000004</v>
      </c>
      <c r="E96" s="275">
        <f t="shared" si="9"/>
        <v>5.5251000000000001</v>
      </c>
      <c r="F96" s="277">
        <f t="shared" si="7"/>
        <v>4.4266666666666667</v>
      </c>
      <c r="G96" s="351">
        <f t="shared" si="8"/>
        <v>-1.0984333333333334</v>
      </c>
      <c r="H96" s="352"/>
      <c r="I96" s="288" t="str">
        <f t="shared" si="10"/>
        <v xml:space="preserve"> CUMPLE </v>
      </c>
    </row>
    <row r="97" spans="2:9" x14ac:dyDescent="0.25">
      <c r="B97" s="239" t="s">
        <v>119</v>
      </c>
      <c r="C97" s="293">
        <f>+C90+C88+(C84*3)</f>
        <v>5.7441999999999993</v>
      </c>
      <c r="D97" s="277">
        <v>0.70109999999999995</v>
      </c>
      <c r="E97" s="275">
        <f t="shared" si="9"/>
        <v>6.4452999999999996</v>
      </c>
      <c r="F97" s="277">
        <f t="shared" si="7"/>
        <v>4.4286666666666674</v>
      </c>
      <c r="G97" s="349">
        <f t="shared" si="8"/>
        <v>-2.0166333333333322</v>
      </c>
      <c r="H97" s="350"/>
      <c r="I97" s="288" t="str">
        <f t="shared" si="10"/>
        <v xml:space="preserve"> CUMPLE </v>
      </c>
    </row>
    <row r="98" spans="2:9" x14ac:dyDescent="0.25">
      <c r="B98" s="239" t="s">
        <v>120</v>
      </c>
      <c r="C98" s="293">
        <f>+C87+C90+(C84*3)</f>
        <v>5.7873999999999999</v>
      </c>
      <c r="D98" s="277">
        <v>0.70109999999999995</v>
      </c>
      <c r="E98" s="275">
        <f t="shared" si="9"/>
        <v>6.4885000000000002</v>
      </c>
      <c r="F98" s="277">
        <f t="shared" si="7"/>
        <v>4.4426666666666668</v>
      </c>
      <c r="G98" s="349">
        <f t="shared" si="8"/>
        <v>-2.0458333333333334</v>
      </c>
      <c r="H98" s="350"/>
      <c r="I98" s="288" t="str">
        <f t="shared" si="10"/>
        <v xml:space="preserve"> CUMPLE </v>
      </c>
    </row>
    <row r="99" spans="2:9" x14ac:dyDescent="0.25">
      <c r="B99" s="239" t="s">
        <v>121</v>
      </c>
      <c r="C99" s="293">
        <f>+C88+C90+(C84*3)</f>
        <v>5.7441999999999993</v>
      </c>
      <c r="D99" s="277">
        <v>0.70109999999999995</v>
      </c>
      <c r="E99" s="275">
        <f t="shared" si="9"/>
        <v>6.4452999999999996</v>
      </c>
      <c r="F99" s="277">
        <f t="shared" si="7"/>
        <v>4.4353333333333333</v>
      </c>
      <c r="G99" s="349">
        <f t="shared" si="8"/>
        <v>-2.0099666666666662</v>
      </c>
      <c r="H99" s="350"/>
      <c r="I99" s="288" t="str">
        <f t="shared" si="10"/>
        <v xml:space="preserve"> CUMPLE </v>
      </c>
    </row>
    <row r="100" spans="2:9" x14ac:dyDescent="0.25">
      <c r="B100" s="239" t="s">
        <v>122</v>
      </c>
      <c r="C100" s="293">
        <f>+C89+C90+(C84*2)</f>
        <v>4.9831000000000003</v>
      </c>
      <c r="D100" s="277">
        <v>0.70109999999999995</v>
      </c>
      <c r="E100" s="275">
        <f t="shared" si="9"/>
        <v>5.6842000000000006</v>
      </c>
      <c r="F100" s="276">
        <f t="shared" si="7"/>
        <v>4.4006666666666669</v>
      </c>
      <c r="G100" s="349">
        <f t="shared" si="8"/>
        <v>-1.2835333333333336</v>
      </c>
      <c r="H100" s="350"/>
      <c r="I100" s="288" t="str">
        <f t="shared" si="10"/>
        <v xml:space="preserve"> CUMPLE </v>
      </c>
    </row>
    <row r="101" spans="2:9" x14ac:dyDescent="0.25">
      <c r="B101" s="239" t="s">
        <v>123</v>
      </c>
      <c r="C101" s="293">
        <f>+C88+C90+(C84*2)</f>
        <v>4.8319000000000001</v>
      </c>
      <c r="D101" s="277">
        <v>0.70109999999999995</v>
      </c>
      <c r="E101" s="275">
        <f t="shared" si="9"/>
        <v>5.5330000000000004</v>
      </c>
      <c r="F101" s="277">
        <f t="shared" si="7"/>
        <v>4.4273333333333333</v>
      </c>
      <c r="G101" s="349">
        <f t="shared" si="8"/>
        <v>-1.105666666666667</v>
      </c>
      <c r="H101" s="350"/>
      <c r="I101" s="288" t="str">
        <f t="shared" si="10"/>
        <v xml:space="preserve"> CUMPLE </v>
      </c>
    </row>
    <row r="102" spans="2:9" x14ac:dyDescent="0.25">
      <c r="B102" s="239" t="s">
        <v>124</v>
      </c>
      <c r="C102" s="293">
        <f>+C90+C88+(C84*2)</f>
        <v>4.8319000000000001</v>
      </c>
      <c r="D102" s="277">
        <v>0.70109999999999995</v>
      </c>
      <c r="E102" s="275">
        <f t="shared" si="9"/>
        <v>5.5330000000000004</v>
      </c>
      <c r="F102" s="276">
        <f t="shared" si="7"/>
        <v>4.4326666666666661</v>
      </c>
      <c r="G102" s="349">
        <f t="shared" si="8"/>
        <v>-1.1003333333333343</v>
      </c>
      <c r="H102" s="350"/>
      <c r="I102" s="288" t="str">
        <f t="shared" si="10"/>
        <v xml:space="preserve"> CUMPLE </v>
      </c>
    </row>
    <row r="103" spans="2:9" ht="15.75" thickBot="1" x14ac:dyDescent="0.3">
      <c r="B103" s="240" t="s">
        <v>125</v>
      </c>
      <c r="C103" s="289">
        <f>+C90+C88+(C84*3)</f>
        <v>5.7441999999999993</v>
      </c>
      <c r="D103" s="277">
        <v>0.70109999999999995</v>
      </c>
      <c r="E103" s="275">
        <f t="shared" si="9"/>
        <v>6.4452999999999996</v>
      </c>
      <c r="F103" s="278">
        <f t="shared" si="7"/>
        <v>4.4266666666666667</v>
      </c>
      <c r="G103" s="377">
        <f t="shared" si="8"/>
        <v>-2.0186333333333328</v>
      </c>
      <c r="H103" s="378"/>
      <c r="I103" s="288" t="str">
        <f t="shared" si="10"/>
        <v xml:space="preserve"> CUMPLE </v>
      </c>
    </row>
    <row r="105" spans="2:9" ht="15.75" thickBot="1" x14ac:dyDescent="0.3">
      <c r="B105" s="376" t="s">
        <v>167</v>
      </c>
      <c r="C105" s="376"/>
      <c r="D105" s="376"/>
    </row>
    <row r="106" spans="2:9" ht="15.75" thickBot="1" x14ac:dyDescent="0.3">
      <c r="B106" s="247" t="s">
        <v>108</v>
      </c>
      <c r="C106" s="259" t="s">
        <v>168</v>
      </c>
      <c r="D106" s="247" t="s">
        <v>156</v>
      </c>
      <c r="E106" s="247" t="s">
        <v>169</v>
      </c>
    </row>
    <row r="107" spans="2:9" x14ac:dyDescent="0.25">
      <c r="B107" s="248" t="s">
        <v>158</v>
      </c>
      <c r="C107" s="292">
        <v>2.7</v>
      </c>
      <c r="D107" s="275">
        <v>3</v>
      </c>
      <c r="E107" s="268">
        <v>3</v>
      </c>
    </row>
    <row r="108" spans="2:9" ht="15.75" thickBot="1" x14ac:dyDescent="0.3">
      <c r="B108" s="258" t="s">
        <v>170</v>
      </c>
      <c r="C108" s="291">
        <v>2.2000000000000002</v>
      </c>
      <c r="D108" s="278">
        <v>2.5</v>
      </c>
      <c r="E108" s="269">
        <v>2.5</v>
      </c>
    </row>
    <row r="109" spans="2:9" ht="15.75" thickBot="1" x14ac:dyDescent="0.3"/>
    <row r="110" spans="2:9" ht="15.75" thickBot="1" x14ac:dyDescent="0.3">
      <c r="B110" s="241" t="s">
        <v>108</v>
      </c>
      <c r="C110" s="257" t="s">
        <v>171</v>
      </c>
      <c r="D110" s="241" t="s">
        <v>172</v>
      </c>
      <c r="E110" s="241" t="s">
        <v>106</v>
      </c>
    </row>
    <row r="111" spans="2:9" x14ac:dyDescent="0.25">
      <c r="B111" s="299" t="s">
        <v>173</v>
      </c>
      <c r="C111" s="290">
        <v>2.7</v>
      </c>
      <c r="D111" s="275">
        <v>2.7</v>
      </c>
      <c r="E111" s="288" t="str">
        <f>IF(D111=C111," CUMPLE "," NO CUMPLE ")</f>
        <v xml:space="preserve"> CUMPLE </v>
      </c>
    </row>
    <row r="112" spans="2:9" ht="15.75" thickBot="1" x14ac:dyDescent="0.3">
      <c r="B112" s="260" t="s">
        <v>170</v>
      </c>
      <c r="C112" s="289">
        <v>2.2000000000000002</v>
      </c>
      <c r="D112" s="278">
        <v>2.7</v>
      </c>
      <c r="E112" s="287" t="str">
        <f>IF(D112&gt;C112," CUMPLE "," NO CUMPLE ")</f>
        <v xml:space="preserve"> CUMPLE </v>
      </c>
    </row>
  </sheetData>
  <mergeCells count="68">
    <mergeCell ref="B4:C4"/>
    <mergeCell ref="B5:C5"/>
    <mergeCell ref="B50:E51"/>
    <mergeCell ref="B48:E48"/>
    <mergeCell ref="B49:E49"/>
    <mergeCell ref="C28:D28"/>
    <mergeCell ref="C29:D29"/>
    <mergeCell ref="C30:D30"/>
    <mergeCell ref="N12:N13"/>
    <mergeCell ref="B2:L2"/>
    <mergeCell ref="B3:L3"/>
    <mergeCell ref="H11:M11"/>
    <mergeCell ref="D12:D13"/>
    <mergeCell ref="K12:K13"/>
    <mergeCell ref="L12:L13"/>
    <mergeCell ref="M12:M13"/>
    <mergeCell ref="B11:E11"/>
    <mergeCell ref="B12:B13"/>
    <mergeCell ref="C12:C13"/>
    <mergeCell ref="E12:E13"/>
    <mergeCell ref="F12:F13"/>
    <mergeCell ref="H12:H13"/>
    <mergeCell ref="I12:I13"/>
    <mergeCell ref="J12:J13"/>
    <mergeCell ref="K35:L35"/>
    <mergeCell ref="B32:E32"/>
    <mergeCell ref="H32:L32"/>
    <mergeCell ref="B33:B34"/>
    <mergeCell ref="C33:C34"/>
    <mergeCell ref="D33:D34"/>
    <mergeCell ref="F33:F34"/>
    <mergeCell ref="H33:H34"/>
    <mergeCell ref="I33:I34"/>
    <mergeCell ref="J33:J34"/>
    <mergeCell ref="K33:L34"/>
    <mergeCell ref="C78:D78"/>
    <mergeCell ref="C77:D77"/>
    <mergeCell ref="G92:H92"/>
    <mergeCell ref="B105:D105"/>
    <mergeCell ref="G97:H97"/>
    <mergeCell ref="G98:H98"/>
    <mergeCell ref="G99:H99"/>
    <mergeCell ref="G100:H100"/>
    <mergeCell ref="G101:H101"/>
    <mergeCell ref="G102:H102"/>
    <mergeCell ref="G103:H103"/>
    <mergeCell ref="L39:L42"/>
    <mergeCell ref="M39:M42"/>
    <mergeCell ref="G39:H39"/>
    <mergeCell ref="G40:H40"/>
    <mergeCell ref="G41:H41"/>
    <mergeCell ref="G42:H42"/>
    <mergeCell ref="G38:H38"/>
    <mergeCell ref="G93:H93"/>
    <mergeCell ref="G94:H94"/>
    <mergeCell ref="G95:H95"/>
    <mergeCell ref="G96:H96"/>
    <mergeCell ref="G74:H74"/>
    <mergeCell ref="G73:H73"/>
    <mergeCell ref="G72:H72"/>
    <mergeCell ref="G71:H71"/>
    <mergeCell ref="G70:H70"/>
    <mergeCell ref="G69:H69"/>
    <mergeCell ref="G68:H68"/>
    <mergeCell ref="G67:H67"/>
    <mergeCell ref="G66:H66"/>
    <mergeCell ref="G65:H65"/>
    <mergeCell ref="G64:H64"/>
  </mergeCells>
  <pageMargins left="0.7" right="0.7" top="0.75" bottom="0.75" header="0.3" footer="0.3"/>
  <pageSetup scale="41" orientation="portrait" r:id="rId1"/>
  <rowBreaks count="1" manualBreakCount="1">
    <brk id="103" max="13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ÁREAS CONTRATADAS-PROYECTADAS</vt:lpstr>
      <vt:lpstr>LOTE vs MATRICULA</vt:lpstr>
      <vt:lpstr>MATRICULA</vt:lpstr>
      <vt:lpstr>DIAGNOSTICO ÁREAS</vt:lpstr>
      <vt:lpstr>'ÁREAS CONTRATADAS-PROYECTADAS'!Área_de_impresión</vt:lpstr>
      <vt:lpstr>'DIAGNOSTICO ÁREAS'!Área_de_impresión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2016-07-27T14:24:39Z</cp:lastPrinted>
  <dcterms:created xsi:type="dcterms:W3CDTF">2016-06-21T15:12:06Z</dcterms:created>
  <dcterms:modified xsi:type="dcterms:W3CDTF">2017-02-22T21:56:37Z</dcterms:modified>
</cp:coreProperties>
</file>