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worksheets/sheet5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PROYECTOS\70-COLEGIOS GRUPO 9\70-F-ALTAQUER\ARQUITECTURA\"/>
    </mc:Choice>
  </mc:AlternateContent>
  <bookViews>
    <workbookView xWindow="6930" yWindow="-15" windowWidth="14670" windowHeight="9810" tabRatio="812" activeTab="3"/>
  </bookViews>
  <sheets>
    <sheet name="ÁREAS CONTRATADAS-PROYECTADAS" sheetId="1" r:id="rId1"/>
    <sheet name="LOTE vs MATRICULA" sheetId="4" r:id="rId2"/>
    <sheet name="MATRICULA" sheetId="2" r:id="rId3"/>
    <sheet name="PRE-EXISTENCIAS" sheetId="5" r:id="rId4"/>
    <sheet name="DIAGNOSTICO ÁREAS" sheetId="3" r:id="rId5"/>
  </sheets>
  <externalReferences>
    <externalReference r:id="rId6"/>
  </externalReferences>
  <definedNames>
    <definedName name="_xlnm.Print_Area" localSheetId="0">'ÁREAS CONTRATADAS-PROYECTADAS'!$A$1:$J$14</definedName>
  </definedNames>
  <calcPr calcId="152511"/>
</workbook>
</file>

<file path=xl/calcChain.xml><?xml version="1.0" encoding="utf-8"?>
<calcChain xmlns="http://schemas.openxmlformats.org/spreadsheetml/2006/main">
  <c r="H14" i="1" l="1"/>
  <c r="H6" i="1"/>
  <c r="H15" i="1" l="1"/>
  <c r="H21" i="1" l="1"/>
  <c r="H20" i="1"/>
  <c r="H5" i="1" l="1"/>
  <c r="E36" i="3" l="1"/>
  <c r="E37" i="3" s="1"/>
  <c r="K37" i="3" s="1"/>
  <c r="F37" i="3" l="1"/>
  <c r="I37" i="3" s="1"/>
  <c r="L16" i="3" l="1"/>
  <c r="F12" i="5"/>
  <c r="B2" i="5"/>
  <c r="B3" i="5"/>
  <c r="E13" i="5"/>
  <c r="I11" i="5"/>
  <c r="F9" i="5"/>
  <c r="F14" i="5" s="1"/>
  <c r="I14" i="5" s="1"/>
  <c r="F8" i="5"/>
  <c r="F13" i="5" s="1"/>
  <c r="I13" i="5" s="1"/>
  <c r="J13" i="5" s="1"/>
  <c r="E8" i="5"/>
  <c r="F7" i="5"/>
  <c r="I9" i="5" l="1"/>
  <c r="J9" i="5" s="1"/>
  <c r="J14" i="5"/>
  <c r="I8" i="5"/>
  <c r="J8" i="5" s="1"/>
  <c r="C31" i="3"/>
  <c r="J31" i="3" s="1"/>
  <c r="K31" i="3" s="1"/>
  <c r="J26" i="3"/>
  <c r="F26" i="3"/>
  <c r="C21" i="3"/>
  <c r="D21" i="3" s="1"/>
  <c r="C26" i="3"/>
  <c r="L25" i="2"/>
  <c r="L10" i="2"/>
  <c r="K25" i="2"/>
  <c r="J15" i="3"/>
  <c r="K15" i="3" s="1"/>
  <c r="J14" i="3"/>
  <c r="K14" i="3" s="1"/>
  <c r="J13" i="3"/>
  <c r="K13" i="3" s="1"/>
  <c r="J12" i="3"/>
  <c r="K12" i="3" s="1"/>
  <c r="J11" i="3"/>
  <c r="K11" i="3" s="1"/>
  <c r="J10" i="3"/>
  <c r="K10" i="3" s="1"/>
  <c r="B3" i="3"/>
  <c r="H16" i="3"/>
  <c r="J9" i="3"/>
  <c r="K9" i="3" s="1"/>
  <c r="J8" i="3"/>
  <c r="K8" i="3" s="1"/>
  <c r="J7" i="3"/>
  <c r="K7" i="3" s="1"/>
  <c r="F7" i="3"/>
  <c r="C7" i="3"/>
  <c r="I7" i="3" l="1"/>
  <c r="I15" i="3"/>
  <c r="I14" i="3"/>
  <c r="I13" i="3"/>
  <c r="I12" i="3"/>
  <c r="J21" i="3"/>
  <c r="K21" i="3" s="1"/>
  <c r="F21" i="3"/>
  <c r="I21" i="3" s="1"/>
  <c r="I11" i="3"/>
  <c r="E31" i="3"/>
  <c r="I31" i="3" s="1"/>
  <c r="K26" i="3"/>
  <c r="I26" i="3"/>
  <c r="I10" i="3"/>
  <c r="I9" i="3"/>
  <c r="I8" i="3"/>
  <c r="I16" i="3" l="1"/>
  <c r="M23" i="2" l="1"/>
  <c r="M24" i="2"/>
  <c r="J24" i="2"/>
  <c r="J23" i="2"/>
  <c r="I24" i="2"/>
  <c r="H24" i="2"/>
  <c r="H23" i="2"/>
  <c r="H22" i="2"/>
  <c r="H20" i="2"/>
  <c r="J20" i="2" s="1"/>
  <c r="H18" i="2"/>
  <c r="H15" i="2"/>
  <c r="J16" i="2"/>
  <c r="I16" i="2"/>
  <c r="I17" i="2"/>
  <c r="H16" i="2"/>
  <c r="M12" i="2"/>
  <c r="M13" i="2"/>
  <c r="M14" i="2"/>
  <c r="M15" i="2"/>
  <c r="J11" i="2"/>
  <c r="J12" i="2"/>
  <c r="J13" i="2"/>
  <c r="J14" i="2"/>
  <c r="J15" i="2"/>
  <c r="I14" i="2"/>
  <c r="I15" i="2"/>
  <c r="H14" i="2"/>
  <c r="I13" i="2"/>
  <c r="H13" i="2"/>
  <c r="I12" i="2"/>
  <c r="H12" i="2"/>
  <c r="M11" i="2"/>
  <c r="I11" i="2"/>
  <c r="H11" i="2"/>
  <c r="H10" i="2"/>
  <c r="I23" i="2"/>
  <c r="M22" i="2"/>
  <c r="J22" i="2"/>
  <c r="I22" i="2"/>
  <c r="I21" i="2"/>
  <c r="M20" i="2"/>
  <c r="I20" i="2"/>
  <c r="I19" i="2"/>
  <c r="I18" i="2"/>
  <c r="M18" i="2"/>
  <c r="M16" i="2"/>
  <c r="I10" i="2"/>
  <c r="M10" i="2"/>
  <c r="M25" i="2" s="1"/>
  <c r="E29" i="2"/>
  <c r="E28" i="2"/>
  <c r="J10" i="2" l="1"/>
  <c r="J18" i="2"/>
  <c r="E21" i="1" l="1"/>
  <c r="E20" i="1"/>
  <c r="F19" i="4" l="1"/>
  <c r="G19" i="4" s="1"/>
  <c r="F18" i="4"/>
  <c r="G18" i="4" s="1"/>
  <c r="F17" i="4"/>
  <c r="G17" i="4" s="1"/>
  <c r="F16" i="4"/>
  <c r="G16" i="4" s="1"/>
  <c r="F15" i="4"/>
  <c r="G15" i="4" s="1"/>
  <c r="F14" i="4"/>
  <c r="G14" i="4" s="1"/>
  <c r="F13" i="4"/>
  <c r="G13" i="4" s="1"/>
  <c r="F12" i="4"/>
  <c r="G12" i="4" s="1"/>
  <c r="F11" i="4"/>
  <c r="G11" i="4" s="1"/>
  <c r="E25" i="2"/>
  <c r="J25" i="2"/>
  <c r="I25" i="2"/>
</calcChain>
</file>

<file path=xl/sharedStrings.xml><?xml version="1.0" encoding="utf-8"?>
<sst xmlns="http://schemas.openxmlformats.org/spreadsheetml/2006/main" count="205" uniqueCount="134">
  <si>
    <t>AULAS DE CLASE</t>
  </si>
  <si>
    <t>ESCALERAS</t>
  </si>
  <si>
    <t>RAMPAS</t>
  </si>
  <si>
    <t>MUNICIPIO IPIALES, NARIÑO</t>
  </si>
  <si>
    <t>PROG. CONT.</t>
  </si>
  <si>
    <t>CANT.</t>
  </si>
  <si>
    <t>DIF. M2</t>
  </si>
  <si>
    <t>ÁREA CONT.</t>
  </si>
  <si>
    <t>CIRCULACIÓN CUBIERTAS ABIERTAS</t>
  </si>
  <si>
    <t>DIF %</t>
  </si>
  <si>
    <t>ÁREA CONSTRUIDA CUBIERTA CONTRACTUAL</t>
  </si>
  <si>
    <t>ÁREA CONSTRUIDA CUBIERTA PROYECTADA</t>
  </si>
  <si>
    <t>RAMPA CONTRAPISO</t>
  </si>
  <si>
    <t>CONVENCIONES</t>
  </si>
  <si>
    <t>ÁREAS CONSTRUIDAS CUBIERTAS</t>
  </si>
  <si>
    <t>ÁREAS CONSTRUIDAS DESCUBIERTAS</t>
  </si>
  <si>
    <t>ÁREAS MENORES AL CONTRATADO</t>
  </si>
  <si>
    <t>ÁREAS MAYORES AL CONTRATADO</t>
  </si>
  <si>
    <t>FECHA</t>
  </si>
  <si>
    <t>INF. EXTRAIDA DE:</t>
  </si>
  <si>
    <t>SEDE PRINCIPAL</t>
  </si>
  <si>
    <t>SECTOR</t>
  </si>
  <si>
    <t>CANTIDAD GRADOS</t>
  </si>
  <si>
    <t>GRADOS</t>
  </si>
  <si>
    <t>N° ESTUDIANTES</t>
  </si>
  <si>
    <t>JORNADA</t>
  </si>
  <si>
    <t>PRE-ESCOLAR</t>
  </si>
  <si>
    <t>Transición</t>
  </si>
  <si>
    <t>EDUCACIÓN BASICA PRIMARIA</t>
  </si>
  <si>
    <t>Primero</t>
  </si>
  <si>
    <t>Segundo</t>
  </si>
  <si>
    <t>Tercero</t>
  </si>
  <si>
    <t xml:space="preserve">Cuarto </t>
  </si>
  <si>
    <t>Quinto</t>
  </si>
  <si>
    <t>EDUCACIÓN BASICA SECUNDARIA</t>
  </si>
  <si>
    <t>Sexto</t>
  </si>
  <si>
    <t>Séptimo</t>
  </si>
  <si>
    <t>Octavo</t>
  </si>
  <si>
    <t>Noveno</t>
  </si>
  <si>
    <t>EDUCACIÓN BASICA MEDIA</t>
  </si>
  <si>
    <t>Decimo</t>
  </si>
  <si>
    <t>Once</t>
  </si>
  <si>
    <t>TOTALES</t>
  </si>
  <si>
    <t>CANT. AULAS x GRADO</t>
  </si>
  <si>
    <t>Mañana</t>
  </si>
  <si>
    <t>AMBIENTES DEL PROYECTO (NORMA)</t>
  </si>
  <si>
    <t>ÁREAS PROYECTADAS</t>
  </si>
  <si>
    <t>CANT. MATRICULA</t>
  </si>
  <si>
    <t>TURNOS</t>
  </si>
  <si>
    <t>ÁREA REQUERIDA (m2)</t>
  </si>
  <si>
    <t>ÁREA UTIL PROYECTADA</t>
  </si>
  <si>
    <t>ÁREA (m2/ESTUDIANTE)</t>
  </si>
  <si>
    <t>CUMPLE / NO CUMPLE</t>
  </si>
  <si>
    <t>ÁREA LOTE</t>
  </si>
  <si>
    <t>TABLA 1. TAMAÑO DE LOTES Y ÁREAS LIBRES</t>
  </si>
  <si>
    <t>Máxima capacidad estudiantes/jornada</t>
  </si>
  <si>
    <t>N° de pisos a construir</t>
  </si>
  <si>
    <t>Área útil mínima de lote (m2 por estudiante)</t>
  </si>
  <si>
    <t>Área lotes requeridos</t>
  </si>
  <si>
    <t>Área lote vs Matricula posible</t>
  </si>
  <si>
    <t xml:space="preserve">3 y 4 </t>
  </si>
  <si>
    <t>CONCLUSIÓN</t>
  </si>
  <si>
    <t>DIFERENCIA ÁREA</t>
  </si>
  <si>
    <t>SANTA TERESITA DE ALTAQUER BARBACOAS-NARIÑO</t>
  </si>
  <si>
    <t>LOCALIZACION</t>
  </si>
  <si>
    <t>INSTITUCION EDUCATIVA</t>
  </si>
  <si>
    <t>PROG.PROY</t>
  </si>
  <si>
    <t>ÁREA PROY.</t>
  </si>
  <si>
    <t>I.E. SANTA TERESITA DE ALTAQUER</t>
  </si>
  <si>
    <t>BATERIAS SANITARIAS</t>
  </si>
  <si>
    <t>LABORATORIOS FISICA Y QUIMICA</t>
  </si>
  <si>
    <t>BIBLIOTECA</t>
  </si>
  <si>
    <t>COMEDOR Y COCINA (AULA MULTIPLE)</t>
  </si>
  <si>
    <t>ADMINISTRACIÓN</t>
  </si>
  <si>
    <t>AREAS RECREATIVAS Y CANCHAS DEPORTIVAS</t>
  </si>
  <si>
    <t>ESCALERAS ELEVADAS</t>
  </si>
  <si>
    <t>RAMPAS ELEVADAS</t>
  </si>
  <si>
    <t>CIRCULACIÓN CUBIERTAS ABIERTAS (PRIMER PISO)</t>
  </si>
  <si>
    <t>CIRCULACIÓN CUBIERTAS ABIERTAS ELEVADAS (SEGUNDO PISO)</t>
  </si>
  <si>
    <t>ANDENES PERIMETRALES</t>
  </si>
  <si>
    <t>ÁREA CONSTRUIDA DESUBIERTA CONTRACTUAL</t>
  </si>
  <si>
    <t>ÁREA CONSTRUIDA DESCUBIERTA PROYECTADA</t>
  </si>
  <si>
    <t>GRUPO 9</t>
  </si>
  <si>
    <t>AMBIENTE "B"</t>
  </si>
  <si>
    <t>ÁREA                           (m2/ESTUDIANTE)</t>
  </si>
  <si>
    <t xml:space="preserve"> </t>
  </si>
  <si>
    <t>TOMADO DE: CERTIDICADO DE TRADICIÓN Y ESCRITURA PÚBLICA</t>
  </si>
  <si>
    <t>MATRÍCULA REPORTADA EN SIMAT - NOVIEMBRE 2015</t>
  </si>
  <si>
    <t xml:space="preserve">Según el área del lote de la institución, se puede construir un colegio con capacidad desde 480, 960 y hasta 1440 estudiantes, en construcciones quepueden ir desde 1 hasta 4 pisos </t>
  </si>
  <si>
    <t>Única</t>
  </si>
  <si>
    <t>CANT. TOTAL ESTUD.</t>
  </si>
  <si>
    <t>CANT. AULAS x GRADO TOTAL</t>
  </si>
  <si>
    <t xml:space="preserve">N° MAX. ALUM. x AULA </t>
  </si>
  <si>
    <t>N° ESTUDIANTES A TRASLDAR</t>
  </si>
  <si>
    <t>AULAS 2015</t>
  </si>
  <si>
    <t>AULAS JORNADA U.</t>
  </si>
  <si>
    <t>ALUMNOS JORNADA U.</t>
  </si>
  <si>
    <t>GRUPO 10</t>
  </si>
  <si>
    <t>PRE-EXISTENCIAS</t>
  </si>
  <si>
    <t>AMBIENTE "A"</t>
  </si>
  <si>
    <t>CANT. EXISTENTES</t>
  </si>
  <si>
    <t>CANT. TOTAL EXISTENTE</t>
  </si>
  <si>
    <t>CANT. REQUERIDA</t>
  </si>
  <si>
    <t>CANT. PROYECTADA</t>
  </si>
  <si>
    <t>MAL ESTADO</t>
  </si>
  <si>
    <t>BUEN ESTADO</t>
  </si>
  <si>
    <t>ESCOLARES</t>
  </si>
  <si>
    <t>NUMERO MAX. DE ESTU/MAESTRO</t>
  </si>
  <si>
    <t>CANT EST. x AULA</t>
  </si>
  <si>
    <t>N° AULA</t>
  </si>
  <si>
    <t>BASICA Y MEDIA (6-16 años)</t>
  </si>
  <si>
    <t>TOTAL</t>
  </si>
  <si>
    <t>SE DEBE ELIMINAR EL LABORATORIO O AULA BILINGÜE, AMPLIANDO LA COCINA Y EL COMEDOR  EN EL ÁREA PROYECTADA PARA CUMPLIR LA NORMA. EL ÁREA RESULTANTE DEL COMEDOR NO CUMPLIRIA EL ÁREA REQUERIDA PARA EL AULA MULTIPLE.</t>
  </si>
  <si>
    <t>ÁREA ÚTIL PROYECTADA</t>
  </si>
  <si>
    <t>N° MAX. ALUM. x GRADO</t>
  </si>
  <si>
    <t>AMBIENTE "C"</t>
  </si>
  <si>
    <t>LAB. FÍSICA Y QUÍMICA</t>
  </si>
  <si>
    <t xml:space="preserve">CANT. EST. </t>
  </si>
  <si>
    <t>AMBIENTE COMPLEMENTARIO</t>
  </si>
  <si>
    <t>CANT.MATRICULA</t>
  </si>
  <si>
    <t>ANÁLISIS MATRICULA PARA JORNADA ÚNICA</t>
  </si>
  <si>
    <t>CANT. RESULTANTE</t>
  </si>
  <si>
    <t>ESTADO</t>
  </si>
  <si>
    <t>BÁSICA Y MEDIA</t>
  </si>
  <si>
    <t>AMBIENTES COMPL. BAÑOS</t>
  </si>
  <si>
    <t>AMBIENTES DEL PROYECTO  (NORMA)</t>
  </si>
  <si>
    <t>AMBIENTE COMPLEMENTARIOS</t>
  </si>
  <si>
    <t>CAPACIDAD EST/APARATO</t>
  </si>
  <si>
    <t>APARATOS</t>
  </si>
  <si>
    <t>APARATOS PROYECTADOS</t>
  </si>
  <si>
    <t>BAÑOS ESCOLARES</t>
  </si>
  <si>
    <t>CUARTO TECNICO</t>
  </si>
  <si>
    <t xml:space="preserve">ADMINISTRACIÓN </t>
  </si>
  <si>
    <t>NOTA:EL ÁREA PROYECTADA NO CUMPLE CON EL ÁREA REQUERIDA POR LA NTC 4595. EL ESPACIO DISPUESTO SE ORGANIZO PARA CENTRALIZAR A LOS PROFESORES  POR LA CERCANIA A LAS NUEVAS AULAS. SE PROPONE QUE EL ÁREA RESTANTE SE UBIQUE CERCA DEL ACCESO YA QUE FUNCIONALMENTE ES MEJOR TENER ESOS SERVICIOS PARA LA ATENCIÓN DEL PUBLICO.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</si>
</sst>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0" x14ac:knownFonts="1">
    <font>
      <sz val="11"/>
      <color theme="1"/>
      <name val="Calibri"/>
      <family val="2"/>
      <scheme val="minor"/>
    </font>
    <font>
      <sz val="11"/>
      <color theme="1"/>
      <name val="Century Gothic"/>
      <family val="2"/>
    </font>
    <font>
      <b/>
      <sz val="11"/>
      <color theme="1"/>
      <name val="Century Gothic"/>
      <family val="2"/>
    </font>
    <font>
      <sz val="11"/>
      <name val="Century Gothic"/>
      <family val="2"/>
    </font>
    <font>
      <b/>
      <sz val="11"/>
      <color rgb="FFFF0000"/>
      <name val="Century Gothic"/>
      <family val="2"/>
    </font>
    <font>
      <b/>
      <sz val="11"/>
      <color rgb="FF00B050"/>
      <name val="Century Gothic"/>
      <family val="2"/>
    </font>
    <font>
      <b/>
      <sz val="26"/>
      <color theme="1"/>
      <name val="Century Gothic"/>
      <family val="2"/>
    </font>
    <font>
      <b/>
      <sz val="11"/>
      <color theme="9" tint="-0.249977111117893"/>
      <name val="Century Gothic"/>
      <family val="2"/>
    </font>
    <font>
      <sz val="11"/>
      <color rgb="FF0033CC"/>
      <name val="Century Gothic"/>
      <family val="2"/>
    </font>
    <font>
      <b/>
      <sz val="16"/>
      <color theme="1"/>
      <name val="Century Gothic"/>
      <family val="2"/>
    </font>
    <font>
      <b/>
      <sz val="24"/>
      <color theme="1"/>
      <name val="Century Gothic"/>
      <family val="2"/>
    </font>
    <font>
      <b/>
      <sz val="12"/>
      <color theme="1"/>
      <name val="Century Gothic"/>
      <family val="2"/>
    </font>
    <font>
      <sz val="10"/>
      <color theme="1"/>
      <name val="Century Gothic"/>
      <family val="2"/>
    </font>
    <font>
      <b/>
      <sz val="10"/>
      <color theme="1"/>
      <name val="Century Gothic"/>
      <family val="2"/>
    </font>
    <font>
      <b/>
      <sz val="9"/>
      <color theme="1"/>
      <name val="Century Gothic"/>
      <family val="2"/>
    </font>
    <font>
      <sz val="9"/>
      <color theme="1"/>
      <name val="Century Gothic"/>
      <family val="2"/>
    </font>
    <font>
      <sz val="9"/>
      <color rgb="FFFF0000"/>
      <name val="Century Gothic"/>
      <family val="2"/>
    </font>
    <font>
      <sz val="9"/>
      <name val="Century Gothic"/>
      <family val="2"/>
    </font>
    <font>
      <b/>
      <sz val="9"/>
      <name val="Century Gothic"/>
      <family val="2"/>
    </font>
    <font>
      <sz val="15.4"/>
      <color rgb="FF363636"/>
      <name val="Segoe UI Light"/>
      <family val="2"/>
    </font>
    <font>
      <sz val="10"/>
      <name val="Century Gothic"/>
      <family val="2"/>
    </font>
    <font>
      <b/>
      <sz val="10"/>
      <color rgb="FFFF0000"/>
      <name val="Century Gothic"/>
      <family val="2"/>
    </font>
    <font>
      <b/>
      <sz val="10"/>
      <name val="Century Gothic"/>
      <family val="2"/>
    </font>
    <font>
      <b/>
      <sz val="9"/>
      <color rgb="FFFF0000"/>
      <name val="Century Gothic"/>
      <family val="2"/>
    </font>
    <font>
      <sz val="11"/>
      <color theme="1"/>
      <name val="Calibri"/>
      <family val="2"/>
    </font>
    <font>
      <b/>
      <sz val="11"/>
      <name val="Century Gothic"/>
      <family val="2"/>
    </font>
    <font>
      <b/>
      <sz val="11"/>
      <color rgb="FF0000FF"/>
      <name val="Century Gothic"/>
      <family val="2"/>
    </font>
    <font>
      <b/>
      <sz val="9"/>
      <color theme="3" tint="0.39997558519241921"/>
      <name val="Century Gothic"/>
      <family val="2"/>
    </font>
    <font>
      <b/>
      <sz val="9"/>
      <color theme="9" tint="-0.249977111117893"/>
      <name val="Century Gothic"/>
      <family val="2"/>
    </font>
    <font>
      <b/>
      <sz val="11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rgb="FF0033CC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80">
    <xf numFmtId="0" fontId="0" fillId="0" borderId="0" xfId="0"/>
    <xf numFmtId="0" fontId="1" fillId="0" borderId="0" xfId="0" applyFont="1"/>
    <xf numFmtId="0" fontId="2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2" fontId="4" fillId="0" borderId="1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" fillId="0" borderId="6" xfId="0" applyFont="1" applyBorder="1" applyAlignment="1">
      <alignment vertical="center"/>
    </xf>
    <xf numFmtId="10" fontId="4" fillId="0" borderId="5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10" fontId="4" fillId="0" borderId="0" xfId="0" applyNumberFormat="1" applyFont="1" applyBorder="1" applyAlignment="1">
      <alignment horizontal="center" vertical="center"/>
    </xf>
    <xf numFmtId="10" fontId="3" fillId="0" borderId="0" xfId="0" applyNumberFormat="1" applyFont="1" applyBorder="1" applyAlignment="1">
      <alignment horizontal="center" vertical="center"/>
    </xf>
    <xf numFmtId="10" fontId="1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2" fontId="4" fillId="0" borderId="17" xfId="0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2" fontId="2" fillId="0" borderId="15" xfId="0" applyNumberFormat="1" applyFont="1" applyBorder="1" applyAlignment="1">
      <alignment horizontal="center" vertical="center"/>
    </xf>
    <xf numFmtId="2" fontId="5" fillId="0" borderId="11" xfId="0" applyNumberFormat="1" applyFont="1" applyBorder="1" applyAlignment="1">
      <alignment horizontal="center" vertical="center"/>
    </xf>
    <xf numFmtId="10" fontId="5" fillId="0" borderId="12" xfId="0" applyNumberFormat="1" applyFont="1" applyBorder="1" applyAlignment="1">
      <alignment horizontal="center" vertical="center"/>
    </xf>
    <xf numFmtId="10" fontId="5" fillId="0" borderId="5" xfId="0" applyNumberFormat="1" applyFont="1" applyBorder="1" applyAlignment="1">
      <alignment horizontal="center" vertical="center"/>
    </xf>
    <xf numFmtId="10" fontId="4" fillId="0" borderId="18" xfId="0" applyNumberFormat="1" applyFont="1" applyBorder="1" applyAlignment="1">
      <alignment horizontal="center" vertical="center"/>
    </xf>
    <xf numFmtId="2" fontId="4" fillId="0" borderId="6" xfId="0" applyNumberFormat="1" applyFont="1" applyBorder="1" applyAlignment="1">
      <alignment horizontal="center" vertical="center"/>
    </xf>
    <xf numFmtId="10" fontId="4" fillId="0" borderId="7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 wrapText="1"/>
    </xf>
    <xf numFmtId="2" fontId="5" fillId="0" borderId="3" xfId="0" applyNumberFormat="1" applyFont="1" applyBorder="1" applyAlignment="1">
      <alignment horizontal="center" vertical="center"/>
    </xf>
    <xf numFmtId="0" fontId="12" fillId="0" borderId="19" xfId="0" applyFont="1" applyBorder="1" applyAlignment="1">
      <alignment horizontal="left" vertical="center"/>
    </xf>
    <xf numFmtId="0" fontId="11" fillId="0" borderId="19" xfId="0" applyFont="1" applyBorder="1" applyAlignment="1">
      <alignment vertical="center"/>
    </xf>
    <xf numFmtId="0" fontId="12" fillId="0" borderId="19" xfId="0" applyFont="1" applyBorder="1" applyAlignment="1">
      <alignment vertical="center"/>
    </xf>
    <xf numFmtId="0" fontId="12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3" fillId="0" borderId="0" xfId="0" applyFont="1" applyBorder="1" applyAlignment="1">
      <alignment horizontal="right" vertical="center" wrapText="1"/>
    </xf>
    <xf numFmtId="0" fontId="14" fillId="6" borderId="20" xfId="0" applyFont="1" applyFill="1" applyBorder="1" applyAlignment="1">
      <alignment horizontal="center" vertical="center" wrapText="1"/>
    </xf>
    <xf numFmtId="0" fontId="14" fillId="6" borderId="21" xfId="0" applyFont="1" applyFill="1" applyBorder="1" applyAlignment="1">
      <alignment horizontal="center" vertical="center" wrapText="1"/>
    </xf>
    <xf numFmtId="0" fontId="14" fillId="6" borderId="22" xfId="0" applyFont="1" applyFill="1" applyBorder="1" applyAlignment="1">
      <alignment horizontal="center" vertical="center" wrapText="1"/>
    </xf>
    <xf numFmtId="0" fontId="12" fillId="6" borderId="23" xfId="0" applyFont="1" applyFill="1" applyBorder="1"/>
    <xf numFmtId="0" fontId="15" fillId="0" borderId="21" xfId="0" applyFont="1" applyBorder="1" applyAlignment="1">
      <alignment horizontal="center" vertical="center"/>
    </xf>
    <xf numFmtId="0" fontId="15" fillId="0" borderId="22" xfId="0" applyFont="1" applyBorder="1" applyAlignment="1">
      <alignment horizontal="center" vertical="center"/>
    </xf>
    <xf numFmtId="0" fontId="15" fillId="0" borderId="21" xfId="0" applyFont="1" applyBorder="1" applyAlignment="1">
      <alignment horizontal="center" vertical="center" wrapText="1"/>
    </xf>
    <xf numFmtId="0" fontId="15" fillId="0" borderId="19" xfId="0" applyFont="1" applyBorder="1" applyAlignment="1">
      <alignment horizontal="center" vertical="center"/>
    </xf>
    <xf numFmtId="0" fontId="15" fillId="0" borderId="25" xfId="0" applyFont="1" applyBorder="1" applyAlignment="1">
      <alignment horizontal="center" vertical="center" wrapText="1"/>
    </xf>
    <xf numFmtId="0" fontId="15" fillId="0" borderId="26" xfId="0" applyFont="1" applyBorder="1" applyAlignment="1">
      <alignment horizontal="center" vertical="center"/>
    </xf>
    <xf numFmtId="0" fontId="15" fillId="0" borderId="27" xfId="0" applyFont="1" applyBorder="1" applyAlignment="1">
      <alignment horizontal="center" vertical="center"/>
    </xf>
    <xf numFmtId="0" fontId="15" fillId="0" borderId="30" xfId="0" applyFont="1" applyBorder="1" applyAlignment="1">
      <alignment horizontal="center" vertical="center"/>
    </xf>
    <xf numFmtId="0" fontId="15" fillId="0" borderId="32" xfId="0" applyFont="1" applyBorder="1" applyAlignment="1">
      <alignment horizontal="center" vertical="center"/>
    </xf>
    <xf numFmtId="0" fontId="15" fillId="0" borderId="35" xfId="0" applyFont="1" applyBorder="1" applyAlignment="1">
      <alignment horizontal="center" vertical="center"/>
    </xf>
    <xf numFmtId="0" fontId="15" fillId="0" borderId="36" xfId="0" applyFont="1" applyBorder="1" applyAlignment="1">
      <alignment horizontal="center" vertical="center" wrapText="1"/>
    </xf>
    <xf numFmtId="0" fontId="15" fillId="0" borderId="40" xfId="0" applyFont="1" applyBorder="1" applyAlignment="1">
      <alignment horizontal="center" vertical="center"/>
    </xf>
    <xf numFmtId="0" fontId="15" fillId="0" borderId="41" xfId="0" applyFont="1" applyBorder="1" applyAlignment="1">
      <alignment horizontal="center" vertical="center"/>
    </xf>
    <xf numFmtId="0" fontId="15" fillId="7" borderId="25" xfId="0" applyFont="1" applyFill="1" applyBorder="1" applyAlignment="1">
      <alignment horizontal="center" vertical="center"/>
    </xf>
    <xf numFmtId="0" fontId="15" fillId="7" borderId="19" xfId="0" applyFont="1" applyFill="1" applyBorder="1" applyAlignment="1">
      <alignment horizontal="center" vertical="center"/>
    </xf>
    <xf numFmtId="0" fontId="15" fillId="7" borderId="40" xfId="0" applyFont="1" applyFill="1" applyBorder="1" applyAlignment="1">
      <alignment horizontal="center" vertical="center"/>
    </xf>
    <xf numFmtId="0" fontId="15" fillId="7" borderId="41" xfId="0" applyFont="1" applyFill="1" applyBorder="1" applyAlignment="1">
      <alignment horizontal="center" vertical="center"/>
    </xf>
    <xf numFmtId="0" fontId="14" fillId="0" borderId="13" xfId="0" applyFont="1" applyBorder="1" applyAlignment="1">
      <alignment vertical="center"/>
    </xf>
    <xf numFmtId="0" fontId="15" fillId="0" borderId="24" xfId="0" applyFont="1" applyBorder="1" applyAlignment="1">
      <alignment horizontal="center" vertical="center"/>
    </xf>
    <xf numFmtId="0" fontId="15" fillId="0" borderId="25" xfId="0" applyFont="1" applyBorder="1" applyAlignment="1">
      <alignment horizontal="center" vertical="center"/>
    </xf>
    <xf numFmtId="0" fontId="15" fillId="0" borderId="23" xfId="0" applyFont="1" applyBorder="1" applyAlignment="1">
      <alignment horizontal="center" vertical="center" wrapText="1"/>
    </xf>
    <xf numFmtId="0" fontId="14" fillId="6" borderId="23" xfId="0" applyFont="1" applyFill="1" applyBorder="1" applyAlignment="1">
      <alignment horizontal="center" vertical="center" wrapText="1"/>
    </xf>
    <xf numFmtId="0" fontId="15" fillId="0" borderId="36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 wrapText="1"/>
    </xf>
    <xf numFmtId="0" fontId="15" fillId="0" borderId="40" xfId="0" applyFont="1" applyBorder="1" applyAlignment="1">
      <alignment horizontal="center" vertical="center" wrapText="1"/>
    </xf>
    <xf numFmtId="0" fontId="15" fillId="0" borderId="27" xfId="0" applyFont="1" applyBorder="1" applyAlignment="1">
      <alignment horizontal="center" vertical="center" wrapText="1"/>
    </xf>
    <xf numFmtId="0" fontId="15" fillId="0" borderId="0" xfId="0" applyFont="1" applyBorder="1" applyAlignment="1">
      <alignment vertical="center"/>
    </xf>
    <xf numFmtId="0" fontId="1" fillId="7" borderId="0" xfId="0" applyFont="1" applyFill="1" applyBorder="1" applyAlignment="1">
      <alignment vertical="center"/>
    </xf>
    <xf numFmtId="0" fontId="0" fillId="0" borderId="0" xfId="0" applyBorder="1"/>
    <xf numFmtId="0" fontId="14" fillId="0" borderId="0" xfId="0" applyFont="1" applyBorder="1" applyAlignment="1">
      <alignment vertical="center"/>
    </xf>
    <xf numFmtId="0" fontId="15" fillId="0" borderId="0" xfId="0" applyFont="1" applyBorder="1" applyAlignment="1">
      <alignment horizontal="center" vertical="center"/>
    </xf>
    <xf numFmtId="0" fontId="19" fillId="0" borderId="0" xfId="0" applyFont="1"/>
    <xf numFmtId="0" fontId="17" fillId="0" borderId="20" xfId="0" applyFont="1" applyBorder="1" applyAlignment="1">
      <alignment horizontal="center" vertical="center"/>
    </xf>
    <xf numFmtId="0" fontId="17" fillId="0" borderId="44" xfId="0" applyFont="1" applyBorder="1" applyAlignment="1">
      <alignment horizontal="center" vertical="center"/>
    </xf>
    <xf numFmtId="0" fontId="17" fillId="0" borderId="31" xfId="0" applyFont="1" applyBorder="1" applyAlignment="1">
      <alignment horizontal="center" vertical="center"/>
    </xf>
    <xf numFmtId="0" fontId="0" fillId="7" borderId="0" xfId="0" applyFill="1"/>
    <xf numFmtId="0" fontId="12" fillId="7" borderId="0" xfId="0" applyFont="1" applyFill="1" applyBorder="1"/>
    <xf numFmtId="0" fontId="13" fillId="6" borderId="23" xfId="0" applyFont="1" applyFill="1" applyBorder="1" applyAlignment="1">
      <alignment horizontal="center" vertical="center"/>
    </xf>
    <xf numFmtId="0" fontId="13" fillId="7" borderId="0" xfId="0" applyFont="1" applyFill="1" applyBorder="1" applyAlignment="1">
      <alignment vertical="center"/>
    </xf>
    <xf numFmtId="0" fontId="20" fillId="6" borderId="21" xfId="0" applyFont="1" applyFill="1" applyBorder="1" applyAlignment="1">
      <alignment vertical="center" wrapText="1"/>
    </xf>
    <xf numFmtId="0" fontId="20" fillId="7" borderId="21" xfId="0" applyFont="1" applyFill="1" applyBorder="1" applyAlignment="1">
      <alignment horizontal="center" vertical="center" wrapText="1"/>
    </xf>
    <xf numFmtId="2" fontId="20" fillId="7" borderId="21" xfId="0" applyNumberFormat="1" applyFont="1" applyFill="1" applyBorder="1" applyAlignment="1">
      <alignment horizontal="center" vertical="center" wrapText="1"/>
    </xf>
    <xf numFmtId="2" fontId="12" fillId="7" borderId="22" xfId="0" applyNumberFormat="1" applyFont="1" applyFill="1" applyBorder="1" applyAlignment="1">
      <alignment horizontal="center" vertical="center"/>
    </xf>
    <xf numFmtId="2" fontId="20" fillId="7" borderId="21" xfId="0" applyNumberFormat="1" applyFont="1" applyFill="1" applyBorder="1" applyAlignment="1">
      <alignment horizontal="center" vertical="center"/>
    </xf>
    <xf numFmtId="2" fontId="20" fillId="7" borderId="0" xfId="0" applyNumberFormat="1" applyFont="1" applyFill="1" applyBorder="1" applyAlignment="1">
      <alignment horizontal="center" vertical="center"/>
    </xf>
    <xf numFmtId="0" fontId="12" fillId="7" borderId="0" xfId="0" applyFont="1" applyFill="1" applyBorder="1" applyAlignment="1"/>
    <xf numFmtId="0" fontId="12" fillId="7" borderId="0" xfId="0" applyFont="1" applyFill="1"/>
    <xf numFmtId="0" fontId="20" fillId="7" borderId="0" xfId="0" applyFont="1" applyFill="1" applyBorder="1" applyAlignment="1">
      <alignment vertical="center" wrapText="1"/>
    </xf>
    <xf numFmtId="0" fontId="20" fillId="7" borderId="0" xfId="0" applyFont="1" applyFill="1" applyBorder="1" applyAlignment="1">
      <alignment horizontal="center" vertical="center" wrapText="1"/>
    </xf>
    <xf numFmtId="2" fontId="12" fillId="7" borderId="0" xfId="0" applyNumberFormat="1" applyFont="1" applyFill="1" applyBorder="1" applyAlignment="1">
      <alignment horizontal="center" vertical="center"/>
    </xf>
    <xf numFmtId="0" fontId="15" fillId="0" borderId="34" xfId="0" applyFont="1" applyBorder="1" applyAlignment="1">
      <alignment vertical="center"/>
    </xf>
    <xf numFmtId="0" fontId="15" fillId="0" borderId="0" xfId="0" applyFont="1" applyBorder="1" applyAlignment="1">
      <alignment vertical="center" wrapText="1"/>
    </xf>
    <xf numFmtId="0" fontId="13" fillId="0" borderId="0" xfId="0" applyFont="1" applyFill="1" applyBorder="1" applyAlignment="1">
      <alignment horizontal="right" vertical="center" wrapText="1"/>
    </xf>
    <xf numFmtId="0" fontId="13" fillId="0" borderId="0" xfId="0" applyFont="1" applyFill="1" applyBorder="1" applyAlignment="1">
      <alignment horizontal="left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vertical="center" wrapText="1"/>
    </xf>
    <xf numFmtId="0" fontId="14" fillId="6" borderId="47" xfId="0" applyFont="1" applyFill="1" applyBorder="1" applyAlignment="1">
      <alignment horizontal="center" vertical="center" wrapText="1"/>
    </xf>
    <xf numFmtId="0" fontId="17" fillId="0" borderId="27" xfId="0" applyFont="1" applyFill="1" applyBorder="1" applyAlignment="1">
      <alignment horizontal="center" vertical="center" wrapText="1"/>
    </xf>
    <xf numFmtId="0" fontId="17" fillId="0" borderId="40" xfId="0" applyFont="1" applyFill="1" applyBorder="1" applyAlignment="1">
      <alignment horizontal="center" vertical="center" wrapText="1"/>
    </xf>
    <xf numFmtId="0" fontId="17" fillId="0" borderId="19" xfId="0" applyFont="1" applyFill="1" applyBorder="1" applyAlignment="1">
      <alignment horizontal="center" vertical="center" wrapText="1"/>
    </xf>
    <xf numFmtId="0" fontId="15" fillId="0" borderId="0" xfId="0" applyFont="1" applyAlignment="1">
      <alignment vertical="center"/>
    </xf>
    <xf numFmtId="0" fontId="14" fillId="0" borderId="0" xfId="0" applyFont="1" applyAlignment="1">
      <alignment horizontal="right" vertical="center"/>
    </xf>
    <xf numFmtId="0" fontId="14" fillId="0" borderId="0" xfId="0" applyFont="1" applyAlignment="1">
      <alignment vertical="center"/>
    </xf>
    <xf numFmtId="2" fontId="14" fillId="0" borderId="0" xfId="0" applyNumberFormat="1" applyFont="1" applyAlignment="1">
      <alignment vertical="center"/>
    </xf>
    <xf numFmtId="0" fontId="14" fillId="0" borderId="0" xfId="0" applyFont="1" applyAlignment="1">
      <alignment horizontal="center" vertical="center" wrapText="1"/>
    </xf>
    <xf numFmtId="0" fontId="15" fillId="0" borderId="48" xfId="0" applyFont="1" applyBorder="1" applyAlignment="1">
      <alignment horizontal="center" vertical="center" wrapText="1"/>
    </xf>
    <xf numFmtId="2" fontId="14" fillId="0" borderId="28" xfId="0" applyNumberFormat="1" applyFont="1" applyBorder="1" applyAlignment="1">
      <alignment horizontal="center" vertical="center"/>
    </xf>
    <xf numFmtId="0" fontId="23" fillId="0" borderId="36" xfId="0" applyFont="1" applyBorder="1" applyAlignment="1">
      <alignment horizontal="center" vertical="center"/>
    </xf>
    <xf numFmtId="0" fontId="15" fillId="0" borderId="49" xfId="0" applyFont="1" applyBorder="1" applyAlignment="1">
      <alignment horizontal="center" vertical="center"/>
    </xf>
    <xf numFmtId="2" fontId="14" fillId="0" borderId="44" xfId="0" applyNumberFormat="1" applyFont="1" applyBorder="1" applyAlignment="1">
      <alignment horizontal="center" vertical="center"/>
    </xf>
    <xf numFmtId="0" fontId="23" fillId="0" borderId="27" xfId="0" applyFont="1" applyBorder="1" applyAlignment="1">
      <alignment horizontal="center" vertical="center"/>
    </xf>
    <xf numFmtId="0" fontId="15" fillId="0" borderId="50" xfId="0" applyFont="1" applyBorder="1" applyAlignment="1">
      <alignment horizontal="center" vertical="center"/>
    </xf>
    <xf numFmtId="0" fontId="15" fillId="0" borderId="29" xfId="0" applyFont="1" applyBorder="1" applyAlignment="1">
      <alignment horizontal="center" vertical="center"/>
    </xf>
    <xf numFmtId="0" fontId="15" fillId="0" borderId="33" xfId="0" applyFont="1" applyBorder="1" applyAlignment="1">
      <alignment horizontal="center" vertical="center"/>
    </xf>
    <xf numFmtId="0" fontId="15" fillId="0" borderId="48" xfId="0" applyFont="1" applyBorder="1" applyAlignment="1">
      <alignment horizontal="center" vertical="center"/>
    </xf>
    <xf numFmtId="2" fontId="14" fillId="0" borderId="45" xfId="0" applyNumberFormat="1" applyFont="1" applyBorder="1" applyAlignment="1">
      <alignment horizontal="center" vertical="center"/>
    </xf>
    <xf numFmtId="0" fontId="23" fillId="0" borderId="40" xfId="0" applyFont="1" applyBorder="1" applyAlignment="1">
      <alignment horizontal="center" vertical="center"/>
    </xf>
    <xf numFmtId="0" fontId="2" fillId="0" borderId="0" xfId="0" applyFont="1"/>
    <xf numFmtId="0" fontId="15" fillId="0" borderId="0" xfId="0" applyFont="1" applyAlignment="1">
      <alignment vertical="center" wrapText="1"/>
    </xf>
    <xf numFmtId="0" fontId="24" fillId="0" borderId="0" xfId="0" applyFont="1" applyFill="1" applyBorder="1"/>
    <xf numFmtId="2" fontId="1" fillId="0" borderId="0" xfId="0" applyNumberFormat="1" applyFont="1" applyBorder="1" applyAlignment="1">
      <alignment horizontal="center" vertical="center"/>
    </xf>
    <xf numFmtId="10" fontId="5" fillId="0" borderId="0" xfId="0" applyNumberFormat="1" applyFont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2" fillId="0" borderId="51" xfId="0" applyFont="1" applyBorder="1" applyAlignment="1">
      <alignment horizontal="center" vertical="center"/>
    </xf>
    <xf numFmtId="4" fontId="0" fillId="0" borderId="38" xfId="0" applyNumberFormat="1" applyBorder="1"/>
    <xf numFmtId="0" fontId="7" fillId="0" borderId="10" xfId="0" applyFont="1" applyBorder="1" applyAlignment="1">
      <alignment vertical="center"/>
    </xf>
    <xf numFmtId="0" fontId="0" fillId="0" borderId="52" xfId="0" applyBorder="1"/>
    <xf numFmtId="0" fontId="7" fillId="0" borderId="8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0" fillId="0" borderId="52" xfId="0" applyBorder="1" applyAlignment="1">
      <alignment wrapText="1"/>
    </xf>
    <xf numFmtId="0" fontId="1" fillId="0" borderId="1" xfId="0" applyFont="1" applyFill="1" applyBorder="1" applyAlignment="1">
      <alignment vertical="center"/>
    </xf>
    <xf numFmtId="0" fontId="7" fillId="0" borderId="53" xfId="0" applyFont="1" applyFill="1" applyBorder="1" applyAlignment="1">
      <alignment vertical="center"/>
    </xf>
    <xf numFmtId="0" fontId="7" fillId="0" borderId="8" xfId="0" applyFont="1" applyFill="1" applyBorder="1" applyAlignment="1">
      <alignment vertical="center"/>
    </xf>
    <xf numFmtId="0" fontId="0" fillId="0" borderId="54" xfId="0" applyBorder="1"/>
    <xf numFmtId="4" fontId="2" fillId="0" borderId="0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10" fontId="5" fillId="0" borderId="4" xfId="0" applyNumberFormat="1" applyFont="1" applyBorder="1" applyAlignment="1">
      <alignment horizontal="center" vertical="center"/>
    </xf>
    <xf numFmtId="0" fontId="2" fillId="0" borderId="16" xfId="0" applyFont="1" applyBorder="1" applyAlignment="1">
      <alignment horizontal="left" vertical="center"/>
    </xf>
    <xf numFmtId="2" fontId="25" fillId="0" borderId="14" xfId="0" applyNumberFormat="1" applyFont="1" applyBorder="1" applyAlignment="1">
      <alignment horizontal="center" vertical="center"/>
    </xf>
    <xf numFmtId="9" fontId="13" fillId="6" borderId="34" xfId="0" applyNumberFormat="1" applyFont="1" applyFill="1" applyBorder="1" applyAlignment="1">
      <alignment horizontal="center" vertical="center"/>
    </xf>
    <xf numFmtId="0" fontId="15" fillId="0" borderId="0" xfId="0" applyFont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3" fillId="7" borderId="0" xfId="0" applyFont="1" applyFill="1" applyBorder="1" applyAlignment="1">
      <alignment horizontal="center" vertical="center" wrapText="1"/>
    </xf>
    <xf numFmtId="0" fontId="15" fillId="0" borderId="24" xfId="0" applyFont="1" applyBorder="1" applyAlignment="1">
      <alignment horizontal="center" vertical="center" wrapText="1"/>
    </xf>
    <xf numFmtId="0" fontId="15" fillId="0" borderId="30" xfId="0" applyFont="1" applyBorder="1" applyAlignment="1">
      <alignment horizontal="center" vertical="center" wrapText="1"/>
    </xf>
    <xf numFmtId="0" fontId="15" fillId="0" borderId="58" xfId="0" applyFont="1" applyBorder="1" applyAlignment="1">
      <alignment horizontal="center" vertical="center"/>
    </xf>
    <xf numFmtId="0" fontId="15" fillId="0" borderId="29" xfId="0" applyFont="1" applyBorder="1" applyAlignment="1">
      <alignment horizontal="center" vertical="center" wrapText="1"/>
    </xf>
    <xf numFmtId="0" fontId="15" fillId="0" borderId="49" xfId="0" applyFont="1" applyBorder="1" applyAlignment="1">
      <alignment horizontal="center" vertical="center" wrapText="1"/>
    </xf>
    <xf numFmtId="0" fontId="15" fillId="0" borderId="50" xfId="0" applyFont="1" applyBorder="1" applyAlignment="1">
      <alignment horizontal="center" vertical="center" wrapText="1"/>
    </xf>
    <xf numFmtId="0" fontId="16" fillId="0" borderId="0" xfId="0" applyFont="1" applyBorder="1" applyAlignment="1">
      <alignment vertical="center" wrapText="1"/>
    </xf>
    <xf numFmtId="0" fontId="27" fillId="7" borderId="2" xfId="0" applyFont="1" applyFill="1" applyBorder="1" applyAlignment="1">
      <alignment horizontal="center" vertical="center"/>
    </xf>
    <xf numFmtId="0" fontId="15" fillId="7" borderId="4" xfId="0" applyFont="1" applyFill="1" applyBorder="1" applyAlignment="1">
      <alignment horizontal="center" vertical="center"/>
    </xf>
    <xf numFmtId="0" fontId="28" fillId="7" borderId="16" xfId="0" applyFont="1" applyFill="1" applyBorder="1" applyAlignment="1">
      <alignment horizontal="center" vertical="center"/>
    </xf>
    <xf numFmtId="0" fontId="15" fillId="0" borderId="18" xfId="0" applyFont="1" applyBorder="1" applyAlignment="1">
      <alignment horizontal="center" vertical="center" wrapText="1"/>
    </xf>
    <xf numFmtId="0" fontId="27" fillId="0" borderId="28" xfId="0" applyFont="1" applyBorder="1" applyAlignment="1">
      <alignment horizontal="center" vertical="center"/>
    </xf>
    <xf numFmtId="0" fontId="27" fillId="0" borderId="36" xfId="0" applyFont="1" applyBorder="1" applyAlignment="1">
      <alignment horizontal="center" vertical="center"/>
    </xf>
    <xf numFmtId="0" fontId="27" fillId="0" borderId="25" xfId="0" applyFont="1" applyBorder="1" applyAlignment="1">
      <alignment horizontal="center" vertical="center"/>
    </xf>
    <xf numFmtId="0" fontId="27" fillId="0" borderId="27" xfId="0" applyFont="1" applyBorder="1" applyAlignment="1">
      <alignment horizontal="center" vertical="center"/>
    </xf>
    <xf numFmtId="0" fontId="7" fillId="7" borderId="0" xfId="0" applyFont="1" applyFill="1" applyBorder="1" applyAlignment="1">
      <alignment vertical="center"/>
    </xf>
    <xf numFmtId="0" fontId="28" fillId="7" borderId="45" xfId="0" applyFont="1" applyFill="1" applyBorder="1" applyAlignment="1">
      <alignment horizontal="center" vertical="center"/>
    </xf>
    <xf numFmtId="0" fontId="28" fillId="7" borderId="28" xfId="0" applyFont="1" applyFill="1" applyBorder="1" applyAlignment="1">
      <alignment horizontal="center" vertical="center"/>
    </xf>
    <xf numFmtId="0" fontId="28" fillId="0" borderId="40" xfId="0" applyFont="1" applyBorder="1" applyAlignment="1">
      <alignment horizontal="center" vertical="center"/>
    </xf>
    <xf numFmtId="0" fontId="28" fillId="0" borderId="27" xfId="0" applyFont="1" applyBorder="1" applyAlignment="1">
      <alignment horizontal="center" vertical="center"/>
    </xf>
    <xf numFmtId="0" fontId="28" fillId="0" borderId="25" xfId="0" applyFont="1" applyBorder="1" applyAlignment="1">
      <alignment horizontal="center" vertical="center"/>
    </xf>
    <xf numFmtId="0" fontId="27" fillId="0" borderId="44" xfId="0" applyFont="1" applyBorder="1" applyAlignment="1">
      <alignment horizontal="center" vertical="center"/>
    </xf>
    <xf numFmtId="0" fontId="13" fillId="0" borderId="20" xfId="0" applyFont="1" applyBorder="1" applyAlignment="1">
      <alignment horizontal="left" vertical="center" wrapText="1"/>
    </xf>
    <xf numFmtId="0" fontId="1" fillId="0" borderId="13" xfId="0" applyFont="1" applyBorder="1" applyAlignment="1">
      <alignment vertical="center"/>
    </xf>
    <xf numFmtId="2" fontId="14" fillId="0" borderId="13" xfId="0" applyNumberFormat="1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23" fillId="0" borderId="13" xfId="0" applyFont="1" applyBorder="1" applyAlignment="1">
      <alignment horizontal="center" vertical="center"/>
    </xf>
    <xf numFmtId="0" fontId="17" fillId="0" borderId="0" xfId="0" applyFont="1" applyFill="1" applyBorder="1" applyAlignment="1">
      <alignment vertical="center" wrapText="1"/>
    </xf>
    <xf numFmtId="0" fontId="14" fillId="6" borderId="39" xfId="0" applyFont="1" applyFill="1" applyBorder="1" applyAlignment="1">
      <alignment horizontal="center" vertical="center" wrapText="1"/>
    </xf>
    <xf numFmtId="0" fontId="15" fillId="0" borderId="34" xfId="0" applyFont="1" applyBorder="1" applyAlignment="1">
      <alignment horizontal="center" vertical="center" wrapText="1"/>
    </xf>
    <xf numFmtId="0" fontId="16" fillId="0" borderId="40" xfId="0" applyFont="1" applyBorder="1" applyAlignment="1">
      <alignment horizontal="center" vertical="center" wrapText="1"/>
    </xf>
    <xf numFmtId="0" fontId="16" fillId="0" borderId="27" xfId="0" applyFont="1" applyBorder="1" applyAlignment="1">
      <alignment horizontal="center" vertical="center" wrapText="1"/>
    </xf>
    <xf numFmtId="0" fontId="17" fillId="0" borderId="25" xfId="0" applyFont="1" applyFill="1" applyBorder="1" applyAlignment="1">
      <alignment horizontal="center" vertical="center" wrapText="1"/>
    </xf>
    <xf numFmtId="0" fontId="16" fillId="0" borderId="34" xfId="0" applyFont="1" applyBorder="1" applyAlignment="1">
      <alignment horizontal="center" vertical="center" wrapText="1"/>
    </xf>
    <xf numFmtId="0" fontId="17" fillId="0" borderId="0" xfId="0" applyFont="1" applyFill="1" applyBorder="1" applyAlignment="1">
      <alignment vertical="center"/>
    </xf>
    <xf numFmtId="0" fontId="23" fillId="0" borderId="0" xfId="0" applyFont="1" applyFill="1" applyBorder="1" applyAlignment="1">
      <alignment vertical="center"/>
    </xf>
    <xf numFmtId="0" fontId="14" fillId="6" borderId="38" xfId="0" applyFont="1" applyFill="1" applyBorder="1" applyAlignment="1">
      <alignment horizontal="center" vertical="center" wrapText="1"/>
    </xf>
    <xf numFmtId="0" fontId="17" fillId="0" borderId="26" xfId="0" applyFont="1" applyFill="1" applyBorder="1" applyAlignment="1">
      <alignment horizontal="center" vertical="center" wrapText="1"/>
    </xf>
    <xf numFmtId="0" fontId="17" fillId="0" borderId="41" xfId="0" applyFont="1" applyFill="1" applyBorder="1" applyAlignment="1">
      <alignment horizontal="center" vertical="center" wrapText="1"/>
    </xf>
    <xf numFmtId="0" fontId="17" fillId="0" borderId="41" xfId="0" applyNumberFormat="1" applyFont="1" applyFill="1" applyBorder="1" applyAlignment="1">
      <alignment horizontal="center" vertical="center" wrapText="1"/>
    </xf>
    <xf numFmtId="0" fontId="17" fillId="0" borderId="34" xfId="0" applyFont="1" applyFill="1" applyBorder="1" applyAlignment="1">
      <alignment horizontal="center" vertical="center" wrapText="1"/>
    </xf>
    <xf numFmtId="0" fontId="17" fillId="0" borderId="36" xfId="0" applyFont="1" applyFill="1" applyBorder="1" applyAlignment="1">
      <alignment horizontal="center" vertical="center" wrapText="1"/>
    </xf>
    <xf numFmtId="0" fontId="17" fillId="0" borderId="34" xfId="0" applyFont="1" applyFill="1" applyBorder="1" applyAlignment="1">
      <alignment horizontal="center" vertical="center"/>
    </xf>
    <xf numFmtId="0" fontId="16" fillId="0" borderId="23" xfId="0" applyFont="1" applyBorder="1" applyAlignment="1">
      <alignment horizontal="center" vertical="center" wrapText="1"/>
    </xf>
    <xf numFmtId="0" fontId="17" fillId="0" borderId="38" xfId="0" applyNumberFormat="1" applyFont="1" applyFill="1" applyBorder="1" applyAlignment="1">
      <alignment horizontal="center" vertical="center" wrapText="1"/>
    </xf>
    <xf numFmtId="0" fontId="1" fillId="7" borderId="38" xfId="0" applyFont="1" applyFill="1" applyBorder="1" applyAlignment="1">
      <alignment vertical="center"/>
    </xf>
    <xf numFmtId="0" fontId="0" fillId="7" borderId="0" xfId="0" applyFill="1" applyAlignment="1">
      <alignment horizontal="right" vertical="center"/>
    </xf>
    <xf numFmtId="0" fontId="9" fillId="7" borderId="0" xfId="0" applyFont="1" applyFill="1" applyBorder="1" applyAlignment="1">
      <alignment vertical="center" wrapText="1"/>
    </xf>
    <xf numFmtId="0" fontId="10" fillId="7" borderId="0" xfId="0" applyFont="1" applyFill="1" applyBorder="1" applyAlignment="1">
      <alignment vertical="center" wrapText="1"/>
    </xf>
    <xf numFmtId="0" fontId="13" fillId="7" borderId="0" xfId="0" applyFont="1" applyFill="1" applyBorder="1" applyAlignment="1">
      <alignment wrapText="1"/>
    </xf>
    <xf numFmtId="0" fontId="14" fillId="6" borderId="55" xfId="0" applyFont="1" applyFill="1" applyBorder="1" applyAlignment="1">
      <alignment horizontal="center" vertical="center" wrapText="1"/>
    </xf>
    <xf numFmtId="0" fontId="14" fillId="6" borderId="56" xfId="0" applyFont="1" applyFill="1" applyBorder="1" applyAlignment="1">
      <alignment horizontal="center" vertical="center" wrapText="1"/>
    </xf>
    <xf numFmtId="0" fontId="12" fillId="6" borderId="36" xfId="0" applyFont="1" applyFill="1" applyBorder="1"/>
    <xf numFmtId="0" fontId="15" fillId="0" borderId="12" xfId="0" applyFont="1" applyBorder="1" applyAlignment="1">
      <alignment horizontal="center" vertical="center"/>
    </xf>
    <xf numFmtId="0" fontId="15" fillId="0" borderId="42" xfId="0" applyFont="1" applyFill="1" applyBorder="1" applyAlignment="1">
      <alignment horizontal="center" vertical="center" wrapText="1"/>
    </xf>
    <xf numFmtId="0" fontId="15" fillId="6" borderId="40" xfId="0" applyFont="1" applyFill="1" applyBorder="1" applyAlignment="1">
      <alignment vertical="center" wrapText="1"/>
    </xf>
    <xf numFmtId="0" fontId="15" fillId="0" borderId="60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45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" fillId="0" borderId="0" xfId="0" applyFont="1" applyFill="1" applyBorder="1"/>
    <xf numFmtId="0" fontId="15" fillId="0" borderId="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vertical="center" wrapText="1"/>
    </xf>
    <xf numFmtId="0" fontId="0" fillId="0" borderId="0" xfId="0" applyFill="1" applyBorder="1" applyAlignment="1"/>
    <xf numFmtId="0" fontId="20" fillId="6" borderId="21" xfId="0" applyFont="1" applyFill="1" applyBorder="1" applyAlignment="1">
      <alignment horizontal="left" vertical="center" wrapText="1"/>
    </xf>
    <xf numFmtId="0" fontId="20" fillId="7" borderId="21" xfId="0" applyNumberFormat="1" applyFont="1" applyFill="1" applyBorder="1" applyAlignment="1">
      <alignment horizontal="center" vertical="center" wrapText="1"/>
    </xf>
    <xf numFmtId="0" fontId="20" fillId="7" borderId="0" xfId="0" applyNumberFormat="1" applyFont="1" applyFill="1" applyBorder="1" applyAlignment="1">
      <alignment horizontal="center" vertical="center" wrapText="1"/>
    </xf>
    <xf numFmtId="2" fontId="22" fillId="7" borderId="0" xfId="0" applyNumberFormat="1" applyFont="1" applyFill="1" applyBorder="1" applyAlignment="1">
      <alignment horizontal="center" vertical="center"/>
    </xf>
    <xf numFmtId="0" fontId="15" fillId="0" borderId="49" xfId="0" applyFont="1" applyFill="1" applyBorder="1" applyAlignment="1">
      <alignment horizontal="center" vertical="center"/>
    </xf>
    <xf numFmtId="0" fontId="15" fillId="0" borderId="50" xfId="0" applyFont="1" applyFill="1" applyBorder="1" applyAlignment="1">
      <alignment horizontal="center" vertical="center"/>
    </xf>
    <xf numFmtId="0" fontId="15" fillId="0" borderId="47" xfId="0" applyFont="1" applyFill="1" applyBorder="1" applyAlignment="1">
      <alignment horizontal="center" vertical="center"/>
    </xf>
    <xf numFmtId="0" fontId="0" fillId="7" borderId="0" xfId="0" applyFill="1" applyAlignment="1"/>
    <xf numFmtId="0" fontId="13" fillId="6" borderId="34" xfId="0" applyNumberFormat="1" applyFont="1" applyFill="1" applyBorder="1" applyAlignment="1">
      <alignment horizontal="center" vertical="center"/>
    </xf>
    <xf numFmtId="0" fontId="20" fillId="7" borderId="20" xfId="0" applyFont="1" applyFill="1" applyBorder="1" applyAlignment="1">
      <alignment horizontal="center" vertical="center" wrapText="1"/>
    </xf>
    <xf numFmtId="2" fontId="12" fillId="7" borderId="21" xfId="0" applyNumberFormat="1" applyFont="1" applyFill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0" fillId="0" borderId="0" xfId="0" applyFill="1" applyBorder="1"/>
    <xf numFmtId="2" fontId="15" fillId="0" borderId="0" xfId="0" applyNumberFormat="1" applyFont="1" applyFill="1" applyBorder="1" applyAlignment="1">
      <alignment horizontal="center" vertical="center"/>
    </xf>
    <xf numFmtId="0" fontId="14" fillId="6" borderId="36" xfId="0" applyFont="1" applyFill="1" applyBorder="1" applyAlignment="1">
      <alignment horizontal="center" vertical="center" wrapText="1"/>
    </xf>
    <xf numFmtId="0" fontId="14" fillId="6" borderId="30" xfId="0" applyFont="1" applyFill="1" applyBorder="1" applyAlignment="1">
      <alignment horizontal="center" vertical="center" wrapText="1"/>
    </xf>
    <xf numFmtId="2" fontId="15" fillId="0" borderId="36" xfId="0" applyNumberFormat="1" applyFont="1" applyBorder="1" applyAlignment="1">
      <alignment horizontal="center" vertical="center"/>
    </xf>
    <xf numFmtId="0" fontId="12" fillId="0" borderId="0" xfId="0" applyFont="1" applyFill="1" applyBorder="1" applyAlignment="1">
      <alignment horizontal="left" vertical="center" wrapText="1"/>
    </xf>
    <xf numFmtId="0" fontId="14" fillId="0" borderId="0" xfId="0" applyFont="1" applyFill="1" applyBorder="1" applyAlignment="1">
      <alignment vertical="center"/>
    </xf>
    <xf numFmtId="0" fontId="23" fillId="0" borderId="50" xfId="0" applyFont="1" applyBorder="1" applyAlignment="1">
      <alignment horizontal="center" vertical="center"/>
    </xf>
    <xf numFmtId="0" fontId="23" fillId="0" borderId="42" xfId="0" applyFont="1" applyBorder="1" applyAlignment="1">
      <alignment horizontal="center" vertical="center"/>
    </xf>
    <xf numFmtId="0" fontId="23" fillId="0" borderId="45" xfId="0" applyFont="1" applyBorder="1" applyAlignment="1">
      <alignment horizontal="center" vertical="center"/>
    </xf>
    <xf numFmtId="0" fontId="23" fillId="0" borderId="48" xfId="0" applyFont="1" applyBorder="1" applyAlignment="1">
      <alignment horizontal="center" vertical="center"/>
    </xf>
    <xf numFmtId="2" fontId="23" fillId="0" borderId="36" xfId="0" applyNumberFormat="1" applyFont="1" applyBorder="1" applyAlignment="1">
      <alignment horizontal="center" vertical="center"/>
    </xf>
    <xf numFmtId="2" fontId="20" fillId="7" borderId="13" xfId="0" applyNumberFormat="1" applyFont="1" applyFill="1" applyBorder="1" applyAlignment="1">
      <alignment horizontal="center" vertical="center"/>
    </xf>
    <xf numFmtId="0" fontId="21" fillId="7" borderId="13" xfId="0" applyFont="1" applyFill="1" applyBorder="1" applyAlignment="1">
      <alignment horizontal="center" vertical="center" wrapText="1"/>
    </xf>
    <xf numFmtId="0" fontId="20" fillId="7" borderId="13" xfId="0" applyFont="1" applyFill="1" applyBorder="1" applyAlignment="1">
      <alignment horizontal="center" vertical="center" wrapText="1"/>
    </xf>
    <xf numFmtId="0" fontId="0" fillId="7" borderId="13" xfId="0" applyFill="1" applyBorder="1" applyAlignment="1">
      <alignment horizontal="center" vertical="center"/>
    </xf>
    <xf numFmtId="2" fontId="20" fillId="7" borderId="1" xfId="0" applyNumberFormat="1" applyFont="1" applyFill="1" applyBorder="1" applyAlignment="1">
      <alignment horizontal="center" vertical="center"/>
    </xf>
    <xf numFmtId="0" fontId="21" fillId="7" borderId="1" xfId="0" applyFont="1" applyFill="1" applyBorder="1" applyAlignment="1">
      <alignment horizontal="center" vertical="center" wrapText="1"/>
    </xf>
    <xf numFmtId="0" fontId="20" fillId="7" borderId="1" xfId="0" applyFont="1" applyFill="1" applyBorder="1" applyAlignment="1">
      <alignment horizontal="center" vertical="center" wrapText="1"/>
    </xf>
    <xf numFmtId="2" fontId="20" fillId="7" borderId="10" xfId="0" applyNumberFormat="1" applyFont="1" applyFill="1" applyBorder="1" applyAlignment="1">
      <alignment horizontal="center" vertical="center"/>
    </xf>
    <xf numFmtId="2" fontId="20" fillId="7" borderId="11" xfId="0" applyNumberFormat="1" applyFont="1" applyFill="1" applyBorder="1" applyAlignment="1">
      <alignment horizontal="center" vertical="center"/>
    </xf>
    <xf numFmtId="0" fontId="21" fillId="7" borderId="11" xfId="0" applyFont="1" applyFill="1" applyBorder="1" applyAlignment="1">
      <alignment horizontal="center" vertical="center" wrapText="1"/>
    </xf>
    <xf numFmtId="0" fontId="20" fillId="7" borderId="11" xfId="0" applyFont="1" applyFill="1" applyBorder="1" applyAlignment="1">
      <alignment horizontal="center" vertical="center" wrapText="1"/>
    </xf>
    <xf numFmtId="0" fontId="0" fillId="7" borderId="12" xfId="0" applyFill="1" applyBorder="1" applyAlignment="1">
      <alignment horizontal="center" vertical="center"/>
    </xf>
    <xf numFmtId="2" fontId="20" fillId="7" borderId="8" xfId="0" applyNumberFormat="1" applyFont="1" applyFill="1" applyBorder="1" applyAlignment="1">
      <alignment horizontal="center" vertical="center"/>
    </xf>
    <xf numFmtId="0" fontId="0" fillId="7" borderId="5" xfId="0" applyFill="1" applyBorder="1" applyAlignment="1">
      <alignment horizontal="center" vertical="center"/>
    </xf>
    <xf numFmtId="2" fontId="20" fillId="7" borderId="9" xfId="0" applyNumberFormat="1" applyFont="1" applyFill="1" applyBorder="1" applyAlignment="1">
      <alignment horizontal="center" vertical="center"/>
    </xf>
    <xf numFmtId="2" fontId="20" fillId="7" borderId="6" xfId="0" applyNumberFormat="1" applyFont="1" applyFill="1" applyBorder="1" applyAlignment="1">
      <alignment horizontal="center" vertical="center"/>
    </xf>
    <xf numFmtId="0" fontId="21" fillId="7" borderId="6" xfId="0" applyFont="1" applyFill="1" applyBorder="1" applyAlignment="1">
      <alignment horizontal="center" vertical="center" wrapText="1"/>
    </xf>
    <xf numFmtId="0" fontId="20" fillId="7" borderId="6" xfId="0" applyFont="1" applyFill="1" applyBorder="1" applyAlignment="1">
      <alignment horizontal="center" vertical="center" wrapText="1"/>
    </xf>
    <xf numFmtId="0" fontId="0" fillId="7" borderId="7" xfId="0" applyFill="1" applyBorder="1" applyAlignment="1">
      <alignment horizontal="center" vertical="center"/>
    </xf>
    <xf numFmtId="2" fontId="20" fillId="7" borderId="0" xfId="0" applyNumberFormat="1" applyFont="1" applyFill="1" applyBorder="1" applyAlignment="1">
      <alignment horizontal="center" vertical="center" wrapText="1"/>
    </xf>
    <xf numFmtId="0" fontId="21" fillId="7" borderId="0" xfId="0" applyFont="1" applyFill="1" applyBorder="1" applyAlignment="1">
      <alignment horizontal="center" vertical="center"/>
    </xf>
    <xf numFmtId="0" fontId="0" fillId="0" borderId="0" xfId="0" applyAlignment="1"/>
    <xf numFmtId="0" fontId="13" fillId="6" borderId="36" xfId="0" applyFont="1" applyFill="1" applyBorder="1" applyAlignment="1">
      <alignment horizontal="center" vertical="center"/>
    </xf>
    <xf numFmtId="0" fontId="13" fillId="6" borderId="30" xfId="0" applyFont="1" applyFill="1" applyBorder="1" applyAlignment="1">
      <alignment horizontal="center" vertical="center"/>
    </xf>
    <xf numFmtId="0" fontId="0" fillId="7" borderId="0" xfId="0" applyFill="1" applyBorder="1"/>
    <xf numFmtId="0" fontId="2" fillId="0" borderId="0" xfId="0" applyFont="1" applyBorder="1" applyAlignment="1">
      <alignment horizontal="left" wrapText="1"/>
    </xf>
    <xf numFmtId="0" fontId="3" fillId="0" borderId="10" xfId="0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3" fillId="0" borderId="8" xfId="0" applyFont="1" applyFill="1" applyBorder="1" applyAlignment="1">
      <alignment vertical="center"/>
    </xf>
    <xf numFmtId="0" fontId="8" fillId="3" borderId="5" xfId="0" applyFont="1" applyFill="1" applyBorder="1"/>
    <xf numFmtId="0" fontId="0" fillId="4" borderId="5" xfId="0" applyFill="1" applyBorder="1"/>
    <xf numFmtId="0" fontId="3" fillId="0" borderId="9" xfId="0" applyFont="1" applyFill="1" applyBorder="1" applyAlignment="1">
      <alignment vertical="center"/>
    </xf>
    <xf numFmtId="0" fontId="0" fillId="5" borderId="7" xfId="0" applyFill="1" applyBorder="1"/>
    <xf numFmtId="0" fontId="7" fillId="0" borderId="1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26" fillId="8" borderId="8" xfId="0" applyFont="1" applyFill="1" applyBorder="1" applyAlignment="1">
      <alignment vertical="center"/>
    </xf>
    <xf numFmtId="0" fontId="26" fillId="8" borderId="9" xfId="0" applyFont="1" applyFill="1" applyBorder="1" applyAlignment="1">
      <alignment vertical="center"/>
    </xf>
    <xf numFmtId="0" fontId="26" fillId="8" borderId="1" xfId="0" applyFont="1" applyFill="1" applyBorder="1" applyAlignment="1">
      <alignment horizontal="center" vertical="center"/>
    </xf>
    <xf numFmtId="0" fontId="26" fillId="8" borderId="6" xfId="0" applyFont="1" applyFill="1" applyBorder="1" applyAlignment="1">
      <alignment horizontal="center" vertical="center"/>
    </xf>
    <xf numFmtId="0" fontId="26" fillId="0" borderId="17" xfId="0" applyFont="1" applyBorder="1" applyAlignment="1">
      <alignment horizontal="center" vertical="center"/>
    </xf>
    <xf numFmtId="2" fontId="7" fillId="0" borderId="3" xfId="0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6" fillId="0" borderId="6" xfId="0" applyFont="1" applyBorder="1" applyAlignment="1">
      <alignment horizontal="center" vertical="center"/>
    </xf>
    <xf numFmtId="0" fontId="7" fillId="0" borderId="20" xfId="0" applyFont="1" applyBorder="1" applyAlignment="1">
      <alignment horizontal="left" vertical="center"/>
    </xf>
    <xf numFmtId="0" fontId="7" fillId="0" borderId="51" xfId="0" applyFont="1" applyBorder="1" applyAlignment="1">
      <alignment horizontal="left" vertical="center"/>
    </xf>
    <xf numFmtId="2" fontId="26" fillId="0" borderId="20" xfId="0" applyNumberFormat="1" applyFont="1" applyBorder="1" applyAlignment="1">
      <alignment horizontal="left" vertical="center"/>
    </xf>
    <xf numFmtId="2" fontId="26" fillId="0" borderId="51" xfId="0" applyNumberFormat="1" applyFont="1" applyBorder="1" applyAlignment="1">
      <alignment horizontal="left" vertical="center"/>
    </xf>
    <xf numFmtId="0" fontId="6" fillId="0" borderId="0" xfId="0" applyFont="1" applyAlignment="1">
      <alignment horizontal="right" wrapText="1"/>
    </xf>
    <xf numFmtId="0" fontId="6" fillId="0" borderId="13" xfId="0" applyFont="1" applyBorder="1" applyAlignment="1">
      <alignment horizontal="right" wrapText="1"/>
    </xf>
    <xf numFmtId="0" fontId="2" fillId="0" borderId="1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5" fillId="6" borderId="42" xfId="0" applyFont="1" applyFill="1" applyBorder="1" applyAlignment="1">
      <alignment horizontal="center" vertical="center" wrapText="1"/>
    </xf>
    <xf numFmtId="0" fontId="15" fillId="6" borderId="44" xfId="0" applyFont="1" applyFill="1" applyBorder="1" applyAlignment="1">
      <alignment horizontal="center" vertical="center" wrapText="1"/>
    </xf>
    <xf numFmtId="0" fontId="15" fillId="6" borderId="45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right" vertical="center" wrapText="1"/>
    </xf>
    <xf numFmtId="0" fontId="11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 wrapText="1"/>
    </xf>
    <xf numFmtId="0" fontId="15" fillId="6" borderId="28" xfId="0" applyFont="1" applyFill="1" applyBorder="1" applyAlignment="1">
      <alignment horizontal="center" vertical="center" wrapText="1"/>
    </xf>
    <xf numFmtId="0" fontId="15" fillId="6" borderId="31" xfId="0" applyFont="1" applyFill="1" applyBorder="1" applyAlignment="1">
      <alignment horizontal="center" vertical="center" wrapText="1"/>
    </xf>
    <xf numFmtId="0" fontId="23" fillId="0" borderId="0" xfId="0" applyFont="1" applyAlignment="1">
      <alignment horizontal="center" vertical="center"/>
    </xf>
    <xf numFmtId="0" fontId="10" fillId="0" borderId="13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right" vertical="center" wrapText="1"/>
    </xf>
    <xf numFmtId="0" fontId="13" fillId="0" borderId="19" xfId="0" applyFont="1" applyBorder="1" applyAlignment="1">
      <alignment horizontal="right" vertical="center"/>
    </xf>
    <xf numFmtId="0" fontId="17" fillId="0" borderId="36" xfId="0" applyFont="1" applyFill="1" applyBorder="1" applyAlignment="1">
      <alignment horizontal="center" vertical="center" wrapText="1"/>
    </xf>
    <xf numFmtId="0" fontId="17" fillId="0" borderId="27" xfId="0" applyFont="1" applyFill="1" applyBorder="1" applyAlignment="1">
      <alignment horizontal="center" vertical="center" wrapText="1"/>
    </xf>
    <xf numFmtId="0" fontId="23" fillId="0" borderId="48" xfId="0" applyFont="1" applyFill="1" applyBorder="1" applyAlignment="1">
      <alignment horizontal="center" vertical="center"/>
    </xf>
    <xf numFmtId="0" fontId="23" fillId="0" borderId="49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right" wrapText="1"/>
    </xf>
    <xf numFmtId="0" fontId="15" fillId="0" borderId="23" xfId="0" applyFont="1" applyBorder="1" applyAlignment="1">
      <alignment horizontal="center" vertical="center" wrapText="1"/>
    </xf>
    <xf numFmtId="0" fontId="15" fillId="0" borderId="25" xfId="0" applyFont="1" applyBorder="1" applyAlignment="1">
      <alignment horizontal="center" vertical="center" wrapText="1"/>
    </xf>
    <xf numFmtId="0" fontId="16" fillId="0" borderId="23" xfId="0" applyFont="1" applyBorder="1" applyAlignment="1">
      <alignment horizontal="center" vertical="center" wrapText="1"/>
    </xf>
    <xf numFmtId="0" fontId="16" fillId="0" borderId="25" xfId="0" applyFont="1" applyBorder="1" applyAlignment="1">
      <alignment horizontal="center" vertical="center" wrapText="1"/>
    </xf>
    <xf numFmtId="0" fontId="17" fillId="0" borderId="35" xfId="0" applyFont="1" applyFill="1" applyBorder="1" applyAlignment="1">
      <alignment horizontal="center" vertical="center" wrapText="1"/>
    </xf>
    <xf numFmtId="0" fontId="17" fillId="0" borderId="26" xfId="0" applyFont="1" applyFill="1" applyBorder="1" applyAlignment="1">
      <alignment horizontal="center" vertical="center" wrapText="1"/>
    </xf>
    <xf numFmtId="0" fontId="13" fillId="0" borderId="13" xfId="0" applyFont="1" applyBorder="1" applyAlignment="1">
      <alignment horizontal="left" vertical="center" wrapText="1"/>
    </xf>
    <xf numFmtId="0" fontId="15" fillId="6" borderId="23" xfId="0" applyFont="1" applyFill="1" applyBorder="1" applyAlignment="1">
      <alignment horizontal="center" vertical="center" wrapText="1"/>
    </xf>
    <xf numFmtId="0" fontId="15" fillId="6" borderId="24" xfId="0" applyFont="1" applyFill="1" applyBorder="1" applyAlignment="1">
      <alignment horizontal="center" vertical="center" wrapText="1"/>
    </xf>
    <xf numFmtId="0" fontId="15" fillId="6" borderId="34" xfId="0" applyFont="1" applyFill="1" applyBorder="1" applyAlignment="1">
      <alignment horizontal="center" vertical="center" wrapText="1"/>
    </xf>
    <xf numFmtId="0" fontId="23" fillId="0" borderId="33" xfId="0" applyFont="1" applyFill="1" applyBorder="1" applyAlignment="1">
      <alignment horizontal="center" vertical="center"/>
    </xf>
    <xf numFmtId="0" fontId="15" fillId="0" borderId="30" xfId="0" applyFont="1" applyBorder="1" applyAlignment="1">
      <alignment horizontal="center" vertical="center" wrapText="1"/>
    </xf>
    <xf numFmtId="0" fontId="16" fillId="0" borderId="30" xfId="0" applyFont="1" applyBorder="1" applyAlignment="1">
      <alignment horizontal="center" vertical="center" wrapText="1"/>
    </xf>
    <xf numFmtId="0" fontId="15" fillId="6" borderId="25" xfId="0" applyFont="1" applyFill="1" applyBorder="1" applyAlignment="1">
      <alignment horizontal="left" vertical="center" wrapText="1"/>
    </xf>
    <xf numFmtId="0" fontId="15" fillId="6" borderId="40" xfId="0" applyFont="1" applyFill="1" applyBorder="1" applyAlignment="1">
      <alignment horizontal="left" vertical="center" wrapText="1"/>
    </xf>
    <xf numFmtId="0" fontId="15" fillId="6" borderId="23" xfId="0" applyFont="1" applyFill="1" applyBorder="1" applyAlignment="1">
      <alignment horizontal="left" vertical="center" wrapText="1"/>
    </xf>
    <xf numFmtId="0" fontId="15" fillId="6" borderId="24" xfId="0" applyFont="1" applyFill="1" applyBorder="1" applyAlignment="1">
      <alignment horizontal="left" vertical="center" wrapText="1"/>
    </xf>
    <xf numFmtId="0" fontId="17" fillId="0" borderId="32" xfId="0" applyFont="1" applyFill="1" applyBorder="1" applyAlignment="1">
      <alignment horizontal="center" vertical="center" wrapText="1"/>
    </xf>
    <xf numFmtId="0" fontId="14" fillId="6" borderId="23" xfId="0" applyFont="1" applyFill="1" applyBorder="1" applyAlignment="1">
      <alignment horizontal="center" vertical="center" wrapText="1"/>
    </xf>
    <xf numFmtId="0" fontId="14" fillId="6" borderId="24" xfId="0" applyFont="1" applyFill="1" applyBorder="1" applyAlignment="1">
      <alignment horizontal="center" vertical="center" wrapText="1"/>
    </xf>
    <xf numFmtId="0" fontId="15" fillId="0" borderId="61" xfId="0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0" fontId="15" fillId="0" borderId="62" xfId="0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0" fontId="14" fillId="6" borderId="34" xfId="0" applyFont="1" applyFill="1" applyBorder="1" applyAlignment="1">
      <alignment horizontal="center" vertical="center" wrapText="1"/>
    </xf>
    <xf numFmtId="0" fontId="17" fillId="0" borderId="38" xfId="0" applyFont="1" applyFill="1" applyBorder="1" applyAlignment="1">
      <alignment horizontal="center" vertical="center"/>
    </xf>
    <xf numFmtId="0" fontId="17" fillId="0" borderId="13" xfId="0" applyFont="1" applyFill="1" applyBorder="1" applyAlignment="1">
      <alignment horizontal="center" vertical="center"/>
    </xf>
    <xf numFmtId="0" fontId="14" fillId="6" borderId="37" xfId="0" applyFont="1" applyFill="1" applyBorder="1" applyAlignment="1">
      <alignment horizontal="center" vertical="center" wrapText="1"/>
    </xf>
    <xf numFmtId="0" fontId="14" fillId="6" borderId="57" xfId="0" applyFont="1" applyFill="1" applyBorder="1" applyAlignment="1">
      <alignment horizontal="center" vertical="center" wrapText="1"/>
    </xf>
    <xf numFmtId="0" fontId="13" fillId="6" borderId="10" xfId="0" applyFont="1" applyFill="1" applyBorder="1" applyAlignment="1">
      <alignment horizontal="center" vertical="center" wrapText="1"/>
    </xf>
    <xf numFmtId="0" fontId="13" fillId="6" borderId="12" xfId="0" applyFont="1" applyFill="1" applyBorder="1" applyAlignment="1">
      <alignment horizontal="center" vertical="center" wrapText="1"/>
    </xf>
    <xf numFmtId="0" fontId="14" fillId="6" borderId="43" xfId="0" applyFont="1" applyFill="1" applyBorder="1" applyAlignment="1">
      <alignment horizontal="center" vertical="center" wrapText="1"/>
    </xf>
    <xf numFmtId="0" fontId="9" fillId="7" borderId="0" xfId="0" applyFont="1" applyFill="1" applyBorder="1" applyAlignment="1">
      <alignment horizontal="right" vertical="center" wrapText="1"/>
    </xf>
    <xf numFmtId="0" fontId="10" fillId="7" borderId="0" xfId="0" applyFont="1" applyFill="1" applyBorder="1" applyAlignment="1">
      <alignment horizontal="right" vertical="center" wrapText="1"/>
    </xf>
    <xf numFmtId="0" fontId="13" fillId="7" borderId="0" xfId="0" applyFont="1" applyFill="1" applyBorder="1" applyAlignment="1">
      <alignment horizontal="right" vertical="center" wrapText="1"/>
    </xf>
    <xf numFmtId="0" fontId="15" fillId="0" borderId="13" xfId="0" applyFont="1" applyBorder="1" applyAlignment="1">
      <alignment horizontal="right" vertical="center" wrapText="1"/>
    </xf>
    <xf numFmtId="0" fontId="13" fillId="0" borderId="0" xfId="0" applyFont="1" applyBorder="1" applyAlignment="1">
      <alignment horizontal="left" vertical="center" wrapText="1"/>
    </xf>
    <xf numFmtId="0" fontId="14" fillId="6" borderId="37" xfId="0" applyFont="1" applyFill="1" applyBorder="1" applyAlignment="1">
      <alignment horizontal="center" vertical="center"/>
    </xf>
    <xf numFmtId="0" fontId="14" fillId="6" borderId="57" xfId="0" applyFont="1" applyFill="1" applyBorder="1" applyAlignment="1">
      <alignment horizontal="center" vertical="center"/>
    </xf>
    <xf numFmtId="0" fontId="29" fillId="0" borderId="37" xfId="0" applyFont="1" applyBorder="1" applyAlignment="1">
      <alignment horizontal="left" vertical="top" wrapText="1"/>
    </xf>
    <xf numFmtId="0" fontId="29" fillId="0" borderId="38" xfId="0" applyFont="1" applyBorder="1" applyAlignment="1">
      <alignment horizontal="left" vertical="top" wrapText="1"/>
    </xf>
    <xf numFmtId="0" fontId="29" fillId="0" borderId="39" xfId="0" applyFont="1" applyBorder="1" applyAlignment="1">
      <alignment horizontal="left" vertical="top" wrapText="1"/>
    </xf>
    <xf numFmtId="0" fontId="29" fillId="0" borderId="57" xfId="0" applyFont="1" applyBorder="1" applyAlignment="1">
      <alignment horizontal="left" vertical="top" wrapText="1"/>
    </xf>
    <xf numFmtId="0" fontId="29" fillId="0" borderId="0" xfId="0" applyFont="1" applyBorder="1" applyAlignment="1">
      <alignment horizontal="left" vertical="top" wrapText="1"/>
    </xf>
    <xf numFmtId="0" fontId="29" fillId="0" borderId="59" xfId="0" applyFont="1" applyBorder="1" applyAlignment="1">
      <alignment horizontal="left" vertical="top" wrapText="1"/>
    </xf>
    <xf numFmtId="0" fontId="29" fillId="0" borderId="43" xfId="0" applyFont="1" applyBorder="1" applyAlignment="1">
      <alignment horizontal="left" vertical="top" wrapText="1"/>
    </xf>
    <xf numFmtId="0" fontId="29" fillId="0" borderId="13" xfId="0" applyFont="1" applyBorder="1" applyAlignment="1">
      <alignment horizontal="left" vertical="top" wrapText="1"/>
    </xf>
    <xf numFmtId="0" fontId="29" fillId="0" borderId="46" xfId="0" applyFont="1" applyBorder="1" applyAlignment="1">
      <alignment horizontal="left" vertical="top" wrapText="1"/>
    </xf>
    <xf numFmtId="0" fontId="13" fillId="6" borderId="23" xfId="0" applyFont="1" applyFill="1" applyBorder="1" applyAlignment="1">
      <alignment horizontal="left" vertical="center" wrapText="1"/>
    </xf>
    <xf numFmtId="0" fontId="13" fillId="6" borderId="34" xfId="0" applyFont="1" applyFill="1" applyBorder="1" applyAlignment="1">
      <alignment horizontal="left" vertical="center" wrapText="1"/>
    </xf>
    <xf numFmtId="0" fontId="13" fillId="6" borderId="23" xfId="0" applyFont="1" applyFill="1" applyBorder="1" applyAlignment="1">
      <alignment horizontal="center" vertical="center" wrapText="1"/>
    </xf>
    <xf numFmtId="0" fontId="13" fillId="6" borderId="34" xfId="0" applyFont="1" applyFill="1" applyBorder="1" applyAlignment="1">
      <alignment horizontal="center" vertical="center" wrapText="1"/>
    </xf>
    <xf numFmtId="0" fontId="13" fillId="6" borderId="36" xfId="0" applyFont="1" applyFill="1" applyBorder="1" applyAlignment="1">
      <alignment horizontal="center" vertical="center" wrapText="1"/>
    </xf>
    <xf numFmtId="0" fontId="13" fillId="6" borderId="30" xfId="0" applyFont="1" applyFill="1" applyBorder="1" applyAlignment="1">
      <alignment horizontal="center" vertical="center" wrapText="1"/>
    </xf>
    <xf numFmtId="0" fontId="13" fillId="6" borderId="37" xfId="0" applyFont="1" applyFill="1" applyBorder="1" applyAlignment="1">
      <alignment horizontal="center" vertical="center"/>
    </xf>
    <xf numFmtId="0" fontId="13" fillId="6" borderId="39" xfId="0" applyFont="1" applyFill="1" applyBorder="1" applyAlignment="1">
      <alignment horizontal="center" vertical="center"/>
    </xf>
    <xf numFmtId="0" fontId="13" fillId="6" borderId="43" xfId="0" applyFont="1" applyFill="1" applyBorder="1" applyAlignment="1">
      <alignment horizontal="center" vertical="center"/>
    </xf>
    <xf numFmtId="0" fontId="13" fillId="6" borderId="46" xfId="0" applyFont="1" applyFill="1" applyBorder="1" applyAlignment="1">
      <alignment horizontal="center" vertical="center"/>
    </xf>
    <xf numFmtId="0" fontId="21" fillId="7" borderId="20" xfId="0" applyFont="1" applyFill="1" applyBorder="1" applyAlignment="1">
      <alignment horizontal="center" vertical="center"/>
    </xf>
    <xf numFmtId="0" fontId="21" fillId="7" borderId="47" xfId="0" applyFont="1" applyFill="1" applyBorder="1" applyAlignment="1">
      <alignment horizontal="center" vertical="center"/>
    </xf>
    <xf numFmtId="0" fontId="13" fillId="6" borderId="37" xfId="0" applyFont="1" applyFill="1" applyBorder="1" applyAlignment="1">
      <alignment horizontal="center" vertical="center" wrapText="1"/>
    </xf>
    <xf numFmtId="0" fontId="13" fillId="6" borderId="43" xfId="0" applyFont="1" applyFill="1" applyBorder="1" applyAlignment="1">
      <alignment horizontal="center" vertical="center" wrapText="1"/>
    </xf>
    <xf numFmtId="0" fontId="13" fillId="7" borderId="13" xfId="0" applyFont="1" applyFill="1" applyBorder="1" applyAlignment="1">
      <alignment horizontal="left"/>
    </xf>
    <xf numFmtId="0" fontId="13" fillId="7" borderId="13" xfId="0" applyFont="1" applyFill="1" applyBorder="1" applyAlignment="1">
      <alignment horizontal="right" wrapText="1"/>
    </xf>
    <xf numFmtId="0" fontId="13" fillId="6" borderId="24" xfId="0" applyFont="1" applyFill="1" applyBorder="1" applyAlignment="1">
      <alignment horizontal="center" vertical="center" wrapText="1"/>
    </xf>
    <xf numFmtId="0" fontId="13" fillId="6" borderId="57" xfId="0" applyFont="1" applyFill="1" applyBorder="1" applyAlignment="1">
      <alignment horizontal="center" vertical="center" wrapText="1"/>
    </xf>
    <xf numFmtId="0" fontId="21" fillId="0" borderId="20" xfId="0" applyFont="1" applyFill="1" applyBorder="1" applyAlignment="1">
      <alignment horizontal="left" vertical="center" wrapText="1"/>
    </xf>
    <xf numFmtId="0" fontId="21" fillId="0" borderId="22" xfId="0" applyFont="1" applyFill="1" applyBorder="1" applyAlignment="1">
      <alignment horizontal="left" vertical="center" wrapText="1"/>
    </xf>
    <xf numFmtId="0" fontId="21" fillId="0" borderId="47" xfId="0" applyFont="1" applyFill="1" applyBorder="1" applyAlignment="1">
      <alignment horizontal="left" vertical="center" wrapText="1"/>
    </xf>
    <xf numFmtId="0" fontId="29" fillId="0" borderId="57" xfId="0" applyFont="1" applyBorder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YECTOS/69-COLEGIOS%20GRUPO%2010/69-C-LAS%20LAJAS/ARQUITECTURA/P-69-C-LAS%20LAJAS%20%20&#193;REAS%20CONTRACTUALES%20-%20PROYECTADA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ÁREAS CONT. PROY.  VR1"/>
      <sheetName val="ÁREAS CONT. PROY. VR2"/>
      <sheetName val="LOTE vs MATRICULA"/>
      <sheetName val="MATRICULA"/>
      <sheetName val="PRE-EXISTENCIAS"/>
      <sheetName val="DIAGNOSTICO ÁREAS"/>
    </sheetNames>
    <sheetDataSet>
      <sheetData sheetId="0"/>
      <sheetData sheetId="1"/>
      <sheetData sheetId="2"/>
      <sheetData sheetId="3">
        <row r="10">
          <cell r="I10" t="str">
            <v>2</v>
          </cell>
        </row>
        <row r="11">
          <cell r="I11" t="str">
            <v>1</v>
          </cell>
        </row>
        <row r="12">
          <cell r="I12" t="str">
            <v>1</v>
          </cell>
        </row>
        <row r="13">
          <cell r="I13" t="str">
            <v>1</v>
          </cell>
        </row>
        <row r="14">
          <cell r="I14" t="str">
            <v>1</v>
          </cell>
        </row>
        <row r="15">
          <cell r="I15" t="str">
            <v>1</v>
          </cell>
        </row>
        <row r="16">
          <cell r="I16" t="str">
            <v>1</v>
          </cell>
        </row>
        <row r="17">
          <cell r="I17" t="str">
            <v>1</v>
          </cell>
        </row>
        <row r="18">
          <cell r="I18" t="str">
            <v>1</v>
          </cell>
        </row>
        <row r="19">
          <cell r="I19" t="str">
            <v>1</v>
          </cell>
        </row>
        <row r="20">
          <cell r="I20" t="str">
            <v>1</v>
          </cell>
        </row>
        <row r="21">
          <cell r="I21" t="str">
            <v>1</v>
          </cell>
        </row>
        <row r="22">
          <cell r="J22">
            <v>480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8"/>
  <sheetViews>
    <sheetView topLeftCell="F1" zoomScale="73" zoomScaleNormal="73" zoomScaleSheetLayoutView="70" workbookViewId="0">
      <selection activeCell="H14" sqref="H14"/>
    </sheetView>
  </sheetViews>
  <sheetFormatPr baseColWidth="10" defaultRowHeight="15" x14ac:dyDescent="0.25"/>
  <cols>
    <col min="1" max="1" width="3.5703125" customWidth="1"/>
    <col min="2" max="2" width="22.85546875" customWidth="1"/>
    <col min="3" max="3" width="30.7109375" customWidth="1"/>
    <col min="4" max="4" width="66.28515625" customWidth="1"/>
    <col min="5" max="5" width="19.5703125" customWidth="1"/>
    <col min="6" max="6" width="65.7109375" customWidth="1"/>
    <col min="7" max="7" width="13.7109375" customWidth="1"/>
    <col min="8" max="8" width="23.85546875" customWidth="1"/>
    <col min="9" max="13" width="13.7109375" customWidth="1"/>
    <col min="14" max="14" width="14.42578125" customWidth="1"/>
  </cols>
  <sheetData>
    <row r="1" spans="1:14" ht="16.5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4" ht="16.5" customHeight="1" x14ac:dyDescent="0.3">
      <c r="A2" s="1"/>
      <c r="B2" s="282" t="s">
        <v>63</v>
      </c>
      <c r="C2" s="282"/>
      <c r="D2" s="282"/>
      <c r="E2" s="282"/>
      <c r="F2" s="282"/>
      <c r="G2" s="282"/>
      <c r="H2" s="282"/>
      <c r="I2" s="282"/>
      <c r="J2" s="282"/>
      <c r="K2" s="1"/>
      <c r="L2" s="7"/>
      <c r="M2" s="7"/>
      <c r="N2" s="6"/>
    </row>
    <row r="3" spans="1:14" ht="16.5" customHeight="1" thickBot="1" x14ac:dyDescent="0.35">
      <c r="A3" s="1"/>
      <c r="B3" s="283"/>
      <c r="C3" s="283"/>
      <c r="D3" s="283"/>
      <c r="E3" s="283"/>
      <c r="F3" s="283"/>
      <c r="G3" s="283"/>
      <c r="H3" s="283"/>
      <c r="I3" s="283"/>
      <c r="J3" s="283"/>
      <c r="K3" s="1"/>
      <c r="L3" s="7"/>
      <c r="M3" s="7"/>
      <c r="N3" s="6"/>
    </row>
    <row r="4" spans="1:14" ht="20.100000000000001" customHeight="1" thickBot="1" x14ac:dyDescent="0.35">
      <c r="A4" s="1"/>
      <c r="B4" s="9" t="s">
        <v>64</v>
      </c>
      <c r="C4" s="8" t="s">
        <v>65</v>
      </c>
      <c r="D4" s="8" t="s">
        <v>4</v>
      </c>
      <c r="E4" s="3" t="s">
        <v>7</v>
      </c>
      <c r="F4" s="126" t="s">
        <v>66</v>
      </c>
      <c r="G4" s="8" t="s">
        <v>5</v>
      </c>
      <c r="H4" s="8" t="s">
        <v>67</v>
      </c>
      <c r="I4" s="8" t="s">
        <v>6</v>
      </c>
      <c r="J4" s="3" t="s">
        <v>9</v>
      </c>
      <c r="K4" s="2"/>
      <c r="L4" s="2"/>
      <c r="M4" s="2"/>
      <c r="N4" s="6"/>
    </row>
    <row r="5" spans="1:14" ht="16.5" x14ac:dyDescent="0.3">
      <c r="A5" s="1"/>
      <c r="B5" s="284" t="s">
        <v>3</v>
      </c>
      <c r="C5" s="287" t="s">
        <v>68</v>
      </c>
      <c r="D5" s="18" t="s">
        <v>0</v>
      </c>
      <c r="E5" s="127">
        <v>390.18</v>
      </c>
      <c r="F5" s="128" t="s">
        <v>0</v>
      </c>
      <c r="G5" s="268">
        <v>9</v>
      </c>
      <c r="H5" s="268">
        <f>213.64+213.64+213.64</f>
        <v>640.91999999999996</v>
      </c>
      <c r="I5" s="22"/>
      <c r="J5" s="23"/>
      <c r="K5" s="124"/>
      <c r="L5" s="13"/>
      <c r="M5" s="13"/>
      <c r="N5" s="6"/>
    </row>
    <row r="6" spans="1:14" ht="16.5" x14ac:dyDescent="0.3">
      <c r="A6" s="1"/>
      <c r="B6" s="285"/>
      <c r="C6" s="288"/>
      <c r="D6" s="4" t="s">
        <v>69</v>
      </c>
      <c r="E6" s="129">
        <v>45.63</v>
      </c>
      <c r="F6" s="130" t="s">
        <v>69</v>
      </c>
      <c r="G6" s="269">
        <v>3</v>
      </c>
      <c r="H6" s="269">
        <f>30.79+30.98+30.79+6.37+0.24</f>
        <v>99.17</v>
      </c>
      <c r="I6" s="20"/>
      <c r="J6" s="24"/>
      <c r="K6" s="124"/>
      <c r="L6" s="13"/>
      <c r="M6" s="13"/>
      <c r="N6" s="6"/>
    </row>
    <row r="7" spans="1:14" ht="16.5" x14ac:dyDescent="0.3">
      <c r="A7" s="1"/>
      <c r="B7" s="285"/>
      <c r="C7" s="288"/>
      <c r="D7" s="4" t="s">
        <v>70</v>
      </c>
      <c r="E7" s="133">
        <v>87.5</v>
      </c>
      <c r="F7" s="130" t="s">
        <v>70</v>
      </c>
      <c r="G7" s="269">
        <v>1</v>
      </c>
      <c r="H7" s="269">
        <v>97.63</v>
      </c>
      <c r="I7" s="20"/>
      <c r="J7" s="24"/>
      <c r="K7" s="15"/>
      <c r="L7" s="13"/>
      <c r="M7" s="13"/>
      <c r="N7" s="6"/>
    </row>
    <row r="8" spans="1:14" ht="16.5" x14ac:dyDescent="0.3">
      <c r="A8" s="1"/>
      <c r="B8" s="285"/>
      <c r="C8" s="288"/>
      <c r="D8" s="134" t="s">
        <v>71</v>
      </c>
      <c r="E8" s="133">
        <v>90.3</v>
      </c>
      <c r="F8" s="135" t="s">
        <v>71</v>
      </c>
      <c r="G8" s="269">
        <v>1</v>
      </c>
      <c r="H8" s="269">
        <v>123.82</v>
      </c>
      <c r="I8" s="20"/>
      <c r="J8" s="24"/>
      <c r="K8" s="13"/>
      <c r="L8" s="13"/>
      <c r="M8" s="13"/>
      <c r="N8" s="6"/>
    </row>
    <row r="9" spans="1:14" ht="16.5" x14ac:dyDescent="0.3">
      <c r="A9" s="1"/>
      <c r="B9" s="285"/>
      <c r="C9" s="288"/>
      <c r="D9" s="4" t="s">
        <v>72</v>
      </c>
      <c r="E9" s="129">
        <v>173.6</v>
      </c>
      <c r="F9" s="130"/>
      <c r="G9" s="131"/>
      <c r="H9" s="269"/>
      <c r="I9" s="5"/>
      <c r="J9" s="11"/>
      <c r="K9" s="1"/>
      <c r="L9" s="15"/>
      <c r="M9" s="15"/>
      <c r="N9" s="6"/>
    </row>
    <row r="10" spans="1:14" ht="16.5" x14ac:dyDescent="0.3">
      <c r="A10" s="1"/>
      <c r="B10" s="285"/>
      <c r="C10" s="288"/>
      <c r="D10" s="4" t="s">
        <v>73</v>
      </c>
      <c r="E10" s="129">
        <v>60.9</v>
      </c>
      <c r="F10" s="130" t="s">
        <v>132</v>
      </c>
      <c r="G10" s="269">
        <v>1</v>
      </c>
      <c r="H10" s="269">
        <v>37.42</v>
      </c>
      <c r="I10" s="20"/>
      <c r="J10" s="24"/>
      <c r="K10" s="1"/>
      <c r="L10" s="15"/>
      <c r="M10" s="15"/>
      <c r="N10" s="6"/>
    </row>
    <row r="11" spans="1:14" ht="16.5" x14ac:dyDescent="0.3">
      <c r="A11" s="1"/>
      <c r="B11" s="285"/>
      <c r="C11" s="288"/>
      <c r="D11" s="4" t="s">
        <v>74</v>
      </c>
      <c r="E11" s="129">
        <v>540</v>
      </c>
      <c r="F11" s="270" t="s">
        <v>74</v>
      </c>
      <c r="G11" s="272"/>
      <c r="H11" s="132"/>
      <c r="I11" s="5"/>
      <c r="J11" s="11"/>
      <c r="K11" s="1"/>
      <c r="L11" s="15"/>
      <c r="M11" s="15"/>
      <c r="N11" s="6"/>
    </row>
    <row r="12" spans="1:14" ht="16.5" x14ac:dyDescent="0.3">
      <c r="A12" s="1"/>
      <c r="B12" s="285"/>
      <c r="C12" s="288"/>
      <c r="D12" s="134" t="s">
        <v>1</v>
      </c>
      <c r="E12" s="129">
        <v>20</v>
      </c>
      <c r="F12" s="136" t="s">
        <v>75</v>
      </c>
      <c r="G12" s="269">
        <v>1</v>
      </c>
      <c r="H12" s="269">
        <v>19.41</v>
      </c>
      <c r="I12" s="20"/>
      <c r="J12" s="24"/>
      <c r="K12" s="1"/>
      <c r="L12" s="14"/>
      <c r="M12" s="14"/>
      <c r="N12" s="6"/>
    </row>
    <row r="13" spans="1:14" ht="16.5" x14ac:dyDescent="0.3">
      <c r="A13" s="1"/>
      <c r="B13" s="285"/>
      <c r="C13" s="288"/>
      <c r="D13" s="134" t="s">
        <v>2</v>
      </c>
      <c r="E13" s="129">
        <v>94</v>
      </c>
      <c r="F13" s="270" t="s">
        <v>76</v>
      </c>
      <c r="G13" s="272">
        <v>1</v>
      </c>
      <c r="H13" s="276">
        <v>66.89</v>
      </c>
      <c r="I13" s="5"/>
      <c r="J13" s="11"/>
      <c r="K13" s="1"/>
      <c r="L13" s="12"/>
      <c r="M13" s="12"/>
      <c r="N13" s="6"/>
    </row>
    <row r="14" spans="1:14" ht="20.100000000000001" customHeight="1" thickBot="1" x14ac:dyDescent="0.35">
      <c r="A14" s="1"/>
      <c r="B14" s="286"/>
      <c r="C14" s="289"/>
      <c r="D14" s="10" t="s">
        <v>8</v>
      </c>
      <c r="E14" s="137">
        <v>363.48</v>
      </c>
      <c r="F14" s="130" t="s">
        <v>77</v>
      </c>
      <c r="G14" s="269">
        <v>1</v>
      </c>
      <c r="H14" s="269">
        <f>71.71+75.38+12.16</f>
        <v>159.24999999999997</v>
      </c>
      <c r="I14" s="5"/>
      <c r="J14" s="11"/>
      <c r="K14" s="14"/>
      <c r="L14" s="7"/>
      <c r="M14" s="7"/>
      <c r="N14" s="6"/>
    </row>
    <row r="15" spans="1:14" ht="16.5" x14ac:dyDescent="0.3">
      <c r="A15" s="1"/>
      <c r="B15" s="16"/>
      <c r="C15" s="16"/>
      <c r="D15" s="12"/>
      <c r="E15" s="69"/>
      <c r="F15" s="130" t="s">
        <v>78</v>
      </c>
      <c r="G15" s="269">
        <v>1</v>
      </c>
      <c r="H15" s="269">
        <f>71.51+92.78-0.243</f>
        <v>164.04700000000003</v>
      </c>
      <c r="I15" s="5"/>
      <c r="J15" s="11"/>
      <c r="K15" s="14"/>
      <c r="L15" s="7"/>
      <c r="M15" s="7"/>
      <c r="N15" s="6"/>
    </row>
    <row r="16" spans="1:14" ht="16.5" x14ac:dyDescent="0.3">
      <c r="A16" s="1"/>
      <c r="B16" s="16"/>
      <c r="C16" s="16"/>
      <c r="D16" s="12"/>
      <c r="E16" s="69"/>
      <c r="F16" s="130" t="s">
        <v>131</v>
      </c>
      <c r="G16" s="269">
        <v>1</v>
      </c>
      <c r="H16" s="269">
        <v>4.09</v>
      </c>
      <c r="I16" s="5"/>
      <c r="J16" s="11"/>
      <c r="K16" s="14"/>
      <c r="L16" s="7"/>
      <c r="M16" s="7"/>
      <c r="N16" s="6"/>
    </row>
    <row r="17" spans="1:13" ht="16.5" x14ac:dyDescent="0.3">
      <c r="A17" s="1"/>
      <c r="B17" s="16"/>
      <c r="C17" s="16"/>
      <c r="D17" s="12"/>
      <c r="E17" s="69"/>
      <c r="F17" s="270" t="s">
        <v>79</v>
      </c>
      <c r="G17" s="272">
        <v>1</v>
      </c>
      <c r="H17" s="276">
        <v>84</v>
      </c>
      <c r="I17" s="5"/>
      <c r="J17" s="11"/>
      <c r="K17" s="14"/>
      <c r="L17" s="1"/>
      <c r="M17" s="1"/>
    </row>
    <row r="18" spans="1:13" ht="17.25" thickBot="1" x14ac:dyDescent="0.35">
      <c r="A18" s="1"/>
      <c r="B18" s="16"/>
      <c r="C18" s="16"/>
      <c r="D18" s="12"/>
      <c r="E18" s="69"/>
      <c r="F18" s="271" t="s">
        <v>12</v>
      </c>
      <c r="G18" s="273">
        <v>1</v>
      </c>
      <c r="H18" s="277">
        <v>43.03</v>
      </c>
      <c r="I18" s="26"/>
      <c r="J18" s="27"/>
      <c r="K18" s="14"/>
      <c r="L18" s="1"/>
      <c r="M18" s="1"/>
    </row>
    <row r="19" spans="1:13" ht="17.25" thickBot="1" x14ac:dyDescent="0.35">
      <c r="A19" s="1"/>
      <c r="B19" s="16"/>
      <c r="C19" s="16"/>
      <c r="D19" s="17"/>
      <c r="E19" s="138"/>
      <c r="F19" s="17"/>
      <c r="G19" s="17"/>
      <c r="H19" s="123"/>
      <c r="I19" s="12"/>
      <c r="J19" s="12"/>
      <c r="K19" s="12"/>
    </row>
    <row r="20" spans="1:13" ht="34.5" customHeight="1" thickBot="1" x14ac:dyDescent="0.35">
      <c r="A20" s="1"/>
      <c r="B20" s="7"/>
      <c r="C20" s="7"/>
      <c r="D20" s="139" t="s">
        <v>10</v>
      </c>
      <c r="E20" s="21">
        <f>E5+E6+E7+E8+E9+E10+E12+E14</f>
        <v>1231.5899999999999</v>
      </c>
      <c r="F20" s="278" t="s">
        <v>11</v>
      </c>
      <c r="G20" s="279"/>
      <c r="H20" s="275">
        <f>H5+H6+H7+H8+H10+H12+H14+H15+H16</f>
        <v>1345.7569999999998</v>
      </c>
      <c r="I20" s="29"/>
      <c r="J20" s="140"/>
      <c r="K20" s="7"/>
    </row>
    <row r="21" spans="1:13" ht="33.75" customHeight="1" thickBot="1" x14ac:dyDescent="0.35">
      <c r="A21" s="1"/>
      <c r="B21" s="7"/>
      <c r="C21" s="7"/>
      <c r="D21" s="141" t="s">
        <v>80</v>
      </c>
      <c r="E21" s="142">
        <f>E11+E13</f>
        <v>634</v>
      </c>
      <c r="F21" s="280" t="s">
        <v>81</v>
      </c>
      <c r="G21" s="281"/>
      <c r="H21" s="274">
        <f>H13+H17+H18</f>
        <v>193.92</v>
      </c>
      <c r="I21" s="19"/>
      <c r="J21" s="25"/>
      <c r="K21" s="7"/>
    </row>
    <row r="22" spans="1:13" ht="16.5" x14ac:dyDescent="0.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3" ht="28.5" customHeight="1" thickBot="1" x14ac:dyDescent="0.35">
      <c r="A23" s="1"/>
      <c r="B23" s="1"/>
      <c r="C23" s="1"/>
      <c r="D23" s="1"/>
      <c r="E23" s="1"/>
      <c r="F23" s="260" t="s">
        <v>13</v>
      </c>
      <c r="G23" s="28"/>
      <c r="H23" s="1"/>
      <c r="I23" s="1"/>
      <c r="J23" s="1"/>
      <c r="K23" s="1"/>
    </row>
    <row r="24" spans="1:13" ht="16.5" x14ac:dyDescent="0.3">
      <c r="A24" s="1"/>
      <c r="B24" s="1"/>
      <c r="C24" s="1"/>
      <c r="D24" s="1"/>
      <c r="E24" s="1"/>
      <c r="F24" s="261" t="s">
        <v>14</v>
      </c>
      <c r="G24" s="262"/>
      <c r="H24" s="1"/>
      <c r="I24" s="1"/>
      <c r="J24" s="1"/>
      <c r="K24" s="1"/>
    </row>
    <row r="25" spans="1:13" ht="16.5" x14ac:dyDescent="0.3">
      <c r="A25" s="1"/>
      <c r="B25" s="1"/>
      <c r="C25" s="1"/>
      <c r="D25" s="1"/>
      <c r="E25" s="1"/>
      <c r="F25" s="263" t="s">
        <v>15</v>
      </c>
      <c r="G25" s="264"/>
      <c r="H25" s="1"/>
      <c r="I25" s="1"/>
      <c r="J25" s="1"/>
      <c r="K25" s="1"/>
    </row>
    <row r="26" spans="1:13" ht="16.5" x14ac:dyDescent="0.3">
      <c r="A26" s="1"/>
      <c r="B26" s="1"/>
      <c r="C26" s="1"/>
      <c r="D26" s="1"/>
      <c r="E26" s="1"/>
      <c r="F26" s="263" t="s">
        <v>16</v>
      </c>
      <c r="G26" s="265"/>
      <c r="H26" s="1"/>
      <c r="I26" s="1"/>
      <c r="J26" s="1"/>
      <c r="K26" s="1"/>
    </row>
    <row r="27" spans="1:13" ht="17.25" thickBot="1" x14ac:dyDescent="0.35">
      <c r="A27" s="1"/>
      <c r="B27" s="1"/>
      <c r="C27" s="1"/>
      <c r="D27" s="1"/>
      <c r="E27" s="1"/>
      <c r="F27" s="266" t="s">
        <v>17</v>
      </c>
      <c r="G27" s="267"/>
      <c r="H27" s="1"/>
      <c r="I27" s="1"/>
      <c r="J27" s="1"/>
      <c r="K27" s="1"/>
    </row>
    <row r="28" spans="1:13" ht="16.5" x14ac:dyDescent="0.3">
      <c r="A28" s="1"/>
      <c r="B28" s="1"/>
      <c r="C28" s="1"/>
      <c r="D28" s="1"/>
      <c r="E28" s="1"/>
      <c r="F28" s="125"/>
      <c r="G28" s="1"/>
      <c r="H28" s="1"/>
      <c r="I28" s="1"/>
      <c r="J28" s="1"/>
      <c r="K28" s="1"/>
    </row>
  </sheetData>
  <mergeCells count="5">
    <mergeCell ref="F20:G20"/>
    <mergeCell ref="F21:G21"/>
    <mergeCell ref="B2:J3"/>
    <mergeCell ref="B5:B14"/>
    <mergeCell ref="C5:C14"/>
  </mergeCells>
  <pageMargins left="0.25" right="0.25" top="0.75" bottom="0.75" header="0.3" footer="0.3"/>
  <pageSetup paperSize="3" scale="4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2"/>
  <sheetViews>
    <sheetView showGridLines="0" topLeftCell="A4" workbookViewId="0">
      <selection activeCell="B22" sqref="B22:G23"/>
    </sheetView>
  </sheetViews>
  <sheetFormatPr baseColWidth="10" defaultRowHeight="15" x14ac:dyDescent="0.25"/>
  <cols>
    <col min="1" max="1" width="11.140625" customWidth="1"/>
    <col min="2" max="4" width="17.7109375" customWidth="1"/>
    <col min="5" max="5" width="2.7109375" customWidth="1"/>
    <col min="6" max="7" width="17.7109375" customWidth="1"/>
  </cols>
  <sheetData>
    <row r="2" spans="1:11" ht="20.25" customHeight="1" x14ac:dyDescent="0.25">
      <c r="B2" s="295" t="s">
        <v>82</v>
      </c>
      <c r="C2" s="295"/>
      <c r="D2" s="295"/>
      <c r="E2" s="295"/>
      <c r="F2" s="295"/>
      <c r="G2" s="295"/>
    </row>
    <row r="3" spans="1:11" ht="30" customHeight="1" thickBot="1" x14ac:dyDescent="0.3">
      <c r="A3" s="301" t="s">
        <v>63</v>
      </c>
      <c r="B3" s="301"/>
      <c r="C3" s="301"/>
      <c r="D3" s="301"/>
      <c r="E3" s="301"/>
      <c r="F3" s="301"/>
      <c r="G3" s="301"/>
    </row>
    <row r="4" spans="1:11" ht="16.5" x14ac:dyDescent="0.25">
      <c r="A4" s="7"/>
      <c r="B4" s="7"/>
      <c r="C4" s="7"/>
      <c r="D4" s="7"/>
      <c r="E4" s="7"/>
      <c r="F4" s="7"/>
      <c r="G4" s="7"/>
    </row>
    <row r="5" spans="1:11" ht="16.5" x14ac:dyDescent="0.25">
      <c r="A5" s="7"/>
      <c r="B5" s="296"/>
      <c r="C5" s="296"/>
      <c r="D5" s="296"/>
      <c r="E5" s="296"/>
      <c r="F5" s="296"/>
      <c r="G5" s="7"/>
    </row>
    <row r="6" spans="1:11" ht="16.5" x14ac:dyDescent="0.25">
      <c r="A6" s="7"/>
      <c r="B6" s="103"/>
      <c r="C6" s="104" t="s">
        <v>85</v>
      </c>
      <c r="D6" s="103"/>
      <c r="E6" s="103"/>
      <c r="F6" s="103"/>
      <c r="G6" s="103"/>
      <c r="H6" s="7"/>
      <c r="I6" s="7"/>
      <c r="J6" s="7"/>
      <c r="K6" s="7"/>
    </row>
    <row r="7" spans="1:11" ht="16.5" x14ac:dyDescent="0.25">
      <c r="A7" s="7"/>
      <c r="B7" s="105" t="s">
        <v>53</v>
      </c>
      <c r="C7" s="106">
        <v>50000</v>
      </c>
      <c r="D7" s="300" t="s">
        <v>86</v>
      </c>
      <c r="E7" s="300"/>
      <c r="F7" s="300"/>
      <c r="G7" s="300"/>
      <c r="H7" s="7"/>
      <c r="I7" s="7"/>
      <c r="J7" s="7"/>
      <c r="K7" s="7"/>
    </row>
    <row r="8" spans="1:11" ht="16.5" x14ac:dyDescent="0.25">
      <c r="A8" s="7"/>
      <c r="B8" s="103"/>
      <c r="C8" s="103"/>
      <c r="D8" s="103"/>
      <c r="E8" s="103"/>
      <c r="F8" s="103"/>
      <c r="G8" s="103"/>
      <c r="H8" s="7"/>
      <c r="I8" s="7"/>
      <c r="J8" s="7"/>
      <c r="K8" s="7"/>
    </row>
    <row r="9" spans="1:11" ht="17.25" thickBot="1" x14ac:dyDescent="0.3">
      <c r="A9" s="7"/>
      <c r="B9" s="297" t="s">
        <v>54</v>
      </c>
      <c r="C9" s="297"/>
      <c r="D9" s="297"/>
      <c r="E9" s="103"/>
      <c r="F9" s="103"/>
      <c r="G9" s="103"/>
      <c r="H9" s="7"/>
      <c r="I9" s="7"/>
      <c r="J9" s="7"/>
      <c r="K9" s="7"/>
    </row>
    <row r="10" spans="1:11" ht="27" customHeight="1" thickBot="1" x14ac:dyDescent="0.3">
      <c r="A10" s="7"/>
      <c r="B10" s="37" t="s">
        <v>55</v>
      </c>
      <c r="C10" s="38" t="s">
        <v>56</v>
      </c>
      <c r="D10" s="99" t="s">
        <v>57</v>
      </c>
      <c r="E10" s="107"/>
      <c r="F10" s="37" t="s">
        <v>58</v>
      </c>
      <c r="G10" s="38" t="s">
        <v>59</v>
      </c>
      <c r="H10" s="7"/>
      <c r="I10" s="7"/>
      <c r="J10" s="7"/>
      <c r="K10" s="7"/>
    </row>
    <row r="11" spans="1:11" ht="16.5" x14ac:dyDescent="0.25">
      <c r="A11" s="7"/>
      <c r="B11" s="290">
        <v>480</v>
      </c>
      <c r="C11" s="63" t="s">
        <v>60</v>
      </c>
      <c r="D11" s="108">
        <v>4.43</v>
      </c>
      <c r="E11" s="64"/>
      <c r="F11" s="109">
        <f>D11*B11</f>
        <v>2126.3999999999996</v>
      </c>
      <c r="G11" s="110" t="str">
        <f>+IF(C7&gt;F11,"CUMPLE","NO CUMPLE")</f>
        <v>CUMPLE</v>
      </c>
      <c r="H11" s="7"/>
      <c r="I11" s="7"/>
      <c r="J11" s="7"/>
      <c r="K11" s="7"/>
    </row>
    <row r="12" spans="1:11" ht="16.5" x14ac:dyDescent="0.25">
      <c r="A12" s="7"/>
      <c r="B12" s="291"/>
      <c r="C12" s="47">
        <v>2</v>
      </c>
      <c r="D12" s="111">
        <v>5.74</v>
      </c>
      <c r="E12" s="71"/>
      <c r="F12" s="112">
        <f>D12*B11</f>
        <v>2755.2000000000003</v>
      </c>
      <c r="G12" s="113" t="str">
        <f>+IF(C7&gt;F12,"CUMPLE","NO CUMPLE")</f>
        <v>CUMPLE</v>
      </c>
      <c r="H12" s="7"/>
      <c r="I12" s="7"/>
      <c r="J12" s="7"/>
      <c r="K12" s="7"/>
    </row>
    <row r="13" spans="1:11" ht="17.25" thickBot="1" x14ac:dyDescent="0.3">
      <c r="A13" s="7"/>
      <c r="B13" s="292"/>
      <c r="C13" s="52">
        <v>1</v>
      </c>
      <c r="D13" s="114">
        <v>9.68</v>
      </c>
      <c r="E13" s="71"/>
      <c r="F13" s="112">
        <f>D13*B11</f>
        <v>4646.3999999999996</v>
      </c>
      <c r="G13" s="113" t="str">
        <f>+IF(C7&gt;F13,"CUMPLE","NO CUMPLE")</f>
        <v>CUMPLE</v>
      </c>
      <c r="H13" s="7"/>
      <c r="I13" s="7"/>
      <c r="J13" s="7"/>
      <c r="K13" s="7"/>
    </row>
    <row r="14" spans="1:11" ht="16.5" x14ac:dyDescent="0.25">
      <c r="A14" s="7"/>
      <c r="B14" s="298">
        <v>960</v>
      </c>
      <c r="C14" s="60" t="s">
        <v>60</v>
      </c>
      <c r="D14" s="115">
        <v>4.1500000000000004</v>
      </c>
      <c r="E14" s="71"/>
      <c r="F14" s="112">
        <f>D14*B14</f>
        <v>3984.0000000000005</v>
      </c>
      <c r="G14" s="113" t="str">
        <f>+IF(C7&gt;F14,"CUMPLE","NO CUMPLE")</f>
        <v>CUMPLE</v>
      </c>
      <c r="H14" s="7"/>
      <c r="I14" s="7"/>
      <c r="J14" s="7"/>
      <c r="K14" s="7"/>
    </row>
    <row r="15" spans="1:11" ht="16.5" x14ac:dyDescent="0.25">
      <c r="A15" s="7"/>
      <c r="B15" s="291"/>
      <c r="C15" s="47">
        <v>2</v>
      </c>
      <c r="D15" s="111">
        <v>5.33</v>
      </c>
      <c r="E15" s="71"/>
      <c r="F15" s="112">
        <f t="shared" ref="F15" si="0">D15*B14</f>
        <v>5116.8</v>
      </c>
      <c r="G15" s="113" t="str">
        <f>+IF(C7&gt;F15,"CUMPLE","NO CUMPLE")</f>
        <v>CUMPLE</v>
      </c>
      <c r="H15" s="7"/>
      <c r="I15" s="7"/>
      <c r="J15" s="7"/>
      <c r="K15" s="7"/>
    </row>
    <row r="16" spans="1:11" ht="17.25" thickBot="1" x14ac:dyDescent="0.3">
      <c r="A16" s="7"/>
      <c r="B16" s="299"/>
      <c r="C16" s="48">
        <v>1</v>
      </c>
      <c r="D16" s="116">
        <v>8.8699999999999992</v>
      </c>
      <c r="E16" s="71"/>
      <c r="F16" s="112">
        <f t="shared" ref="F16" si="1">D16*B14</f>
        <v>8515.1999999999989</v>
      </c>
      <c r="G16" s="113" t="str">
        <f>+IF(C7&gt;F16,"CUMPLE","NO CUMPLE")</f>
        <v>CUMPLE</v>
      </c>
      <c r="H16" s="7"/>
      <c r="I16" s="7"/>
      <c r="J16" s="7"/>
      <c r="K16" s="7"/>
    </row>
    <row r="17" spans="1:11" ht="16.5" x14ac:dyDescent="0.25">
      <c r="A17" s="7"/>
      <c r="B17" s="290">
        <v>1440</v>
      </c>
      <c r="C17" s="63" t="s">
        <v>60</v>
      </c>
      <c r="D17" s="117">
        <v>3.67</v>
      </c>
      <c r="E17" s="71"/>
      <c r="F17" s="112">
        <f>D17*B17</f>
        <v>5284.8</v>
      </c>
      <c r="G17" s="113" t="str">
        <f>+IF(C7&gt;F17,"CUMPLE","NO CUMPLE")</f>
        <v>CUMPLE</v>
      </c>
      <c r="H17" s="7"/>
      <c r="I17" s="7"/>
      <c r="J17" s="7"/>
      <c r="K17" s="7"/>
    </row>
    <row r="18" spans="1:11" ht="16.5" x14ac:dyDescent="0.25">
      <c r="A18" s="7"/>
      <c r="B18" s="291"/>
      <c r="C18" s="47">
        <v>2</v>
      </c>
      <c r="D18" s="111">
        <v>4.8099999999999996</v>
      </c>
      <c r="E18" s="71"/>
      <c r="F18" s="112">
        <f t="shared" ref="F18" si="2">D18*B17</f>
        <v>6926.4</v>
      </c>
      <c r="G18" s="113" t="str">
        <f>+IF(C7&gt;F18,"CUMPLE","NO CUMPLE")</f>
        <v>CUMPLE</v>
      </c>
      <c r="H18" s="7"/>
      <c r="I18" s="7"/>
      <c r="J18" s="7"/>
      <c r="K18" s="7"/>
    </row>
    <row r="19" spans="1:11" ht="17.25" thickBot="1" x14ac:dyDescent="0.3">
      <c r="A19" s="7"/>
      <c r="B19" s="292"/>
      <c r="C19" s="52">
        <v>1</v>
      </c>
      <c r="D19" s="114">
        <v>8.1999999999999993</v>
      </c>
      <c r="E19" s="71"/>
      <c r="F19" s="118">
        <f t="shared" ref="F19" si="3">D19*B17</f>
        <v>11807.999999999998</v>
      </c>
      <c r="G19" s="119" t="str">
        <f>+IF(C7&gt;F19,"CUMPLE","NO CUMPLE")</f>
        <v>CUMPLE</v>
      </c>
      <c r="H19" s="7"/>
      <c r="I19" s="7"/>
      <c r="J19" s="7"/>
      <c r="K19" s="7"/>
    </row>
    <row r="20" spans="1:11" ht="16.5" x14ac:dyDescent="0.25">
      <c r="A20" s="7"/>
      <c r="B20" s="103"/>
      <c r="C20" s="103"/>
      <c r="D20" s="103"/>
      <c r="E20" s="103"/>
      <c r="F20" s="103"/>
      <c r="G20" s="103"/>
      <c r="H20" s="7"/>
      <c r="I20" s="7"/>
      <c r="J20" s="7"/>
      <c r="K20" s="7"/>
    </row>
    <row r="21" spans="1:11" ht="16.5" x14ac:dyDescent="0.25">
      <c r="A21" s="7"/>
      <c r="B21" s="120" t="s">
        <v>61</v>
      </c>
      <c r="C21" s="121"/>
      <c r="D21" s="121"/>
      <c r="E21" s="121"/>
      <c r="F21" s="121"/>
      <c r="G21" s="121"/>
      <c r="H21" s="7"/>
      <c r="I21" s="7"/>
      <c r="J21" s="7"/>
      <c r="K21" s="7"/>
    </row>
    <row r="22" spans="1:11" ht="16.5" x14ac:dyDescent="0.25">
      <c r="A22" s="7"/>
      <c r="B22" s="293" t="s">
        <v>88</v>
      </c>
      <c r="C22" s="293"/>
      <c r="D22" s="293"/>
      <c r="E22" s="293"/>
      <c r="F22" s="293"/>
      <c r="G22" s="293"/>
      <c r="H22" s="7"/>
      <c r="I22" s="7"/>
      <c r="J22" s="7"/>
      <c r="K22" s="7"/>
    </row>
    <row r="23" spans="1:11" ht="33.75" customHeight="1" thickBot="1" x14ac:dyDescent="0.3">
      <c r="A23" s="7"/>
      <c r="B23" s="294"/>
      <c r="C23" s="294"/>
      <c r="D23" s="294"/>
      <c r="E23" s="294"/>
      <c r="F23" s="294"/>
      <c r="G23" s="294"/>
      <c r="H23" s="7"/>
      <c r="I23" s="7"/>
      <c r="J23" s="7"/>
      <c r="K23" s="7"/>
    </row>
    <row r="24" spans="1:11" ht="16.5" x14ac:dyDescent="0.25">
      <c r="A24" s="7"/>
      <c r="B24" s="103"/>
      <c r="C24" s="103"/>
      <c r="D24" s="103"/>
      <c r="E24" s="103"/>
      <c r="F24" s="103"/>
      <c r="G24" s="103"/>
      <c r="H24" s="7"/>
      <c r="I24" s="7"/>
      <c r="J24" s="7"/>
      <c r="K24" s="7"/>
    </row>
    <row r="25" spans="1:11" ht="16.5" x14ac:dyDescent="0.25">
      <c r="A25" s="7"/>
      <c r="B25" s="103"/>
      <c r="C25" s="103"/>
      <c r="D25" s="103"/>
      <c r="E25" s="103"/>
      <c r="F25" s="103"/>
      <c r="G25" s="103"/>
      <c r="H25" s="7"/>
      <c r="I25" s="7"/>
      <c r="J25" s="7"/>
      <c r="K25" s="7"/>
    </row>
    <row r="26" spans="1:11" ht="16.5" x14ac:dyDescent="0.25">
      <c r="A26" s="7"/>
      <c r="B26" s="103"/>
      <c r="C26" s="103"/>
      <c r="D26" s="103"/>
      <c r="E26" s="103"/>
      <c r="F26" s="103"/>
      <c r="G26" s="103"/>
      <c r="H26" s="7"/>
      <c r="I26" s="7"/>
      <c r="J26" s="7"/>
      <c r="K26" s="7"/>
    </row>
    <row r="27" spans="1:11" ht="16.5" x14ac:dyDescent="0.25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</row>
    <row r="28" spans="1:11" ht="16.5" x14ac:dyDescent="0.25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</row>
    <row r="29" spans="1:11" ht="16.5" x14ac:dyDescent="0.25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</row>
    <row r="30" spans="1:11" ht="16.5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</row>
    <row r="31" spans="1:11" ht="16.5" x14ac:dyDescent="0.25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</row>
    <row r="32" spans="1:11" ht="16.5" x14ac:dyDescent="0.25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</row>
    <row r="33" spans="1:11" ht="16.5" x14ac:dyDescent="0.25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</row>
    <row r="34" spans="1:11" ht="16.5" x14ac:dyDescent="0.25">
      <c r="A34" s="68"/>
      <c r="B34" s="7"/>
      <c r="C34" s="7"/>
      <c r="D34" s="7"/>
      <c r="E34" s="7"/>
      <c r="F34" s="7"/>
      <c r="G34" s="7"/>
      <c r="H34" s="7"/>
      <c r="I34" s="7"/>
      <c r="J34" s="7"/>
      <c r="K34" s="7"/>
    </row>
    <row r="35" spans="1:11" ht="16.5" x14ac:dyDescent="0.25">
      <c r="A35" s="68"/>
      <c r="B35" s="7"/>
      <c r="C35" s="7"/>
      <c r="D35" s="7"/>
      <c r="E35" s="7"/>
      <c r="F35" s="7"/>
      <c r="G35" s="7"/>
      <c r="H35" s="7"/>
      <c r="I35" s="7"/>
      <c r="J35" s="7"/>
      <c r="K35" s="7"/>
    </row>
    <row r="36" spans="1:11" ht="16.5" x14ac:dyDescent="0.25">
      <c r="A36" s="68"/>
      <c r="B36" s="7"/>
      <c r="C36" s="7"/>
      <c r="D36" s="7"/>
      <c r="E36" s="7"/>
      <c r="F36" s="7"/>
      <c r="G36" s="7"/>
      <c r="H36" s="7"/>
      <c r="I36" s="7"/>
      <c r="J36" s="7"/>
      <c r="K36" s="7"/>
    </row>
    <row r="37" spans="1:11" ht="16.5" x14ac:dyDescent="0.25">
      <c r="A37" s="12"/>
      <c r="B37" s="7"/>
      <c r="C37" s="7"/>
      <c r="D37" s="7"/>
      <c r="E37" s="7"/>
      <c r="F37" s="7"/>
      <c r="G37" s="7"/>
      <c r="H37" s="7"/>
      <c r="I37" s="7"/>
      <c r="J37" s="7"/>
      <c r="K37" s="7"/>
    </row>
    <row r="38" spans="1:11" ht="16.5" x14ac:dyDescent="0.25">
      <c r="A38" s="122"/>
      <c r="B38" s="7"/>
      <c r="C38" s="7"/>
      <c r="D38" s="7"/>
      <c r="E38" s="7"/>
      <c r="F38" s="7"/>
      <c r="G38" s="7"/>
      <c r="H38" s="7"/>
      <c r="I38" s="7"/>
      <c r="J38" s="7"/>
      <c r="K38" s="7"/>
    </row>
    <row r="39" spans="1:11" ht="16.5" x14ac:dyDescent="0.25">
      <c r="A39" s="122"/>
      <c r="B39" s="7"/>
      <c r="C39" s="7"/>
      <c r="D39" s="7"/>
      <c r="E39" s="7"/>
      <c r="F39" s="7"/>
      <c r="G39" s="7"/>
      <c r="H39" s="7"/>
      <c r="I39" s="7"/>
      <c r="J39" s="7"/>
      <c r="K39" s="7"/>
    </row>
    <row r="40" spans="1:11" ht="16.5" x14ac:dyDescent="0.25">
      <c r="B40" s="7"/>
      <c r="C40" s="7"/>
      <c r="D40" s="7"/>
      <c r="E40" s="7"/>
      <c r="F40" s="7"/>
      <c r="G40" s="7"/>
      <c r="H40" s="7"/>
      <c r="I40" s="7"/>
      <c r="J40" s="7"/>
      <c r="K40" s="7"/>
    </row>
    <row r="41" spans="1:11" ht="16.5" x14ac:dyDescent="0.25">
      <c r="B41" s="7"/>
      <c r="C41" s="7"/>
      <c r="D41" s="7"/>
      <c r="E41" s="7"/>
      <c r="F41" s="7"/>
      <c r="G41" s="7"/>
      <c r="H41" s="7"/>
      <c r="I41" s="7"/>
      <c r="J41" s="7"/>
      <c r="K41" s="7"/>
    </row>
    <row r="42" spans="1:11" ht="16.5" x14ac:dyDescent="0.25">
      <c r="B42" s="7"/>
      <c r="C42" s="7"/>
      <c r="D42" s="7"/>
      <c r="E42" s="7"/>
      <c r="F42" s="7"/>
      <c r="G42" s="7"/>
      <c r="H42" s="7"/>
      <c r="I42" s="7"/>
      <c r="J42" s="7"/>
      <c r="K42" s="7"/>
    </row>
  </sheetData>
  <mergeCells count="9">
    <mergeCell ref="B17:B19"/>
    <mergeCell ref="B22:G23"/>
    <mergeCell ref="B2:G2"/>
    <mergeCell ref="B5:F5"/>
    <mergeCell ref="B9:D9"/>
    <mergeCell ref="B11:B13"/>
    <mergeCell ref="B14:B16"/>
    <mergeCell ref="D7:G7"/>
    <mergeCell ref="A3:G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56"/>
  <sheetViews>
    <sheetView zoomScale="85" zoomScaleNormal="85" workbookViewId="0">
      <selection activeCell="E29" sqref="E29"/>
    </sheetView>
  </sheetViews>
  <sheetFormatPr baseColWidth="10" defaultRowHeight="15" x14ac:dyDescent="0.25"/>
  <cols>
    <col min="1" max="1" width="3.7109375" customWidth="1"/>
    <col min="2" max="6" width="18.7109375" customWidth="1"/>
    <col min="7" max="7" width="2.7109375" customWidth="1"/>
    <col min="8" max="8" width="17" customWidth="1"/>
    <col min="9" max="9" width="18.85546875" customWidth="1"/>
    <col min="10" max="10" width="19.7109375" customWidth="1"/>
    <col min="11" max="11" width="20.7109375" customWidth="1"/>
    <col min="12" max="12" width="15" customWidth="1"/>
    <col min="13" max="13" width="16.140625" customWidth="1"/>
  </cols>
  <sheetData>
    <row r="2" spans="1:13" ht="15" customHeight="1" x14ac:dyDescent="0.25">
      <c r="B2" s="295" t="s">
        <v>82</v>
      </c>
      <c r="C2" s="295"/>
      <c r="D2" s="295"/>
      <c r="E2" s="295"/>
      <c r="F2" s="295"/>
      <c r="G2" s="295"/>
      <c r="H2" s="295"/>
      <c r="I2" s="295"/>
      <c r="J2" s="295"/>
      <c r="K2" s="295"/>
      <c r="L2" s="295"/>
      <c r="M2" s="295"/>
    </row>
    <row r="3" spans="1:13" ht="30" customHeight="1" x14ac:dyDescent="0.25">
      <c r="B3" s="302" t="s">
        <v>63</v>
      </c>
      <c r="C3" s="302"/>
      <c r="D3" s="302"/>
      <c r="E3" s="302"/>
      <c r="F3" s="302"/>
      <c r="G3" s="302"/>
      <c r="H3" s="302"/>
      <c r="I3" s="302"/>
      <c r="J3" s="302"/>
      <c r="K3" s="302"/>
      <c r="L3" s="302"/>
      <c r="M3" s="302"/>
    </row>
    <row r="4" spans="1:13" ht="18" customHeight="1" x14ac:dyDescent="0.3">
      <c r="A4" s="7"/>
      <c r="B4" s="7"/>
      <c r="C4" s="7"/>
      <c r="D4" s="7"/>
      <c r="E4" s="7"/>
      <c r="F4" s="7"/>
      <c r="G4" s="7"/>
      <c r="H4" s="1"/>
      <c r="I4" s="1"/>
    </row>
    <row r="5" spans="1:13" ht="18" customHeight="1" x14ac:dyDescent="0.3">
      <c r="A5" s="7"/>
      <c r="B5" s="296"/>
      <c r="C5" s="296"/>
      <c r="D5" s="296"/>
      <c r="E5" s="296"/>
      <c r="F5" s="7"/>
      <c r="G5" s="7"/>
      <c r="H5" s="1"/>
      <c r="I5" s="1"/>
    </row>
    <row r="6" spans="1:13" ht="18" customHeight="1" x14ac:dyDescent="0.25">
      <c r="A6" s="7"/>
      <c r="B6" s="30" t="s">
        <v>18</v>
      </c>
      <c r="C6" s="31"/>
      <c r="D6" s="32" t="s">
        <v>19</v>
      </c>
      <c r="E6" s="303" t="s">
        <v>87</v>
      </c>
      <c r="F6" s="303"/>
      <c r="G6" s="303"/>
      <c r="H6" s="303"/>
      <c r="I6" s="303"/>
      <c r="J6" s="303"/>
      <c r="K6" s="303"/>
      <c r="L6" s="303"/>
      <c r="M6" s="303"/>
    </row>
    <row r="7" spans="1:13" ht="18" customHeight="1" x14ac:dyDescent="0.3">
      <c r="A7" s="7"/>
      <c r="B7" s="33"/>
      <c r="C7" s="34"/>
      <c r="D7" s="35"/>
      <c r="E7" s="36"/>
      <c r="F7" s="36"/>
      <c r="G7" s="93"/>
      <c r="H7" s="1"/>
      <c r="I7" s="1"/>
    </row>
    <row r="8" spans="1:13" ht="18" customHeight="1" thickBot="1" x14ac:dyDescent="0.35">
      <c r="A8" s="7"/>
      <c r="B8" s="315" t="s">
        <v>20</v>
      </c>
      <c r="C8" s="315"/>
      <c r="D8" s="315"/>
      <c r="E8" s="315"/>
      <c r="F8" s="315"/>
      <c r="G8" s="94"/>
      <c r="H8" s="308"/>
      <c r="I8" s="308"/>
      <c r="J8" s="308"/>
      <c r="K8" s="308"/>
    </row>
    <row r="9" spans="1:13" ht="45" customHeight="1" thickBot="1" x14ac:dyDescent="0.3">
      <c r="A9" s="7"/>
      <c r="B9" s="37" t="s">
        <v>21</v>
      </c>
      <c r="C9" s="38" t="s">
        <v>22</v>
      </c>
      <c r="D9" s="39" t="s">
        <v>23</v>
      </c>
      <c r="E9" s="38" t="s">
        <v>24</v>
      </c>
      <c r="F9" s="62" t="s">
        <v>25</v>
      </c>
      <c r="G9" s="95"/>
      <c r="H9" s="62" t="s">
        <v>90</v>
      </c>
      <c r="I9" s="62" t="s">
        <v>43</v>
      </c>
      <c r="J9" s="62" t="s">
        <v>91</v>
      </c>
      <c r="K9" s="183" t="s">
        <v>92</v>
      </c>
      <c r="L9" s="62" t="s">
        <v>114</v>
      </c>
      <c r="M9" s="175" t="s">
        <v>93</v>
      </c>
    </row>
    <row r="10" spans="1:13" ht="18" customHeight="1" thickBot="1" x14ac:dyDescent="0.3">
      <c r="A10" s="7"/>
      <c r="B10" s="40" t="s">
        <v>26</v>
      </c>
      <c r="C10" s="41"/>
      <c r="D10" s="42" t="s">
        <v>27</v>
      </c>
      <c r="E10" s="73">
        <v>0</v>
      </c>
      <c r="F10" s="61" t="s">
        <v>85</v>
      </c>
      <c r="G10" s="96"/>
      <c r="H10" s="51">
        <f t="shared" ref="H10:H15" si="0">+E10</f>
        <v>0</v>
      </c>
      <c r="I10" s="66">
        <f>E10/20</f>
        <v>0</v>
      </c>
      <c r="J10" s="178">
        <f>H10/20</f>
        <v>0</v>
      </c>
      <c r="K10" s="184">
        <v>2</v>
      </c>
      <c r="L10" s="100">
        <f>+K10*20</f>
        <v>40</v>
      </c>
      <c r="M10" s="215">
        <f>(H10-(K10*L10))</f>
        <v>-80</v>
      </c>
    </row>
    <row r="11" spans="1:13" ht="18" customHeight="1" x14ac:dyDescent="0.25">
      <c r="A11" s="7"/>
      <c r="B11" s="324" t="s">
        <v>28</v>
      </c>
      <c r="C11" s="59"/>
      <c r="D11" s="44" t="s">
        <v>29</v>
      </c>
      <c r="E11" s="158">
        <v>1</v>
      </c>
      <c r="F11" s="51" t="s">
        <v>44</v>
      </c>
      <c r="G11" s="96"/>
      <c r="H11" s="66">
        <f t="shared" si="0"/>
        <v>1</v>
      </c>
      <c r="I11" s="66">
        <f>E11/20</f>
        <v>0.05</v>
      </c>
      <c r="J11" s="178">
        <f t="shared" ref="J11:J15" si="1">H11/20</f>
        <v>0.05</v>
      </c>
      <c r="K11" s="184">
        <v>1</v>
      </c>
      <c r="L11" s="100">
        <v>40</v>
      </c>
      <c r="M11" s="215">
        <f>(H11-(K11*L11))</f>
        <v>-39</v>
      </c>
    </row>
    <row r="12" spans="1:13" ht="18" customHeight="1" x14ac:dyDescent="0.25">
      <c r="A12" s="7"/>
      <c r="B12" s="325"/>
      <c r="C12" s="47"/>
      <c r="D12" s="46" t="s">
        <v>30</v>
      </c>
      <c r="E12" s="74">
        <v>0</v>
      </c>
      <c r="F12" s="66" t="s">
        <v>85</v>
      </c>
      <c r="G12" s="96"/>
      <c r="H12" s="66">
        <f t="shared" si="0"/>
        <v>0</v>
      </c>
      <c r="I12" s="66">
        <f>E12/20</f>
        <v>0</v>
      </c>
      <c r="J12" s="178">
        <f t="shared" si="1"/>
        <v>0</v>
      </c>
      <c r="K12" s="102">
        <v>1</v>
      </c>
      <c r="L12" s="179">
        <v>40</v>
      </c>
      <c r="M12" s="215">
        <f t="shared" ref="M12:M15" si="2">(H12-(K12*L12))</f>
        <v>-40</v>
      </c>
    </row>
    <row r="13" spans="1:13" ht="18" customHeight="1" x14ac:dyDescent="0.25">
      <c r="A13" s="7"/>
      <c r="B13" s="325"/>
      <c r="C13" s="48"/>
      <c r="D13" s="46" t="s">
        <v>31</v>
      </c>
      <c r="E13" s="168">
        <v>3</v>
      </c>
      <c r="F13" s="66" t="s">
        <v>44</v>
      </c>
      <c r="G13" s="96"/>
      <c r="H13" s="147">
        <f t="shared" si="0"/>
        <v>3</v>
      </c>
      <c r="I13" s="66">
        <f>E13/20</f>
        <v>0.15</v>
      </c>
      <c r="J13" s="178">
        <f t="shared" si="1"/>
        <v>0.15</v>
      </c>
      <c r="K13" s="102">
        <v>1</v>
      </c>
      <c r="L13" s="100">
        <v>40</v>
      </c>
      <c r="M13" s="215">
        <f t="shared" si="2"/>
        <v>-37</v>
      </c>
    </row>
    <row r="14" spans="1:13" ht="18" customHeight="1" x14ac:dyDescent="0.25">
      <c r="A14" s="7"/>
      <c r="B14" s="325"/>
      <c r="C14" s="47"/>
      <c r="D14" s="46" t="s">
        <v>32</v>
      </c>
      <c r="E14" s="74">
        <v>0</v>
      </c>
      <c r="F14" s="66" t="s">
        <v>85</v>
      </c>
      <c r="G14" s="96"/>
      <c r="H14" s="148">
        <f t="shared" si="0"/>
        <v>0</v>
      </c>
      <c r="I14" s="66">
        <f t="shared" ref="I14:I17" si="3">E14/20</f>
        <v>0</v>
      </c>
      <c r="J14" s="178">
        <f t="shared" si="1"/>
        <v>0</v>
      </c>
      <c r="K14" s="184">
        <v>1</v>
      </c>
      <c r="L14" s="100">
        <v>40</v>
      </c>
      <c r="M14" s="215">
        <f t="shared" si="2"/>
        <v>-40</v>
      </c>
    </row>
    <row r="15" spans="1:13" ht="18" customHeight="1" thickBot="1" x14ac:dyDescent="0.3">
      <c r="A15" s="7"/>
      <c r="B15" s="325"/>
      <c r="C15" s="48"/>
      <c r="D15" s="49" t="s">
        <v>33</v>
      </c>
      <c r="E15" s="75">
        <v>0</v>
      </c>
      <c r="F15" s="148" t="s">
        <v>85</v>
      </c>
      <c r="G15" s="96"/>
      <c r="H15" s="65">
        <f t="shared" si="0"/>
        <v>0</v>
      </c>
      <c r="I15" s="65">
        <f t="shared" si="3"/>
        <v>0</v>
      </c>
      <c r="J15" s="177">
        <f t="shared" si="1"/>
        <v>0</v>
      </c>
      <c r="K15" s="185">
        <v>1</v>
      </c>
      <c r="L15" s="101">
        <v>40</v>
      </c>
      <c r="M15" s="216">
        <f t="shared" si="2"/>
        <v>-40</v>
      </c>
    </row>
    <row r="16" spans="1:13" ht="18" customHeight="1" x14ac:dyDescent="0.25">
      <c r="A16" s="7"/>
      <c r="B16" s="316" t="s">
        <v>34</v>
      </c>
      <c r="C16" s="63"/>
      <c r="D16" s="50" t="s">
        <v>35</v>
      </c>
      <c r="E16" s="159">
        <v>1</v>
      </c>
      <c r="F16" s="108" t="s">
        <v>44</v>
      </c>
      <c r="G16" s="145"/>
      <c r="H16" s="309">
        <f>+E16+E17</f>
        <v>48</v>
      </c>
      <c r="I16" s="51">
        <f t="shared" si="3"/>
        <v>0.05</v>
      </c>
      <c r="J16" s="311">
        <f>H16/40</f>
        <v>1.2</v>
      </c>
      <c r="K16" s="313">
        <v>1</v>
      </c>
      <c r="L16" s="304">
        <v>40</v>
      </c>
      <c r="M16" s="306">
        <f t="shared" ref="M16" si="4">(H16-(K16*L16))</f>
        <v>8</v>
      </c>
    </row>
    <row r="17" spans="1:13" ht="18" customHeight="1" x14ac:dyDescent="0.25">
      <c r="A17" s="7"/>
      <c r="B17" s="317"/>
      <c r="C17" s="147"/>
      <c r="D17" s="44" t="s">
        <v>35</v>
      </c>
      <c r="E17" s="167">
        <v>47</v>
      </c>
      <c r="F17" s="150" t="s">
        <v>89</v>
      </c>
      <c r="G17" s="96"/>
      <c r="H17" s="310"/>
      <c r="I17" s="147">
        <f t="shared" si="3"/>
        <v>2.35</v>
      </c>
      <c r="J17" s="312"/>
      <c r="K17" s="314"/>
      <c r="L17" s="305"/>
      <c r="M17" s="307"/>
    </row>
    <row r="18" spans="1:13" ht="18" customHeight="1" x14ac:dyDescent="0.25">
      <c r="A18" s="7"/>
      <c r="B18" s="317"/>
      <c r="C18" s="147"/>
      <c r="D18" s="44" t="s">
        <v>36</v>
      </c>
      <c r="E18" s="160">
        <v>1</v>
      </c>
      <c r="F18" s="150" t="s">
        <v>44</v>
      </c>
      <c r="G18" s="145"/>
      <c r="H18" s="320">
        <f>+E18+E19</f>
        <v>41</v>
      </c>
      <c r="I18" s="66">
        <f>E18/40</f>
        <v>2.5000000000000001E-2</v>
      </c>
      <c r="J18" s="321">
        <f>H18/40</f>
        <v>1.0249999999999999</v>
      </c>
      <c r="K18" s="314">
        <v>1</v>
      </c>
      <c r="L18" s="305">
        <v>40</v>
      </c>
      <c r="M18" s="307">
        <f t="shared" ref="M18" si="5">(H18-(K18*L18))</f>
        <v>1</v>
      </c>
    </row>
    <row r="19" spans="1:13" ht="18" customHeight="1" x14ac:dyDescent="0.25">
      <c r="A19" s="7"/>
      <c r="B19" s="317"/>
      <c r="C19" s="47"/>
      <c r="D19" s="46" t="s">
        <v>36</v>
      </c>
      <c r="E19" s="166">
        <v>40</v>
      </c>
      <c r="F19" s="151" t="s">
        <v>89</v>
      </c>
      <c r="G19" s="96"/>
      <c r="H19" s="310"/>
      <c r="I19" s="66">
        <f t="shared" ref="I19:I24" si="6">E19/40</f>
        <v>1</v>
      </c>
      <c r="J19" s="312"/>
      <c r="K19" s="314"/>
      <c r="L19" s="305"/>
      <c r="M19" s="307"/>
    </row>
    <row r="20" spans="1:13" ht="18" customHeight="1" x14ac:dyDescent="0.25">
      <c r="A20" s="7"/>
      <c r="B20" s="317"/>
      <c r="C20" s="47"/>
      <c r="D20" s="46" t="s">
        <v>37</v>
      </c>
      <c r="E20" s="161">
        <v>1</v>
      </c>
      <c r="F20" s="151" t="s">
        <v>44</v>
      </c>
      <c r="G20" s="145"/>
      <c r="H20" s="320">
        <f>+E20+E21</f>
        <v>54</v>
      </c>
      <c r="I20" s="66">
        <f>E20/40</f>
        <v>2.5000000000000001E-2</v>
      </c>
      <c r="J20" s="321">
        <f>H20/40</f>
        <v>1.35</v>
      </c>
      <c r="K20" s="314">
        <v>1</v>
      </c>
      <c r="L20" s="305">
        <v>40</v>
      </c>
      <c r="M20" s="307">
        <f t="shared" ref="M20" si="7">(H20-(K20*L20))</f>
        <v>14</v>
      </c>
    </row>
    <row r="21" spans="1:13" ht="18" customHeight="1" x14ac:dyDescent="0.25">
      <c r="A21" s="7"/>
      <c r="B21" s="317"/>
      <c r="C21" s="47"/>
      <c r="D21" s="46" t="s">
        <v>37</v>
      </c>
      <c r="E21" s="166">
        <v>53</v>
      </c>
      <c r="F21" s="151" t="s">
        <v>89</v>
      </c>
      <c r="G21" s="96"/>
      <c r="H21" s="310"/>
      <c r="I21" s="66">
        <f t="shared" si="6"/>
        <v>1.325</v>
      </c>
      <c r="J21" s="312"/>
      <c r="K21" s="326"/>
      <c r="L21" s="305"/>
      <c r="M21" s="319"/>
    </row>
    <row r="22" spans="1:13" ht="18" customHeight="1" thickBot="1" x14ac:dyDescent="0.3">
      <c r="A22" s="7"/>
      <c r="B22" s="318"/>
      <c r="C22" s="52"/>
      <c r="D22" s="53" t="s">
        <v>38</v>
      </c>
      <c r="E22" s="165">
        <v>21</v>
      </c>
      <c r="F22" s="152" t="s">
        <v>89</v>
      </c>
      <c r="G22" s="96"/>
      <c r="H22" s="176">
        <f>+E22</f>
        <v>21</v>
      </c>
      <c r="I22" s="176">
        <f>E22/40</f>
        <v>0.52500000000000002</v>
      </c>
      <c r="J22" s="180">
        <f>H22/40</f>
        <v>0.52500000000000002</v>
      </c>
      <c r="K22" s="186">
        <v>1</v>
      </c>
      <c r="L22" s="187">
        <v>40</v>
      </c>
      <c r="M22" s="216">
        <f t="shared" ref="M22:M24" si="8">(H22-(K22*L22))</f>
        <v>-19</v>
      </c>
    </row>
    <row r="23" spans="1:13" ht="18" customHeight="1" thickBot="1" x14ac:dyDescent="0.3">
      <c r="A23" s="7"/>
      <c r="B23" s="322" t="s">
        <v>39</v>
      </c>
      <c r="C23" s="54"/>
      <c r="D23" s="55" t="s">
        <v>40</v>
      </c>
      <c r="E23" s="164">
        <v>22</v>
      </c>
      <c r="F23" s="45" t="s">
        <v>89</v>
      </c>
      <c r="G23" s="96"/>
      <c r="H23" s="61">
        <f>+E23</f>
        <v>22</v>
      </c>
      <c r="I23" s="61">
        <f t="shared" si="6"/>
        <v>0.55000000000000004</v>
      </c>
      <c r="J23" s="190">
        <f>+H23/40</f>
        <v>0.55000000000000004</v>
      </c>
      <c r="K23" s="191">
        <v>1</v>
      </c>
      <c r="L23" s="188">
        <v>40</v>
      </c>
      <c r="M23" s="217">
        <f t="shared" si="8"/>
        <v>-18</v>
      </c>
    </row>
    <row r="24" spans="1:13" ht="18" customHeight="1" thickBot="1" x14ac:dyDescent="0.3">
      <c r="A24" s="7"/>
      <c r="B24" s="323"/>
      <c r="C24" s="56"/>
      <c r="D24" s="57" t="s">
        <v>41</v>
      </c>
      <c r="E24" s="163">
        <v>23</v>
      </c>
      <c r="F24" s="65" t="s">
        <v>89</v>
      </c>
      <c r="G24" s="96"/>
      <c r="H24" s="65">
        <f>+E24</f>
        <v>23</v>
      </c>
      <c r="I24" s="65">
        <f t="shared" si="6"/>
        <v>0.57499999999999996</v>
      </c>
      <c r="J24" s="177">
        <f>+H24/40</f>
        <v>0.57499999999999996</v>
      </c>
      <c r="K24" s="101">
        <v>1</v>
      </c>
      <c r="L24" s="189">
        <v>40</v>
      </c>
      <c r="M24" s="216">
        <f t="shared" si="8"/>
        <v>-17</v>
      </c>
    </row>
    <row r="25" spans="1:13" ht="18" customHeight="1" thickBot="1" x14ac:dyDescent="0.3">
      <c r="A25" s="7"/>
      <c r="B25" s="169" t="s">
        <v>42</v>
      </c>
      <c r="C25" s="43"/>
      <c r="D25" s="58"/>
      <c r="E25" s="41">
        <f>SUM(E10:E24)</f>
        <v>213</v>
      </c>
      <c r="F25" s="91"/>
      <c r="G25" s="97"/>
      <c r="H25" s="170"/>
      <c r="I25" s="171">
        <f ca="1">SUM(I10:I33)</f>
        <v>6.05</v>
      </c>
      <c r="J25" s="172">
        <f ca="1">SUM(J10:J33)</f>
        <v>4.3</v>
      </c>
      <c r="K25" s="172">
        <f>SUM(K10:K24)</f>
        <v>13</v>
      </c>
      <c r="L25" s="172">
        <f>+L10+L11+L12+L13+L14+L15+L16+L18+L20+L22+L23+L24</f>
        <v>480</v>
      </c>
      <c r="M25" s="173">
        <f>+SUMIF(M10:M24,"&gt;0")</f>
        <v>23</v>
      </c>
    </row>
    <row r="26" spans="1:13" ht="36" customHeight="1" x14ac:dyDescent="0.25">
      <c r="A26" s="12"/>
      <c r="B26" s="67"/>
      <c r="C26" s="70"/>
      <c r="D26" s="71"/>
      <c r="E26" s="67"/>
      <c r="F26" s="67"/>
      <c r="G26" s="67"/>
      <c r="H26" s="192"/>
      <c r="I26" s="192"/>
      <c r="J26" s="98" t="s">
        <v>94</v>
      </c>
      <c r="K26" s="145" t="s">
        <v>95</v>
      </c>
      <c r="L26" s="174" t="s">
        <v>96</v>
      </c>
    </row>
    <row r="27" spans="1:13" ht="16.5" customHeight="1" thickBot="1" x14ac:dyDescent="0.3">
      <c r="A27" s="68"/>
      <c r="B27" s="162"/>
      <c r="C27" s="68"/>
      <c r="D27" s="68"/>
      <c r="E27" s="68"/>
      <c r="F27" s="68"/>
      <c r="G27" s="68"/>
      <c r="H27" s="68"/>
      <c r="I27" s="68"/>
      <c r="J27" s="153"/>
      <c r="K27" s="174"/>
      <c r="L27" s="174"/>
      <c r="M27" s="182"/>
    </row>
    <row r="28" spans="1:13" ht="24.75" customHeight="1" thickBot="1" x14ac:dyDescent="0.3">
      <c r="A28" s="68"/>
      <c r="B28" s="68"/>
      <c r="C28" s="68"/>
      <c r="D28" s="68"/>
      <c r="E28" s="154">
        <f>+E11+E13+E16+E18+E20</f>
        <v>7</v>
      </c>
      <c r="F28" s="155" t="s">
        <v>44</v>
      </c>
      <c r="G28" s="68"/>
      <c r="H28" s="92"/>
      <c r="I28" s="144"/>
      <c r="J28" s="153"/>
      <c r="K28" s="174"/>
      <c r="L28" s="174"/>
      <c r="M28" s="182"/>
    </row>
    <row r="29" spans="1:13" ht="24.75" customHeight="1" thickBot="1" x14ac:dyDescent="0.3">
      <c r="A29" s="68"/>
      <c r="B29" s="68"/>
      <c r="C29" s="68"/>
      <c r="D29" s="68"/>
      <c r="E29" s="156">
        <f>+E17+E19+E21+E22+E23+E24</f>
        <v>206</v>
      </c>
      <c r="F29" s="157" t="s">
        <v>89</v>
      </c>
      <c r="G29" s="68"/>
      <c r="H29" s="92"/>
      <c r="I29" s="144"/>
      <c r="J29" s="153"/>
      <c r="K29" s="174"/>
      <c r="L29" s="174"/>
      <c r="M29" s="182"/>
    </row>
    <row r="30" spans="1:13" ht="15" customHeight="1" x14ac:dyDescent="0.25">
      <c r="A30" s="68"/>
      <c r="B30" s="68"/>
      <c r="C30" s="68"/>
      <c r="D30" s="68"/>
      <c r="E30" s="68"/>
      <c r="F30" s="68"/>
      <c r="G30" s="68"/>
      <c r="H30" s="92"/>
      <c r="I30" s="144"/>
      <c r="J30" s="153"/>
      <c r="K30" s="174"/>
      <c r="L30" s="174"/>
      <c r="M30" s="182"/>
    </row>
    <row r="31" spans="1:13" ht="15" customHeight="1" x14ac:dyDescent="0.25">
      <c r="A31" s="68"/>
      <c r="B31" s="68"/>
      <c r="C31" s="68"/>
      <c r="D31" s="68"/>
      <c r="E31" s="68"/>
      <c r="F31" s="68"/>
      <c r="G31" s="68"/>
      <c r="H31" s="92"/>
      <c r="I31" s="144"/>
      <c r="J31" s="153"/>
      <c r="K31" s="174"/>
      <c r="L31" s="174"/>
      <c r="M31" s="182"/>
    </row>
    <row r="32" spans="1:13" ht="15" customHeight="1" x14ac:dyDescent="0.25">
      <c r="A32" s="68"/>
      <c r="B32" s="68"/>
      <c r="C32" s="68"/>
      <c r="D32" s="68"/>
      <c r="E32" s="68"/>
      <c r="F32" s="68"/>
      <c r="G32" s="68"/>
      <c r="H32" s="92"/>
      <c r="I32" s="144"/>
      <c r="J32" s="153"/>
      <c r="K32" s="174"/>
      <c r="L32" s="181"/>
      <c r="M32" s="182"/>
    </row>
    <row r="33" spans="1:13" ht="15" customHeight="1" x14ac:dyDescent="0.25">
      <c r="A33" s="68"/>
      <c r="B33" s="68"/>
      <c r="C33" s="68"/>
      <c r="D33" s="68"/>
      <c r="E33" s="68"/>
      <c r="F33" s="68"/>
      <c r="G33" s="68"/>
      <c r="H33" s="92"/>
      <c r="I33" s="144"/>
      <c r="J33" s="153"/>
      <c r="K33" s="174"/>
      <c r="L33" s="181"/>
      <c r="M33" s="182"/>
    </row>
    <row r="34" spans="1:13" ht="15" customHeight="1" x14ac:dyDescent="0.25">
      <c r="A34" s="68"/>
      <c r="B34" s="68"/>
      <c r="C34" s="68"/>
      <c r="D34" s="68"/>
      <c r="E34" s="68"/>
      <c r="F34" s="68"/>
      <c r="G34" s="68"/>
    </row>
    <row r="35" spans="1:13" ht="30" customHeight="1" x14ac:dyDescent="0.25">
      <c r="A35" s="68"/>
      <c r="B35" s="68"/>
      <c r="C35" s="68"/>
      <c r="D35" s="68"/>
      <c r="E35" s="68"/>
      <c r="F35" s="68"/>
      <c r="G35" s="68"/>
    </row>
    <row r="36" spans="1:13" ht="15" customHeight="1" x14ac:dyDescent="0.25">
      <c r="A36" s="68"/>
      <c r="B36" s="68"/>
      <c r="C36" s="68"/>
      <c r="D36" s="68"/>
      <c r="E36" s="68"/>
      <c r="F36" s="68"/>
      <c r="G36" s="68"/>
      <c r="H36" s="68"/>
      <c r="I36" s="68"/>
      <c r="J36" s="68"/>
      <c r="K36" s="68"/>
    </row>
    <row r="37" spans="1:13" ht="15" customHeight="1" x14ac:dyDescent="0.25">
      <c r="A37" s="68"/>
      <c r="B37" s="68"/>
      <c r="C37" s="68"/>
      <c r="D37" s="68"/>
      <c r="E37" s="68"/>
      <c r="F37" s="68"/>
      <c r="G37" s="68"/>
      <c r="H37" s="68"/>
      <c r="I37" s="68"/>
      <c r="J37" s="68"/>
      <c r="K37" s="68"/>
    </row>
    <row r="38" spans="1:13" ht="15" customHeight="1" x14ac:dyDescent="0.25">
      <c r="A38" s="68"/>
      <c r="B38" s="68"/>
      <c r="C38" s="68"/>
      <c r="D38" s="68"/>
      <c r="E38" s="68"/>
      <c r="F38" s="68"/>
      <c r="G38" s="68"/>
      <c r="H38" s="68"/>
      <c r="I38" s="68"/>
      <c r="J38" s="68"/>
      <c r="K38" s="68"/>
    </row>
    <row r="39" spans="1:13" ht="15" customHeight="1" x14ac:dyDescent="0.25">
      <c r="A39" s="68"/>
      <c r="B39" s="68"/>
      <c r="C39" s="68"/>
      <c r="D39" s="68"/>
      <c r="E39" s="68"/>
      <c r="F39" s="68"/>
      <c r="G39" s="68"/>
      <c r="H39" s="68"/>
      <c r="I39" s="68"/>
      <c r="J39" s="68"/>
      <c r="K39" s="68"/>
    </row>
    <row r="40" spans="1:13" ht="15" customHeight="1" x14ac:dyDescent="0.25">
      <c r="A40" s="68"/>
      <c r="B40" s="68"/>
      <c r="C40" s="68"/>
      <c r="D40" s="68"/>
      <c r="E40" s="68"/>
      <c r="F40" s="68"/>
      <c r="G40" s="68"/>
      <c r="H40" s="68"/>
      <c r="I40" s="68"/>
      <c r="J40" s="68"/>
      <c r="K40" s="68"/>
    </row>
    <row r="41" spans="1:13" ht="15" customHeight="1" x14ac:dyDescent="0.25">
      <c r="A41" s="68"/>
      <c r="B41" s="68"/>
      <c r="C41" s="68"/>
      <c r="D41" s="68"/>
      <c r="E41" s="68"/>
      <c r="F41" s="68"/>
      <c r="G41" s="68"/>
      <c r="H41" s="68"/>
      <c r="I41" s="68"/>
      <c r="J41" s="68"/>
      <c r="K41" s="68"/>
    </row>
    <row r="42" spans="1:13" ht="15" customHeight="1" x14ac:dyDescent="0.25">
      <c r="A42" s="68"/>
      <c r="B42" s="68"/>
      <c r="C42" s="68"/>
      <c r="D42" s="68"/>
      <c r="E42" s="68"/>
      <c r="F42" s="68"/>
      <c r="G42" s="68"/>
      <c r="H42" s="68"/>
      <c r="I42" s="68"/>
      <c r="J42" s="68"/>
      <c r="K42" s="68"/>
    </row>
    <row r="43" spans="1:13" ht="15" customHeight="1" x14ac:dyDescent="0.25">
      <c r="A43" s="68"/>
      <c r="B43" s="68"/>
      <c r="C43" s="68"/>
      <c r="D43" s="68"/>
      <c r="E43" s="68"/>
      <c r="F43" s="68"/>
      <c r="G43" s="68"/>
      <c r="H43" s="68"/>
      <c r="I43" s="68"/>
      <c r="J43" s="68"/>
      <c r="K43" s="68"/>
    </row>
    <row r="44" spans="1:13" ht="15" customHeight="1" x14ac:dyDescent="0.25">
      <c r="A44" s="68"/>
      <c r="B44" s="68"/>
      <c r="C44" s="68"/>
      <c r="D44" s="68"/>
      <c r="E44" s="68"/>
      <c r="F44" s="68"/>
      <c r="G44" s="68"/>
      <c r="H44" s="68"/>
      <c r="I44" s="68"/>
      <c r="J44" s="68"/>
      <c r="K44" s="68"/>
    </row>
    <row r="45" spans="1:13" ht="15" customHeight="1" x14ac:dyDescent="0.25">
      <c r="A45" s="68"/>
      <c r="B45" s="68"/>
      <c r="C45" s="68"/>
      <c r="D45" s="68"/>
      <c r="E45" s="68"/>
      <c r="F45" s="68"/>
      <c r="G45" s="68"/>
      <c r="H45" s="68"/>
      <c r="I45" s="68"/>
      <c r="J45" s="68"/>
      <c r="K45" s="68"/>
    </row>
    <row r="46" spans="1:13" ht="15" customHeight="1" x14ac:dyDescent="0.25">
      <c r="A46" s="68"/>
      <c r="B46" s="68"/>
      <c r="C46" s="68"/>
      <c r="D46" s="68"/>
      <c r="E46" s="68"/>
      <c r="F46" s="68"/>
      <c r="G46" s="68"/>
      <c r="H46" s="68"/>
      <c r="I46" s="68"/>
      <c r="J46" s="68"/>
      <c r="K46" s="68"/>
    </row>
    <row r="47" spans="1:13" ht="15" customHeight="1" x14ac:dyDescent="0.25">
      <c r="A47" s="68"/>
      <c r="B47" s="68"/>
      <c r="C47" s="68"/>
      <c r="D47" s="68"/>
      <c r="E47" s="68"/>
      <c r="F47" s="68"/>
      <c r="G47" s="68"/>
      <c r="H47" s="68"/>
      <c r="I47" s="68"/>
      <c r="J47" s="68"/>
      <c r="K47" s="68"/>
    </row>
    <row r="48" spans="1:13" ht="15" customHeight="1" x14ac:dyDescent="0.25">
      <c r="A48" s="68"/>
      <c r="B48" s="68"/>
      <c r="C48" s="68"/>
      <c r="D48" s="68"/>
      <c r="E48" s="68"/>
      <c r="F48" s="68"/>
      <c r="G48" s="68"/>
      <c r="H48" s="68"/>
      <c r="I48" s="68"/>
      <c r="J48" s="68"/>
      <c r="K48" s="68"/>
    </row>
    <row r="49" spans="1:11" ht="15" customHeight="1" x14ac:dyDescent="0.25">
      <c r="A49" s="68"/>
      <c r="B49" s="68"/>
      <c r="C49" s="68"/>
      <c r="D49" s="68"/>
      <c r="E49" s="68"/>
      <c r="F49" s="68"/>
      <c r="G49" s="68"/>
      <c r="H49" s="68"/>
      <c r="I49" s="68"/>
      <c r="J49" s="68"/>
      <c r="K49" s="68"/>
    </row>
    <row r="50" spans="1:11" ht="15" customHeight="1" x14ac:dyDescent="0.25">
      <c r="A50" s="68"/>
      <c r="B50" s="68"/>
      <c r="C50" s="68"/>
      <c r="D50" s="68"/>
      <c r="E50" s="68"/>
      <c r="F50" s="68"/>
      <c r="G50" s="68"/>
      <c r="H50" s="68"/>
      <c r="I50" s="68"/>
      <c r="J50" s="68"/>
      <c r="K50" s="68"/>
    </row>
    <row r="51" spans="1:11" ht="15" customHeight="1" x14ac:dyDescent="0.25">
      <c r="A51" s="68"/>
      <c r="B51" s="68"/>
      <c r="C51" s="68"/>
      <c r="D51" s="68"/>
      <c r="E51" s="68"/>
      <c r="F51" s="68"/>
      <c r="G51" s="68"/>
      <c r="H51" s="68"/>
      <c r="I51" s="68"/>
      <c r="J51" s="68"/>
      <c r="K51" s="68"/>
    </row>
    <row r="52" spans="1:11" ht="15" customHeight="1" x14ac:dyDescent="0.25">
      <c r="A52" s="68"/>
      <c r="B52" s="68"/>
      <c r="C52" s="68"/>
      <c r="D52" s="68"/>
      <c r="E52" s="68"/>
      <c r="F52" s="68"/>
      <c r="G52" s="68"/>
      <c r="H52" s="68"/>
      <c r="I52" s="68"/>
      <c r="J52" s="68"/>
      <c r="K52" s="68"/>
    </row>
    <row r="53" spans="1:11" ht="15" customHeight="1" x14ac:dyDescent="0.25">
      <c r="A53" s="68"/>
      <c r="B53" s="68"/>
      <c r="C53" s="68"/>
      <c r="D53" s="68"/>
      <c r="E53" s="68"/>
      <c r="F53" s="68"/>
      <c r="G53" s="68"/>
      <c r="H53" s="68"/>
      <c r="I53" s="68"/>
      <c r="J53" s="68"/>
      <c r="K53" s="68"/>
    </row>
    <row r="54" spans="1:11" ht="15" customHeight="1" x14ac:dyDescent="0.25">
      <c r="A54" s="68"/>
      <c r="B54" s="68"/>
      <c r="C54" s="68"/>
      <c r="D54" s="68"/>
      <c r="E54" s="68"/>
      <c r="F54" s="68"/>
      <c r="G54" s="68"/>
      <c r="H54" s="68"/>
      <c r="I54" s="68"/>
      <c r="J54" s="68"/>
      <c r="K54" s="68"/>
    </row>
    <row r="56" spans="1:11" ht="25.5" x14ac:dyDescent="0.5">
      <c r="C56" s="72"/>
    </row>
  </sheetData>
  <mergeCells count="24">
    <mergeCell ref="B23:B24"/>
    <mergeCell ref="B11:B15"/>
    <mergeCell ref="K18:K19"/>
    <mergeCell ref="L18:L19"/>
    <mergeCell ref="M18:M19"/>
    <mergeCell ref="H20:H21"/>
    <mergeCell ref="J20:J21"/>
    <mergeCell ref="K20:K21"/>
    <mergeCell ref="B3:M3"/>
    <mergeCell ref="B2:M2"/>
    <mergeCell ref="E6:M6"/>
    <mergeCell ref="L16:L17"/>
    <mergeCell ref="M16:M17"/>
    <mergeCell ref="H8:K8"/>
    <mergeCell ref="H16:H17"/>
    <mergeCell ref="J16:J17"/>
    <mergeCell ref="K16:K17"/>
    <mergeCell ref="B5:E5"/>
    <mergeCell ref="B8:F8"/>
    <mergeCell ref="B16:B22"/>
    <mergeCell ref="L20:L21"/>
    <mergeCell ref="M20:M21"/>
    <mergeCell ref="H18:H19"/>
    <mergeCell ref="J18:J1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2"/>
  <sheetViews>
    <sheetView showGridLines="0" tabSelected="1" zoomScale="90" zoomScaleNormal="90" workbookViewId="0">
      <selection activeCell="J20" sqref="J20"/>
    </sheetView>
  </sheetViews>
  <sheetFormatPr baseColWidth="10" defaultRowHeight="15" x14ac:dyDescent="0.25"/>
  <cols>
    <col min="1" max="1" width="2.7109375" customWidth="1"/>
    <col min="2" max="2" width="17.7109375" customWidth="1"/>
    <col min="3" max="4" width="14.7109375" customWidth="1"/>
    <col min="5" max="6" width="17.7109375" customWidth="1"/>
    <col min="7" max="7" width="2.7109375" style="223" customWidth="1"/>
    <col min="8" max="8" width="14.7109375" customWidth="1"/>
    <col min="9" max="9" width="17.7109375" customWidth="1"/>
    <col min="10" max="11" width="20.7109375" customWidth="1"/>
  </cols>
  <sheetData>
    <row r="1" spans="1:18" x14ac:dyDescent="0.25">
      <c r="A1" s="76"/>
      <c r="B1" s="76"/>
      <c r="C1" s="76"/>
      <c r="D1" s="76"/>
      <c r="E1" s="193"/>
      <c r="F1" s="76"/>
      <c r="H1" s="76"/>
      <c r="I1" s="76"/>
      <c r="K1" s="76"/>
      <c r="L1" s="76"/>
      <c r="M1" s="76"/>
      <c r="N1" s="76"/>
      <c r="O1" s="76"/>
    </row>
    <row r="2" spans="1:18" ht="20.25" x14ac:dyDescent="0.25">
      <c r="A2" s="76"/>
      <c r="B2" s="341" t="str">
        <f>MATRICULA!B2</f>
        <v>GRUPO 9</v>
      </c>
      <c r="C2" s="341"/>
      <c r="D2" s="341"/>
      <c r="E2" s="341"/>
      <c r="F2" s="341"/>
      <c r="G2" s="341"/>
      <c r="H2" s="341"/>
      <c r="I2" s="341"/>
      <c r="J2" s="341"/>
      <c r="K2" s="194"/>
      <c r="L2" s="194"/>
      <c r="M2" s="194"/>
      <c r="N2" s="194"/>
      <c r="O2" s="76"/>
    </row>
    <row r="3" spans="1:18" ht="29.25" x14ac:dyDescent="0.25">
      <c r="A3" s="76"/>
      <c r="B3" s="342" t="str">
        <f>MATRICULA!B3</f>
        <v>SANTA TERESITA DE ALTAQUER BARBACOAS-NARIÑO</v>
      </c>
      <c r="C3" s="342"/>
      <c r="D3" s="342"/>
      <c r="E3" s="342"/>
      <c r="F3" s="342"/>
      <c r="G3" s="342"/>
      <c r="H3" s="342"/>
      <c r="I3" s="342"/>
      <c r="J3" s="342"/>
      <c r="K3" s="195"/>
      <c r="L3" s="195"/>
      <c r="M3" s="195"/>
      <c r="N3" s="195"/>
      <c r="O3" s="76"/>
    </row>
    <row r="4" spans="1:18" x14ac:dyDescent="0.25">
      <c r="A4" s="76"/>
      <c r="B4" s="343" t="s">
        <v>98</v>
      </c>
      <c r="C4" s="343"/>
      <c r="D4" s="343"/>
      <c r="E4" s="343"/>
      <c r="F4" s="343"/>
      <c r="G4" s="343"/>
      <c r="H4" s="343"/>
      <c r="I4" s="343"/>
      <c r="J4" s="343"/>
      <c r="K4" s="196"/>
      <c r="L4" s="196"/>
      <c r="M4" s="196"/>
      <c r="N4" s="196"/>
      <c r="O4" s="77"/>
      <c r="P4" s="77"/>
      <c r="Q4" s="77"/>
      <c r="R4" s="76"/>
    </row>
    <row r="5" spans="1:18" ht="17.25" thickBot="1" x14ac:dyDescent="0.35">
      <c r="B5" s="315"/>
      <c r="C5" s="345"/>
      <c r="D5" s="345"/>
      <c r="E5" s="345"/>
      <c r="F5" s="345"/>
      <c r="G5" s="94"/>
      <c r="H5" s="344" t="s">
        <v>120</v>
      </c>
      <c r="I5" s="344"/>
      <c r="J5" s="344"/>
      <c r="K5" s="1"/>
      <c r="L5" s="1"/>
      <c r="M5" s="1"/>
      <c r="N5" s="1"/>
    </row>
    <row r="6" spans="1:18" ht="16.5" x14ac:dyDescent="0.3">
      <c r="B6" s="346" t="s">
        <v>99</v>
      </c>
      <c r="C6" s="338" t="s">
        <v>100</v>
      </c>
      <c r="D6" s="339"/>
      <c r="E6" s="336" t="s">
        <v>101</v>
      </c>
      <c r="F6" s="225" t="s">
        <v>102</v>
      </c>
      <c r="G6" s="95"/>
      <c r="H6" s="327" t="s">
        <v>103</v>
      </c>
      <c r="I6" s="327" t="s">
        <v>121</v>
      </c>
      <c r="J6" s="327" t="s">
        <v>122</v>
      </c>
      <c r="K6" s="1"/>
      <c r="L6" s="1"/>
      <c r="M6" s="1"/>
      <c r="N6" s="1"/>
    </row>
    <row r="7" spans="1:18" ht="17.25" thickBot="1" x14ac:dyDescent="0.35">
      <c r="B7" s="347"/>
      <c r="C7" s="197" t="s">
        <v>104</v>
      </c>
      <c r="D7" s="198" t="s">
        <v>105</v>
      </c>
      <c r="E7" s="340"/>
      <c r="F7" s="226">
        <f>[1]MATRICULA!J22</f>
        <v>480</v>
      </c>
      <c r="G7" s="95"/>
      <c r="H7" s="333"/>
      <c r="I7" s="328"/>
      <c r="J7" s="328"/>
      <c r="K7" s="1"/>
      <c r="L7" s="1"/>
      <c r="M7" s="1"/>
      <c r="N7" s="1"/>
    </row>
    <row r="8" spans="1:18" ht="16.5" x14ac:dyDescent="0.3">
      <c r="B8" s="199" t="s">
        <v>26</v>
      </c>
      <c r="C8" s="329">
        <v>4</v>
      </c>
      <c r="D8" s="331">
        <v>0</v>
      </c>
      <c r="E8" s="334">
        <f>D8+D9</f>
        <v>0</v>
      </c>
      <c r="F8" s="63" t="str">
        <f>[1]MATRICULA!I10</f>
        <v>2</v>
      </c>
      <c r="G8" s="208"/>
      <c r="H8" s="201">
        <v>0</v>
      </c>
      <c r="I8" s="231">
        <f>(E7+H8)-F8</f>
        <v>-2</v>
      </c>
      <c r="J8" s="110" t="str">
        <f>IF(I8&lt;0,"FALTA",IF(I8=0,"CUMPLE",IF(I8&gt;0,"SOBRAPASA")))</f>
        <v>FALTA</v>
      </c>
      <c r="K8" s="1"/>
      <c r="L8" s="1"/>
      <c r="M8" s="1"/>
      <c r="N8" s="1"/>
    </row>
    <row r="9" spans="1:18" ht="17.25" thickBot="1" x14ac:dyDescent="0.35">
      <c r="B9" s="202" t="s">
        <v>123</v>
      </c>
      <c r="C9" s="330"/>
      <c r="D9" s="332"/>
      <c r="E9" s="335"/>
      <c r="F9" s="52">
        <f>[1]MATRICULA!I11+[1]MATRICULA!I12+[1]MATRICULA!I13+[1]MATRICULA!I14+[1]MATRICULA!I15+[1]MATRICULA!I16+[1]MATRICULA!I17+[1]MATRICULA!I18+[1]MATRICULA!I19+[1]MATRICULA!I20+[1]MATRICULA!I21</f>
        <v>11</v>
      </c>
      <c r="G9" s="208"/>
      <c r="H9" s="205">
        <v>9</v>
      </c>
      <c r="I9" s="232">
        <f>(E8+H9)-F9</f>
        <v>-2</v>
      </c>
      <c r="J9" s="119" t="str">
        <f>IF(I9&lt;0,"FALTA",IF(I9=0,"CUMPLE",IF(I9&gt;0,"SOBRAPASA")))</f>
        <v>FALTA</v>
      </c>
      <c r="K9" s="1"/>
      <c r="L9" s="1"/>
      <c r="M9" s="1"/>
      <c r="N9" s="1"/>
    </row>
    <row r="10" spans="1:18" ht="17.25" thickBot="1" x14ac:dyDescent="0.35">
      <c r="B10" s="98"/>
      <c r="C10" s="98"/>
      <c r="D10" s="95"/>
      <c r="E10" s="206"/>
      <c r="F10" s="145"/>
      <c r="G10" s="145"/>
      <c r="H10" s="207"/>
      <c r="I10" s="1"/>
      <c r="J10" s="1"/>
      <c r="K10" s="1"/>
      <c r="L10" s="1"/>
      <c r="M10" s="1"/>
      <c r="N10" s="1"/>
    </row>
    <row r="11" spans="1:18" ht="16.5" x14ac:dyDescent="0.3">
      <c r="B11" s="336" t="s">
        <v>124</v>
      </c>
      <c r="C11" s="338" t="s">
        <v>100</v>
      </c>
      <c r="D11" s="339"/>
      <c r="E11" s="336" t="s">
        <v>101</v>
      </c>
      <c r="F11" s="225" t="s">
        <v>102</v>
      </c>
      <c r="G11" s="95"/>
      <c r="H11" s="327" t="s">
        <v>103</v>
      </c>
      <c r="I11" s="327" t="str">
        <f>I6</f>
        <v>CANT. RESULTANTE</v>
      </c>
      <c r="J11" s="327" t="s">
        <v>122</v>
      </c>
      <c r="K11" s="1"/>
      <c r="L11" s="1"/>
      <c r="M11" s="1"/>
      <c r="N11" s="1"/>
    </row>
    <row r="12" spans="1:18" ht="17.25" thickBot="1" x14ac:dyDescent="0.35">
      <c r="B12" s="337"/>
      <c r="C12" s="197" t="s">
        <v>104</v>
      </c>
      <c r="D12" s="198" t="s">
        <v>105</v>
      </c>
      <c r="E12" s="340"/>
      <c r="F12" s="226">
        <f>+MATRICULA!L25</f>
        <v>480</v>
      </c>
      <c r="G12" s="95"/>
      <c r="H12" s="333"/>
      <c r="I12" s="328"/>
      <c r="J12" s="328"/>
      <c r="K12" s="1"/>
      <c r="L12" s="1"/>
      <c r="M12" s="1"/>
      <c r="N12" s="1"/>
    </row>
    <row r="13" spans="1:18" ht="16.5" x14ac:dyDescent="0.3">
      <c r="B13" s="199" t="s">
        <v>26</v>
      </c>
      <c r="C13" s="149">
        <v>0</v>
      </c>
      <c r="D13" s="200">
        <v>0</v>
      </c>
      <c r="E13" s="334">
        <f>D13+D14</f>
        <v>0</v>
      </c>
      <c r="F13" s="227">
        <f>((F8*20)/15)</f>
        <v>2.6666666666666665</v>
      </c>
      <c r="G13" s="224"/>
      <c r="H13" s="201">
        <v>0</v>
      </c>
      <c r="I13" s="234">
        <f>((H13+D13)-F13)</f>
        <v>-2.6666666666666665</v>
      </c>
      <c r="J13" s="233" t="str">
        <f>IF(I13&lt;0,"FALTA",IF(I13=0,"CUMPLE",IF(I13&gt;0,"SOBRAPASA")))</f>
        <v>FALTA</v>
      </c>
      <c r="K13" s="1"/>
      <c r="L13" s="1"/>
      <c r="M13" s="1"/>
      <c r="N13" s="1"/>
    </row>
    <row r="14" spans="1:18" ht="17.25" thickBot="1" x14ac:dyDescent="0.35">
      <c r="B14" s="202" t="s">
        <v>106</v>
      </c>
      <c r="C14" s="203">
        <v>0</v>
      </c>
      <c r="D14" s="204">
        <v>0</v>
      </c>
      <c r="E14" s="335"/>
      <c r="F14" s="52">
        <f>+F9*40/25</f>
        <v>17.600000000000001</v>
      </c>
      <c r="G14" s="208"/>
      <c r="H14" s="205">
        <v>15</v>
      </c>
      <c r="I14" s="119">
        <f>((H14+D14)-F14)</f>
        <v>-2.6000000000000014</v>
      </c>
      <c r="J14" s="230" t="str">
        <f>IF(I14&lt;0,"FALTA",IF(I14=0,"CUMPLE",IF(I14&gt;0,"SOBRAPASA")))</f>
        <v>FALTA</v>
      </c>
      <c r="K14" s="1"/>
      <c r="L14" s="1"/>
      <c r="M14" s="1"/>
      <c r="N14" s="1"/>
    </row>
    <row r="15" spans="1:18" ht="16.5" x14ac:dyDescent="0.3">
      <c r="B15" s="98"/>
      <c r="C15" s="208"/>
      <c r="D15" s="208"/>
      <c r="E15" s="206"/>
      <c r="F15" s="145"/>
      <c r="G15" s="145"/>
      <c r="H15" s="1"/>
      <c r="I15" s="1"/>
      <c r="J15" s="76"/>
      <c r="K15" s="1"/>
      <c r="L15" s="1"/>
      <c r="M15" s="1"/>
      <c r="N15" s="1"/>
    </row>
    <row r="16" spans="1:18" ht="16.5" x14ac:dyDescent="0.3">
      <c r="B16" s="98"/>
      <c r="C16" s="98"/>
      <c r="D16" s="95"/>
      <c r="E16" s="206"/>
      <c r="F16" s="145"/>
      <c r="G16" s="145"/>
      <c r="H16" s="222"/>
      <c r="I16" s="1"/>
      <c r="J16" s="1"/>
      <c r="K16" s="1"/>
      <c r="L16" s="1"/>
      <c r="M16" s="1"/>
      <c r="N16" s="1"/>
    </row>
    <row r="17" spans="2:14" ht="16.5" x14ac:dyDescent="0.3">
      <c r="B17" s="98"/>
      <c r="C17" s="208"/>
      <c r="D17" s="208"/>
      <c r="E17" s="206"/>
      <c r="F17" s="145"/>
      <c r="G17" s="145"/>
      <c r="H17" s="1"/>
      <c r="I17" s="1"/>
      <c r="J17" s="1"/>
      <c r="K17" s="1"/>
      <c r="L17" s="1"/>
      <c r="M17" s="1"/>
      <c r="N17" s="1"/>
    </row>
    <row r="18" spans="2:14" ht="16.5" x14ac:dyDescent="0.3">
      <c r="B18" s="98"/>
      <c r="C18" s="208"/>
      <c r="D18" s="208"/>
      <c r="E18" s="206"/>
      <c r="F18" s="145"/>
      <c r="G18" s="145"/>
      <c r="H18" s="1"/>
      <c r="I18" s="1"/>
      <c r="J18" s="1"/>
      <c r="K18" s="1"/>
      <c r="L18" s="1"/>
      <c r="M18" s="1"/>
      <c r="N18" s="1"/>
    </row>
    <row r="19" spans="2:14" ht="16.5" x14ac:dyDescent="0.3">
      <c r="B19" s="98"/>
      <c r="C19" s="208"/>
      <c r="D19" s="208"/>
      <c r="E19" s="206"/>
      <c r="F19" s="145"/>
      <c r="G19" s="145"/>
      <c r="H19" s="1"/>
      <c r="I19" s="1"/>
      <c r="J19" s="1"/>
      <c r="K19" s="1"/>
      <c r="L19" s="1"/>
      <c r="M19" s="1"/>
      <c r="N19" s="1"/>
    </row>
    <row r="20" spans="2:14" ht="16.5" x14ac:dyDescent="0.3">
      <c r="B20" s="228"/>
      <c r="C20" s="145"/>
      <c r="D20" s="229"/>
      <c r="E20" s="208"/>
      <c r="F20" s="97"/>
      <c r="G20" s="97"/>
      <c r="H20" s="1"/>
      <c r="I20" s="1"/>
      <c r="J20" s="1"/>
      <c r="K20" s="1"/>
      <c r="L20" s="1"/>
      <c r="M20" s="1"/>
      <c r="N20" s="1"/>
    </row>
    <row r="21" spans="2:14" ht="16.5" x14ac:dyDescent="0.3">
      <c r="B21" s="1"/>
      <c r="C21" s="1"/>
      <c r="D21" s="1"/>
      <c r="E21" s="1"/>
      <c r="F21" s="1"/>
      <c r="G21" s="207"/>
      <c r="H21" s="1"/>
      <c r="I21" s="1"/>
      <c r="J21" s="1"/>
      <c r="K21" s="1"/>
      <c r="L21" s="1"/>
      <c r="M21" s="1"/>
      <c r="N21" s="1"/>
    </row>
    <row r="22" spans="2:14" ht="16.5" x14ac:dyDescent="0.3">
      <c r="B22" s="1"/>
      <c r="C22" s="1"/>
      <c r="D22" s="1"/>
      <c r="E22" s="1"/>
      <c r="F22" s="1"/>
      <c r="G22" s="207"/>
      <c r="H22" s="1"/>
      <c r="I22" s="1"/>
      <c r="J22" s="1"/>
      <c r="K22" s="1"/>
      <c r="L22" s="1"/>
      <c r="M22" s="1"/>
      <c r="N22" s="1"/>
    </row>
  </sheetData>
  <mergeCells count="21">
    <mergeCell ref="B2:J2"/>
    <mergeCell ref="B3:J3"/>
    <mergeCell ref="B4:J4"/>
    <mergeCell ref="H5:J5"/>
    <mergeCell ref="I6:I7"/>
    <mergeCell ref="B5:F5"/>
    <mergeCell ref="B6:B7"/>
    <mergeCell ref="C6:D6"/>
    <mergeCell ref="E6:E7"/>
    <mergeCell ref="H6:H7"/>
    <mergeCell ref="J6:J7"/>
    <mergeCell ref="E13:E14"/>
    <mergeCell ref="E8:E9"/>
    <mergeCell ref="B11:B12"/>
    <mergeCell ref="C11:D11"/>
    <mergeCell ref="E11:E12"/>
    <mergeCell ref="I11:I12"/>
    <mergeCell ref="J11:J12"/>
    <mergeCell ref="C8:C9"/>
    <mergeCell ref="D8:D9"/>
    <mergeCell ref="H11:H1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9"/>
  <sheetViews>
    <sheetView showGridLines="0" topLeftCell="A3" zoomScale="90" zoomScaleNormal="90" workbookViewId="0">
      <selection activeCell="H54" sqref="H54:L59"/>
    </sheetView>
  </sheetViews>
  <sheetFormatPr baseColWidth="10" defaultRowHeight="15" x14ac:dyDescent="0.25"/>
  <cols>
    <col min="1" max="1" width="3.7109375" customWidth="1"/>
    <col min="2" max="2" width="20.7109375" customWidth="1"/>
    <col min="3" max="6" width="17.7109375" customWidth="1"/>
    <col min="7" max="7" width="2.7109375" customWidth="1"/>
    <col min="8" max="10" width="17.7109375" customWidth="1"/>
    <col min="11" max="12" width="14.7109375" customWidth="1"/>
  </cols>
  <sheetData>
    <row r="1" spans="1:20" x14ac:dyDescent="0.25">
      <c r="A1" s="76"/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210"/>
      <c r="P1" s="210"/>
      <c r="Q1" s="210"/>
      <c r="R1" s="210"/>
      <c r="S1" s="210"/>
      <c r="T1" s="210"/>
    </row>
    <row r="2" spans="1:20" ht="15" customHeight="1" x14ac:dyDescent="0.25">
      <c r="A2" s="76"/>
      <c r="B2" s="341" t="s">
        <v>97</v>
      </c>
      <c r="C2" s="341"/>
      <c r="D2" s="341"/>
      <c r="E2" s="341"/>
      <c r="F2" s="341"/>
      <c r="G2" s="341"/>
      <c r="H2" s="341"/>
      <c r="I2" s="341"/>
      <c r="J2" s="341"/>
      <c r="K2" s="341"/>
      <c r="L2" s="341"/>
      <c r="M2" s="341"/>
      <c r="N2" s="76"/>
      <c r="O2" s="210"/>
      <c r="P2" s="210"/>
      <c r="Q2" s="210"/>
      <c r="R2" s="210"/>
      <c r="S2" s="210"/>
      <c r="T2" s="210"/>
    </row>
    <row r="3" spans="1:20" ht="27.75" customHeight="1" x14ac:dyDescent="0.25">
      <c r="A3" s="76"/>
      <c r="B3" s="342" t="str">
        <f>+'PRE-EXISTENCIAS'!B3:H3</f>
        <v>SANTA TERESITA DE ALTAQUER BARBACOAS-NARIÑO</v>
      </c>
      <c r="C3" s="342"/>
      <c r="D3" s="342"/>
      <c r="E3" s="342"/>
      <c r="F3" s="342"/>
      <c r="G3" s="342"/>
      <c r="H3" s="342"/>
      <c r="I3" s="342"/>
      <c r="J3" s="342"/>
      <c r="K3" s="342"/>
      <c r="L3" s="342"/>
      <c r="M3" s="342"/>
      <c r="N3" s="76"/>
      <c r="O3" s="210"/>
      <c r="P3" s="210"/>
      <c r="Q3" s="210"/>
      <c r="R3" s="210"/>
      <c r="S3" s="210"/>
      <c r="T3" s="210"/>
    </row>
    <row r="4" spans="1:20" ht="15.75" thickBot="1" x14ac:dyDescent="0.3">
      <c r="A4" s="76"/>
      <c r="B4" s="371" t="s">
        <v>45</v>
      </c>
      <c r="C4" s="371"/>
      <c r="D4" s="371"/>
      <c r="E4" s="371"/>
      <c r="F4" s="87"/>
      <c r="G4" s="77"/>
      <c r="H4" s="372" t="s">
        <v>46</v>
      </c>
      <c r="I4" s="372"/>
      <c r="J4" s="372"/>
      <c r="K4" s="372"/>
      <c r="L4" s="372"/>
      <c r="M4" s="372"/>
      <c r="N4" s="77"/>
      <c r="O4" s="210"/>
      <c r="P4" s="210"/>
      <c r="Q4" s="210"/>
      <c r="R4" s="210"/>
      <c r="S4" s="210"/>
      <c r="T4" s="210"/>
    </row>
    <row r="5" spans="1:20" ht="15" customHeight="1" x14ac:dyDescent="0.25">
      <c r="A5" s="76"/>
      <c r="B5" s="357" t="s">
        <v>99</v>
      </c>
      <c r="C5" s="359" t="s">
        <v>47</v>
      </c>
      <c r="D5" s="359" t="s">
        <v>107</v>
      </c>
      <c r="E5" s="361" t="s">
        <v>51</v>
      </c>
      <c r="F5" s="361" t="s">
        <v>49</v>
      </c>
      <c r="G5" s="146"/>
      <c r="H5" s="359" t="s">
        <v>50</v>
      </c>
      <c r="I5" s="359" t="s">
        <v>62</v>
      </c>
      <c r="J5" s="361" t="s">
        <v>51</v>
      </c>
      <c r="K5" s="369" t="s">
        <v>52</v>
      </c>
      <c r="L5" s="359" t="s">
        <v>108</v>
      </c>
      <c r="M5" s="359" t="s">
        <v>109</v>
      </c>
      <c r="N5" s="79"/>
      <c r="O5" s="210"/>
      <c r="P5" s="210"/>
      <c r="Q5" s="210"/>
      <c r="R5" s="210"/>
      <c r="S5" s="210"/>
      <c r="T5" s="210"/>
    </row>
    <row r="6" spans="1:20" ht="21" customHeight="1" thickBot="1" x14ac:dyDescent="0.3">
      <c r="A6" s="76"/>
      <c r="B6" s="358"/>
      <c r="C6" s="360"/>
      <c r="D6" s="360"/>
      <c r="E6" s="362"/>
      <c r="F6" s="362"/>
      <c r="G6" s="146"/>
      <c r="H6" s="373"/>
      <c r="I6" s="373"/>
      <c r="J6" s="362"/>
      <c r="K6" s="374"/>
      <c r="L6" s="373"/>
      <c r="M6" s="373"/>
      <c r="N6" s="79"/>
      <c r="O6" s="210"/>
      <c r="P6" s="210"/>
      <c r="Q6" s="210"/>
      <c r="R6" s="210"/>
      <c r="S6" s="210"/>
      <c r="T6" s="210"/>
    </row>
    <row r="7" spans="1:20" ht="33.75" customHeight="1" thickBot="1" x14ac:dyDescent="0.3">
      <c r="A7" s="76"/>
      <c r="B7" s="211" t="s">
        <v>110</v>
      </c>
      <c r="C7" s="81">
        <f>[1]MATRICULA!J22</f>
        <v>480</v>
      </c>
      <c r="D7" s="212">
        <v>40</v>
      </c>
      <c r="E7" s="83">
        <v>1.65</v>
      </c>
      <c r="F7" s="84">
        <f>D7*E7</f>
        <v>66</v>
      </c>
      <c r="G7" s="85"/>
      <c r="H7" s="242">
        <v>66.290000000000006</v>
      </c>
      <c r="I7" s="243">
        <f>H7-$F$7</f>
        <v>0.29000000000000625</v>
      </c>
      <c r="J7" s="243">
        <f>H7/D7</f>
        <v>1.6572500000000001</v>
      </c>
      <c r="K7" s="244" t="str">
        <f>IF(J7&gt;E7," CUMPLE "," NO CUMPLE ")</f>
        <v xml:space="preserve"> CUMPLE </v>
      </c>
      <c r="L7" s="245">
        <v>40</v>
      </c>
      <c r="M7" s="246">
        <v>1</v>
      </c>
      <c r="N7" s="86"/>
      <c r="O7" s="210"/>
      <c r="P7" s="210"/>
      <c r="Q7" s="210"/>
      <c r="R7" s="210"/>
      <c r="S7" s="210"/>
      <c r="T7" s="210"/>
    </row>
    <row r="8" spans="1:20" ht="20.100000000000001" customHeight="1" x14ac:dyDescent="0.25">
      <c r="A8" s="76"/>
      <c r="B8" s="88"/>
      <c r="C8" s="89"/>
      <c r="D8" s="213"/>
      <c r="E8" s="90"/>
      <c r="F8" s="85"/>
      <c r="G8" s="85"/>
      <c r="H8" s="247">
        <v>66</v>
      </c>
      <c r="I8" s="239">
        <f t="shared" ref="I8:I14" si="0">H8-$F$7</f>
        <v>0</v>
      </c>
      <c r="J8" s="239">
        <f>H8/D7</f>
        <v>1.65</v>
      </c>
      <c r="K8" s="240" t="str">
        <f t="shared" ref="K8:K15" si="1">IF(J8&gt;E8," CUMPLE "," NO CUMPLE ")</f>
        <v xml:space="preserve"> CUMPLE </v>
      </c>
      <c r="L8" s="241">
        <v>40</v>
      </c>
      <c r="M8" s="248">
        <v>2</v>
      </c>
      <c r="N8" s="86"/>
      <c r="O8" s="210"/>
      <c r="P8" s="210"/>
      <c r="Q8" s="210"/>
      <c r="R8" s="210"/>
      <c r="S8" s="210"/>
      <c r="T8" s="210"/>
    </row>
    <row r="9" spans="1:20" ht="20.100000000000001" customHeight="1" x14ac:dyDescent="0.25">
      <c r="A9" s="76"/>
      <c r="B9" s="88"/>
      <c r="C9" s="89"/>
      <c r="D9" s="213"/>
      <c r="E9" s="90"/>
      <c r="F9" s="85"/>
      <c r="G9" s="85"/>
      <c r="H9" s="247">
        <v>66.31</v>
      </c>
      <c r="I9" s="239">
        <f t="shared" si="0"/>
        <v>0.31000000000000227</v>
      </c>
      <c r="J9" s="239">
        <f>H9/D7</f>
        <v>1.6577500000000001</v>
      </c>
      <c r="K9" s="240" t="str">
        <f t="shared" si="1"/>
        <v xml:space="preserve"> CUMPLE </v>
      </c>
      <c r="L9" s="241">
        <v>40</v>
      </c>
      <c r="M9" s="248">
        <v>3</v>
      </c>
      <c r="N9" s="86"/>
      <c r="O9" s="210"/>
      <c r="P9" s="210"/>
      <c r="Q9" s="210"/>
      <c r="R9" s="210"/>
      <c r="S9" s="210"/>
      <c r="T9" s="210"/>
    </row>
    <row r="10" spans="1:20" ht="20.100000000000001" customHeight="1" x14ac:dyDescent="0.25">
      <c r="A10" s="76"/>
      <c r="B10" s="88"/>
      <c r="C10" s="89"/>
      <c r="D10" s="213"/>
      <c r="E10" s="90"/>
      <c r="F10" s="85"/>
      <c r="G10" s="85"/>
      <c r="H10" s="247">
        <v>66.290000000000006</v>
      </c>
      <c r="I10" s="239">
        <f t="shared" si="0"/>
        <v>0.29000000000000625</v>
      </c>
      <c r="J10" s="239">
        <f>H10/D7</f>
        <v>1.6572500000000001</v>
      </c>
      <c r="K10" s="240" t="str">
        <f t="shared" si="1"/>
        <v xml:space="preserve"> CUMPLE </v>
      </c>
      <c r="L10" s="241">
        <v>40</v>
      </c>
      <c r="M10" s="248">
        <v>4</v>
      </c>
      <c r="N10" s="86"/>
      <c r="O10" s="210"/>
      <c r="P10" s="210"/>
      <c r="Q10" s="210"/>
      <c r="R10" s="210"/>
      <c r="S10" s="210"/>
      <c r="T10" s="210"/>
    </row>
    <row r="11" spans="1:20" ht="20.100000000000001" customHeight="1" x14ac:dyDescent="0.25">
      <c r="A11" s="76"/>
      <c r="B11" s="88"/>
      <c r="C11" s="89"/>
      <c r="D11" s="213"/>
      <c r="E11" s="90"/>
      <c r="F11" s="85"/>
      <c r="G11" s="85"/>
      <c r="H11" s="247">
        <v>66</v>
      </c>
      <c r="I11" s="239">
        <f t="shared" si="0"/>
        <v>0</v>
      </c>
      <c r="J11" s="239">
        <f>H11/D7</f>
        <v>1.65</v>
      </c>
      <c r="K11" s="240" t="str">
        <f t="shared" si="1"/>
        <v xml:space="preserve"> CUMPLE </v>
      </c>
      <c r="L11" s="241">
        <v>40</v>
      </c>
      <c r="M11" s="248">
        <v>5</v>
      </c>
      <c r="N11" s="86"/>
      <c r="O11" s="210"/>
      <c r="P11" s="210"/>
      <c r="Q11" s="210"/>
      <c r="R11" s="210"/>
      <c r="S11" s="210"/>
      <c r="T11" s="210"/>
    </row>
    <row r="12" spans="1:20" ht="20.100000000000001" customHeight="1" x14ac:dyDescent="0.25">
      <c r="A12" s="76"/>
      <c r="B12" s="88"/>
      <c r="C12" s="89"/>
      <c r="D12" s="213"/>
      <c r="E12" s="90"/>
      <c r="F12" s="85"/>
      <c r="G12" s="85"/>
      <c r="H12" s="247">
        <v>66.31</v>
      </c>
      <c r="I12" s="239">
        <f t="shared" si="0"/>
        <v>0.31000000000000227</v>
      </c>
      <c r="J12" s="239">
        <f>H12/D7</f>
        <v>1.6577500000000001</v>
      </c>
      <c r="K12" s="240" t="str">
        <f t="shared" si="1"/>
        <v xml:space="preserve"> CUMPLE </v>
      </c>
      <c r="L12" s="241">
        <v>40</v>
      </c>
      <c r="M12" s="248">
        <v>6</v>
      </c>
      <c r="N12" s="86"/>
      <c r="O12" s="210"/>
      <c r="P12" s="210"/>
      <c r="Q12" s="210"/>
      <c r="R12" s="210"/>
      <c r="S12" s="210"/>
      <c r="T12" s="210"/>
    </row>
    <row r="13" spans="1:20" ht="20.100000000000001" customHeight="1" x14ac:dyDescent="0.25">
      <c r="A13" s="76"/>
      <c r="B13" s="88"/>
      <c r="C13" s="89"/>
      <c r="D13" s="213"/>
      <c r="E13" s="90"/>
      <c r="F13" s="85"/>
      <c r="G13" s="85"/>
      <c r="H13" s="247">
        <v>66.290000000000006</v>
      </c>
      <c r="I13" s="239">
        <f t="shared" si="0"/>
        <v>0.29000000000000625</v>
      </c>
      <c r="J13" s="239">
        <f>H13/D7</f>
        <v>1.6572500000000001</v>
      </c>
      <c r="K13" s="240" t="str">
        <f t="shared" si="1"/>
        <v xml:space="preserve"> CUMPLE </v>
      </c>
      <c r="L13" s="241">
        <v>40</v>
      </c>
      <c r="M13" s="248">
        <v>7</v>
      </c>
      <c r="N13" s="86"/>
      <c r="O13" s="210"/>
      <c r="P13" s="210"/>
      <c r="Q13" s="210"/>
      <c r="R13" s="210"/>
      <c r="S13" s="210"/>
      <c r="T13" s="210"/>
    </row>
    <row r="14" spans="1:20" ht="20.100000000000001" customHeight="1" x14ac:dyDescent="0.25">
      <c r="A14" s="76"/>
      <c r="B14" s="88"/>
      <c r="C14" s="89"/>
      <c r="D14" s="213"/>
      <c r="E14" s="90"/>
      <c r="F14" s="85"/>
      <c r="G14" s="85"/>
      <c r="H14" s="247">
        <v>66.53</v>
      </c>
      <c r="I14" s="239">
        <f t="shared" si="0"/>
        <v>0.53000000000000114</v>
      </c>
      <c r="J14" s="239">
        <f>H14/D7</f>
        <v>1.6632500000000001</v>
      </c>
      <c r="K14" s="240" t="str">
        <f t="shared" si="1"/>
        <v xml:space="preserve"> CUMPLE </v>
      </c>
      <c r="L14" s="241">
        <v>40</v>
      </c>
      <c r="M14" s="248">
        <v>8</v>
      </c>
      <c r="N14" s="86"/>
      <c r="O14" s="210"/>
      <c r="P14" s="210"/>
      <c r="Q14" s="210"/>
      <c r="R14" s="210"/>
      <c r="S14" s="210"/>
      <c r="T14" s="210"/>
    </row>
    <row r="15" spans="1:20" ht="20.100000000000001" customHeight="1" thickBot="1" x14ac:dyDescent="0.3">
      <c r="A15" s="76"/>
      <c r="B15" s="88"/>
      <c r="C15" s="89"/>
      <c r="D15" s="213"/>
      <c r="E15" s="90"/>
      <c r="F15" s="85"/>
      <c r="G15" s="85"/>
      <c r="H15" s="249">
        <v>66.34</v>
      </c>
      <c r="I15" s="250">
        <f>H15-$F$7</f>
        <v>0.34000000000000341</v>
      </c>
      <c r="J15" s="250">
        <f>H15/D7</f>
        <v>1.6585000000000001</v>
      </c>
      <c r="K15" s="251" t="str">
        <f t="shared" si="1"/>
        <v xml:space="preserve"> CUMPLE </v>
      </c>
      <c r="L15" s="252">
        <v>40</v>
      </c>
      <c r="M15" s="253">
        <v>9</v>
      </c>
      <c r="N15" s="86"/>
      <c r="O15" s="210"/>
      <c r="P15" s="210"/>
      <c r="Q15" s="210"/>
      <c r="R15" s="210"/>
      <c r="S15" s="210"/>
      <c r="T15" s="210"/>
    </row>
    <row r="16" spans="1:20" ht="20.100000000000001" customHeight="1" thickBot="1" x14ac:dyDescent="0.3">
      <c r="A16" s="76"/>
      <c r="B16" s="88"/>
      <c r="C16" s="89"/>
      <c r="D16" s="213"/>
      <c r="E16" s="90"/>
      <c r="F16" s="214" t="s">
        <v>111</v>
      </c>
      <c r="G16" s="85"/>
      <c r="H16" s="235">
        <f>SUM(H7:H15)</f>
        <v>596.36000000000013</v>
      </c>
      <c r="I16" s="235">
        <f>SUM(I7:I15)</f>
        <v>2.3600000000000279</v>
      </c>
      <c r="J16" s="235"/>
      <c r="K16" s="236"/>
      <c r="L16" s="237">
        <f>SUM(L7:L15)</f>
        <v>360</v>
      </c>
      <c r="M16" s="238"/>
      <c r="N16" s="86"/>
      <c r="O16" s="210"/>
      <c r="P16" s="210"/>
      <c r="Q16" s="210"/>
      <c r="R16" s="210"/>
      <c r="S16" s="210"/>
      <c r="T16" s="210"/>
    </row>
    <row r="17" spans="1:20" ht="21" customHeight="1" x14ac:dyDescent="0.25">
      <c r="A17" s="76"/>
      <c r="B17" s="209"/>
      <c r="C17" s="209"/>
      <c r="D17" s="209"/>
      <c r="E17" s="209"/>
      <c r="F17" s="209"/>
      <c r="G17" s="209"/>
      <c r="H17" s="209"/>
      <c r="I17" s="209"/>
      <c r="J17" s="209"/>
      <c r="K17" s="209"/>
      <c r="L17" s="209"/>
      <c r="M17" s="76"/>
      <c r="N17" s="86"/>
      <c r="O17" s="210"/>
      <c r="P17" s="210"/>
      <c r="Q17" s="210"/>
      <c r="R17" s="210"/>
      <c r="S17" s="210"/>
      <c r="T17" s="210"/>
    </row>
    <row r="18" spans="1:20" ht="20.100000000000001" customHeight="1" thickBot="1" x14ac:dyDescent="0.3">
      <c r="B18" s="371" t="s">
        <v>125</v>
      </c>
      <c r="C18" s="371"/>
      <c r="D18" s="371"/>
      <c r="E18" s="371"/>
      <c r="H18" s="372" t="s">
        <v>46</v>
      </c>
      <c r="I18" s="372"/>
      <c r="J18" s="372"/>
      <c r="K18" s="372"/>
      <c r="L18" s="372"/>
      <c r="N18" s="209"/>
      <c r="O18" s="209"/>
      <c r="P18" s="210"/>
      <c r="Q18" s="210"/>
      <c r="R18" s="210"/>
      <c r="S18" s="210"/>
      <c r="T18" s="210"/>
    </row>
    <row r="19" spans="1:20" ht="15.75" customHeight="1" x14ac:dyDescent="0.25">
      <c r="B19" s="357" t="s">
        <v>83</v>
      </c>
      <c r="C19" s="359" t="s">
        <v>47</v>
      </c>
      <c r="D19" s="78" t="s">
        <v>48</v>
      </c>
      <c r="E19" s="361" t="s">
        <v>84</v>
      </c>
      <c r="F19" s="361" t="s">
        <v>49</v>
      </c>
      <c r="G19" s="146"/>
      <c r="H19" s="359" t="s">
        <v>113</v>
      </c>
      <c r="I19" s="359" t="s">
        <v>62</v>
      </c>
      <c r="J19" s="361" t="s">
        <v>51</v>
      </c>
      <c r="K19" s="363" t="s">
        <v>52</v>
      </c>
      <c r="L19" s="364"/>
      <c r="M19" s="378"/>
      <c r="N19" s="379"/>
      <c r="O19" s="209"/>
      <c r="P19" s="210"/>
      <c r="Q19" s="210"/>
      <c r="R19" s="210"/>
      <c r="S19" s="210"/>
      <c r="T19" s="210"/>
    </row>
    <row r="20" spans="1:20" ht="15" customHeight="1" thickBot="1" x14ac:dyDescent="0.3">
      <c r="B20" s="358"/>
      <c r="C20" s="360"/>
      <c r="D20" s="143">
        <v>0.1</v>
      </c>
      <c r="E20" s="362"/>
      <c r="F20" s="362"/>
      <c r="G20" s="146"/>
      <c r="H20" s="360"/>
      <c r="I20" s="360"/>
      <c r="J20" s="362"/>
      <c r="K20" s="365"/>
      <c r="L20" s="366"/>
      <c r="M20" s="378"/>
      <c r="N20" s="379"/>
      <c r="O20" s="209"/>
      <c r="P20" s="210"/>
      <c r="Q20" s="210"/>
      <c r="R20" s="210"/>
      <c r="S20" s="210"/>
      <c r="T20" s="210"/>
    </row>
    <row r="21" spans="1:20" ht="21" customHeight="1" thickBot="1" x14ac:dyDescent="0.3">
      <c r="B21" s="80" t="s">
        <v>71</v>
      </c>
      <c r="C21" s="81">
        <f>+MATRICULA!L25</f>
        <v>480</v>
      </c>
      <c r="D21" s="82">
        <f>C21*D20</f>
        <v>48</v>
      </c>
      <c r="E21" s="83">
        <v>2.4</v>
      </c>
      <c r="F21" s="84">
        <f>IF(D21&lt;=40,40*E21,IF(D21&gt;40,D21*E21))</f>
        <v>115.19999999999999</v>
      </c>
      <c r="G21" s="85"/>
      <c r="H21" s="84">
        <v>114.29</v>
      </c>
      <c r="I21" s="84">
        <f>H21-F21</f>
        <v>-0.90999999999998238</v>
      </c>
      <c r="J21" s="84">
        <f>IF(D21&lt;40,H21/40,IF(D21&gt;40,H21/D21))</f>
        <v>2.3810416666666669</v>
      </c>
      <c r="K21" s="367" t="str">
        <f>IF(J21&gt;E21," CUMPLE "," NO CUMPLE ")</f>
        <v xml:space="preserve"> NO CUMPLE </v>
      </c>
      <c r="L21" s="368"/>
      <c r="M21" s="378"/>
      <c r="N21" s="379"/>
      <c r="O21" s="209"/>
      <c r="P21" s="210"/>
      <c r="Q21" s="210"/>
      <c r="R21" s="210"/>
      <c r="S21" s="210"/>
      <c r="T21" s="210"/>
    </row>
    <row r="22" spans="1:20" ht="20.100000000000001" customHeight="1" x14ac:dyDescent="0.25">
      <c r="B22" s="209"/>
      <c r="C22" s="89"/>
      <c r="D22" s="254"/>
      <c r="E22" s="90"/>
      <c r="F22" s="85"/>
      <c r="G22" s="85"/>
      <c r="H22" s="85"/>
      <c r="I22" s="85"/>
      <c r="J22" s="85"/>
      <c r="K22" s="255"/>
      <c r="L22" s="255"/>
      <c r="M22" s="256"/>
      <c r="N22" s="256"/>
      <c r="O22" s="209"/>
      <c r="P22" s="210"/>
      <c r="Q22" s="210"/>
      <c r="R22" s="210"/>
      <c r="S22" s="210"/>
      <c r="T22" s="210"/>
    </row>
    <row r="23" spans="1:20" ht="15.75" customHeight="1" thickBot="1" x14ac:dyDescent="0.3">
      <c r="B23" s="371" t="s">
        <v>125</v>
      </c>
      <c r="C23" s="371"/>
      <c r="D23" s="371"/>
      <c r="E23" s="371"/>
      <c r="H23" s="372" t="s">
        <v>46</v>
      </c>
      <c r="I23" s="372"/>
      <c r="J23" s="372"/>
      <c r="K23" s="372"/>
      <c r="L23" s="372"/>
      <c r="N23" s="209"/>
      <c r="O23" s="209"/>
      <c r="P23" s="210"/>
      <c r="Q23" s="210"/>
      <c r="R23" s="210"/>
      <c r="S23" s="210"/>
      <c r="T23" s="210"/>
    </row>
    <row r="24" spans="1:20" x14ac:dyDescent="0.25">
      <c r="B24" s="357" t="s">
        <v>115</v>
      </c>
      <c r="C24" s="359" t="s">
        <v>47</v>
      </c>
      <c r="D24" s="78" t="s">
        <v>117</v>
      </c>
      <c r="E24" s="361" t="s">
        <v>84</v>
      </c>
      <c r="F24" s="361" t="s">
        <v>49</v>
      </c>
      <c r="G24" s="146"/>
      <c r="H24" s="359" t="s">
        <v>113</v>
      </c>
      <c r="I24" s="359" t="s">
        <v>62</v>
      </c>
      <c r="J24" s="361" t="s">
        <v>51</v>
      </c>
      <c r="K24" s="363" t="s">
        <v>52</v>
      </c>
      <c r="L24" s="364"/>
      <c r="N24" s="209"/>
      <c r="O24" s="209"/>
      <c r="P24" s="210"/>
      <c r="Q24" s="210"/>
      <c r="R24" s="210"/>
      <c r="S24" s="210"/>
      <c r="T24" s="210"/>
    </row>
    <row r="25" spans="1:20" ht="15.75" thickBot="1" x14ac:dyDescent="0.3">
      <c r="B25" s="358"/>
      <c r="C25" s="360"/>
      <c r="D25" s="219"/>
      <c r="E25" s="362"/>
      <c r="F25" s="362"/>
      <c r="G25" s="146"/>
      <c r="H25" s="360"/>
      <c r="I25" s="360"/>
      <c r="J25" s="362"/>
      <c r="K25" s="365"/>
      <c r="L25" s="366"/>
      <c r="N25" s="209"/>
      <c r="O25" s="209"/>
      <c r="P25" s="210"/>
      <c r="Q25" s="210"/>
      <c r="R25" s="210"/>
      <c r="S25" s="210"/>
      <c r="T25" s="210"/>
    </row>
    <row r="26" spans="1:20" ht="32.25" customHeight="1" thickBot="1" x14ac:dyDescent="0.3">
      <c r="A26" s="218"/>
      <c r="B26" s="80" t="s">
        <v>116</v>
      </c>
      <c r="C26" s="81">
        <f>+MATRICULA!L25</f>
        <v>480</v>
      </c>
      <c r="D26" s="82">
        <v>40</v>
      </c>
      <c r="E26" s="83">
        <v>2.2000000000000002</v>
      </c>
      <c r="F26" s="84">
        <f>+E26*D26</f>
        <v>88</v>
      </c>
      <c r="G26" s="85"/>
      <c r="H26" s="84">
        <v>90.28</v>
      </c>
      <c r="I26" s="84">
        <f>H26-F26</f>
        <v>2.2800000000000011</v>
      </c>
      <c r="J26" s="84">
        <f>+H26/D26</f>
        <v>2.2570000000000001</v>
      </c>
      <c r="K26" s="367" t="str">
        <f>IF(J26&gt;E26," CUMPLE "," NO CUMPLE ")</f>
        <v xml:space="preserve"> CUMPLE </v>
      </c>
      <c r="L26" s="368"/>
      <c r="M26" s="209"/>
      <c r="N26" s="209"/>
      <c r="O26" s="209"/>
      <c r="P26" s="210"/>
      <c r="Q26" s="210"/>
      <c r="R26" s="210"/>
      <c r="S26" s="210"/>
      <c r="T26" s="210"/>
    </row>
    <row r="27" spans="1:20" ht="20.100000000000001" customHeight="1" x14ac:dyDescent="0.25">
      <c r="A27" s="218"/>
      <c r="B27" s="209"/>
      <c r="C27" s="89"/>
      <c r="D27" s="254"/>
      <c r="E27" s="90"/>
      <c r="F27" s="85"/>
      <c r="G27" s="85"/>
      <c r="H27" s="85"/>
      <c r="I27" s="85"/>
      <c r="J27" s="85"/>
      <c r="K27" s="255"/>
      <c r="L27" s="255"/>
      <c r="M27" s="209"/>
      <c r="N27" s="209"/>
      <c r="O27" s="209"/>
      <c r="P27" s="210"/>
      <c r="Q27" s="210"/>
      <c r="R27" s="210"/>
      <c r="S27" s="210"/>
      <c r="T27" s="210"/>
    </row>
    <row r="28" spans="1:20" ht="15.75" thickBot="1" x14ac:dyDescent="0.3">
      <c r="A28" s="218"/>
      <c r="B28" s="371" t="s">
        <v>125</v>
      </c>
      <c r="C28" s="371"/>
      <c r="D28" s="371"/>
      <c r="E28" s="371"/>
      <c r="F28" s="209"/>
      <c r="G28" s="209"/>
      <c r="H28" s="372" t="s">
        <v>46</v>
      </c>
      <c r="I28" s="372"/>
      <c r="J28" s="372"/>
      <c r="K28" s="372"/>
      <c r="L28" s="372"/>
      <c r="M28" s="209"/>
      <c r="N28" s="209"/>
      <c r="O28" s="209"/>
      <c r="P28" s="210"/>
      <c r="Q28" s="210"/>
      <c r="R28" s="210"/>
      <c r="S28" s="210"/>
      <c r="T28" s="210"/>
    </row>
    <row r="29" spans="1:20" ht="15" customHeight="1" x14ac:dyDescent="0.25">
      <c r="A29" s="218"/>
      <c r="B29" s="357" t="s">
        <v>118</v>
      </c>
      <c r="C29" s="369" t="s">
        <v>119</v>
      </c>
      <c r="D29" s="359" t="s">
        <v>84</v>
      </c>
      <c r="E29" s="361" t="s">
        <v>49</v>
      </c>
      <c r="G29" s="146"/>
      <c r="H29" s="359" t="s">
        <v>113</v>
      </c>
      <c r="I29" s="359" t="s">
        <v>62</v>
      </c>
      <c r="J29" s="361" t="s">
        <v>51</v>
      </c>
      <c r="K29" s="363" t="s">
        <v>52</v>
      </c>
      <c r="L29" s="364"/>
      <c r="M29" s="209"/>
      <c r="N29" s="209"/>
      <c r="O29" s="209"/>
      <c r="P29" s="210"/>
      <c r="Q29" s="210"/>
      <c r="R29" s="210"/>
      <c r="S29" s="210"/>
      <c r="T29" s="210"/>
    </row>
    <row r="30" spans="1:20" ht="15.75" thickBot="1" x14ac:dyDescent="0.3">
      <c r="A30" s="218"/>
      <c r="B30" s="358"/>
      <c r="C30" s="370"/>
      <c r="D30" s="360"/>
      <c r="E30" s="362"/>
      <c r="G30" s="146"/>
      <c r="H30" s="360"/>
      <c r="I30" s="360"/>
      <c r="J30" s="362"/>
      <c r="K30" s="365"/>
      <c r="L30" s="366"/>
      <c r="M30" s="209"/>
      <c r="N30" s="209"/>
      <c r="O30" s="209"/>
      <c r="P30" s="210"/>
      <c r="Q30" s="210"/>
      <c r="R30" s="210"/>
      <c r="S30" s="210"/>
      <c r="T30" s="210"/>
    </row>
    <row r="31" spans="1:20" ht="15.75" thickBot="1" x14ac:dyDescent="0.3">
      <c r="A31" s="218"/>
      <c r="B31" s="80" t="s">
        <v>73</v>
      </c>
      <c r="C31" s="220">
        <f>+MATRICULA!L25</f>
        <v>480</v>
      </c>
      <c r="D31" s="221">
        <v>0.26</v>
      </c>
      <c r="E31" s="84">
        <f>+D31*C31</f>
        <v>124.80000000000001</v>
      </c>
      <c r="G31" s="85"/>
      <c r="H31" s="84">
        <v>44.02</v>
      </c>
      <c r="I31" s="84">
        <f>H31-E31</f>
        <v>-80.78</v>
      </c>
      <c r="J31" s="84">
        <f>+H31/C31</f>
        <v>9.1708333333333336E-2</v>
      </c>
      <c r="K31" s="367" t="str">
        <f>IF(J31&gt;D31," CUMPLE "," NO CUMPLE ")</f>
        <v xml:space="preserve"> NO CUMPLE </v>
      </c>
      <c r="L31" s="368"/>
      <c r="M31" s="209"/>
      <c r="N31" s="209"/>
      <c r="O31" s="209"/>
      <c r="P31" s="210"/>
      <c r="Q31" s="210"/>
      <c r="R31" s="210"/>
      <c r="S31" s="210"/>
      <c r="T31" s="210"/>
    </row>
    <row r="32" spans="1:20" ht="75.75" customHeight="1" thickBot="1" x14ac:dyDescent="0.3">
      <c r="A32" s="218"/>
      <c r="B32" s="218"/>
      <c r="C32" s="209"/>
      <c r="D32" s="209"/>
      <c r="E32" s="209"/>
      <c r="F32" s="209"/>
      <c r="G32" s="209"/>
      <c r="H32" s="375" t="s">
        <v>133</v>
      </c>
      <c r="I32" s="376"/>
      <c r="J32" s="376"/>
      <c r="K32" s="376"/>
      <c r="L32" s="377"/>
      <c r="M32" s="209"/>
      <c r="N32" s="209"/>
      <c r="O32" s="209"/>
      <c r="P32" s="210"/>
      <c r="Q32" s="210"/>
      <c r="R32" s="210"/>
      <c r="S32" s="210"/>
      <c r="T32" s="210"/>
    </row>
    <row r="33" spans="1:12" x14ac:dyDescent="0.25">
      <c r="A33" s="76"/>
      <c r="B33" s="88"/>
      <c r="C33" s="89"/>
      <c r="D33" s="213"/>
      <c r="E33" s="90"/>
      <c r="F33" s="85"/>
      <c r="G33" s="85"/>
      <c r="H33" s="85"/>
      <c r="I33" s="85"/>
      <c r="J33" s="85"/>
      <c r="K33" s="255"/>
      <c r="L33" s="255"/>
    </row>
    <row r="34" spans="1:12" ht="15.75" customHeight="1" thickBot="1" x14ac:dyDescent="0.3">
      <c r="A34" s="76"/>
      <c r="B34" s="371" t="s">
        <v>45</v>
      </c>
      <c r="C34" s="371"/>
      <c r="D34" s="371"/>
      <c r="E34" s="371"/>
      <c r="F34" s="87"/>
      <c r="G34" s="77"/>
      <c r="H34" s="372" t="s">
        <v>46</v>
      </c>
      <c r="I34" s="372"/>
      <c r="J34" s="372"/>
      <c r="K34" s="372"/>
      <c r="L34" s="372"/>
    </row>
    <row r="35" spans="1:12" ht="15" customHeight="1" x14ac:dyDescent="0.25">
      <c r="A35" s="76"/>
      <c r="B35" s="357" t="s">
        <v>126</v>
      </c>
      <c r="C35" s="359" t="s">
        <v>127</v>
      </c>
      <c r="D35" s="361" t="s">
        <v>51</v>
      </c>
      <c r="E35" s="257" t="s">
        <v>128</v>
      </c>
      <c r="F35" s="361" t="s">
        <v>49</v>
      </c>
      <c r="G35" s="146"/>
      <c r="H35" s="359" t="s">
        <v>50</v>
      </c>
      <c r="I35" s="359" t="s">
        <v>62</v>
      </c>
      <c r="J35" s="361" t="s">
        <v>129</v>
      </c>
      <c r="K35" s="363" t="s">
        <v>52</v>
      </c>
      <c r="L35" s="364"/>
    </row>
    <row r="36" spans="1:12" ht="15.75" thickBot="1" x14ac:dyDescent="0.3">
      <c r="A36" s="76"/>
      <c r="B36" s="358"/>
      <c r="C36" s="360"/>
      <c r="D36" s="362"/>
      <c r="E36" s="258">
        <f>+M16*40</f>
        <v>0</v>
      </c>
      <c r="F36" s="362"/>
      <c r="G36" s="146"/>
      <c r="H36" s="360"/>
      <c r="I36" s="360"/>
      <c r="J36" s="362"/>
      <c r="K36" s="365"/>
      <c r="L36" s="366"/>
    </row>
    <row r="37" spans="1:12" ht="15.75" thickBot="1" x14ac:dyDescent="0.3">
      <c r="A37" s="76"/>
      <c r="B37" s="80" t="s">
        <v>130</v>
      </c>
      <c r="C37" s="212">
        <v>25</v>
      </c>
      <c r="D37" s="83">
        <v>3.6</v>
      </c>
      <c r="E37" s="84">
        <f>E36/C37</f>
        <v>0</v>
      </c>
      <c r="F37" s="84">
        <f>D37*E37</f>
        <v>0</v>
      </c>
      <c r="G37" s="85"/>
      <c r="H37" s="84">
        <v>73.010000000000005</v>
      </c>
      <c r="I37" s="84">
        <f>H37-F37</f>
        <v>73.010000000000005</v>
      </c>
      <c r="J37" s="84">
        <v>15</v>
      </c>
      <c r="K37" s="367" t="str">
        <f>IF(J37&gt;E37," CUMPLE "," NO CUMPLE ")</f>
        <v xml:space="preserve"> CUMPLE </v>
      </c>
      <c r="L37" s="368"/>
    </row>
    <row r="38" spans="1:12" x14ac:dyDescent="0.25">
      <c r="A38" s="76"/>
      <c r="B38" s="76"/>
      <c r="C38" s="76"/>
      <c r="D38" s="76"/>
      <c r="E38" s="76"/>
      <c r="F38" s="76"/>
      <c r="G38" s="259"/>
      <c r="H38" s="76"/>
      <c r="I38" s="76"/>
      <c r="J38" s="76"/>
      <c r="K38" s="76"/>
      <c r="L38" s="76"/>
    </row>
    <row r="53" spans="8:12" ht="15.75" thickBot="1" x14ac:dyDescent="0.3"/>
    <row r="54" spans="8:12" x14ac:dyDescent="0.25">
      <c r="H54" s="348" t="s">
        <v>112</v>
      </c>
      <c r="I54" s="349"/>
      <c r="J54" s="349"/>
      <c r="K54" s="349"/>
      <c r="L54" s="350"/>
    </row>
    <row r="55" spans="8:12" x14ac:dyDescent="0.25">
      <c r="H55" s="351"/>
      <c r="I55" s="352"/>
      <c r="J55" s="352"/>
      <c r="K55" s="352"/>
      <c r="L55" s="353"/>
    </row>
    <row r="56" spans="8:12" x14ac:dyDescent="0.25">
      <c r="H56" s="351"/>
      <c r="I56" s="352"/>
      <c r="J56" s="352"/>
      <c r="K56" s="352"/>
      <c r="L56" s="353"/>
    </row>
    <row r="57" spans="8:12" x14ac:dyDescent="0.25">
      <c r="H57" s="351"/>
      <c r="I57" s="352"/>
      <c r="J57" s="352"/>
      <c r="K57" s="352"/>
      <c r="L57" s="353"/>
    </row>
    <row r="58" spans="8:12" x14ac:dyDescent="0.25">
      <c r="H58" s="351"/>
      <c r="I58" s="352"/>
      <c r="J58" s="352"/>
      <c r="K58" s="352"/>
      <c r="L58" s="353"/>
    </row>
    <row r="59" spans="8:12" ht="15.75" thickBot="1" x14ac:dyDescent="0.3">
      <c r="H59" s="354"/>
      <c r="I59" s="355"/>
      <c r="J59" s="355"/>
      <c r="K59" s="355"/>
      <c r="L59" s="356"/>
    </row>
  </sheetData>
  <mergeCells count="62">
    <mergeCell ref="B34:E34"/>
    <mergeCell ref="H34:L34"/>
    <mergeCell ref="B35:B36"/>
    <mergeCell ref="F35:F36"/>
    <mergeCell ref="H35:H36"/>
    <mergeCell ref="K35:L36"/>
    <mergeCell ref="K37:L37"/>
    <mergeCell ref="C35:C36"/>
    <mergeCell ref="D35:D36"/>
    <mergeCell ref="I35:I36"/>
    <mergeCell ref="J35:J36"/>
    <mergeCell ref="M19:N21"/>
    <mergeCell ref="H18:L18"/>
    <mergeCell ref="H28:L28"/>
    <mergeCell ref="K26:L26"/>
    <mergeCell ref="J29:J30"/>
    <mergeCell ref="K29:L30"/>
    <mergeCell ref="K31:L31"/>
    <mergeCell ref="H29:H30"/>
    <mergeCell ref="I29:I30"/>
    <mergeCell ref="H32:L32"/>
    <mergeCell ref="D29:D30"/>
    <mergeCell ref="B2:M2"/>
    <mergeCell ref="B3:M3"/>
    <mergeCell ref="B4:E4"/>
    <mergeCell ref="H4:M4"/>
    <mergeCell ref="B5:B6"/>
    <mergeCell ref="C5:C6"/>
    <mergeCell ref="D5:D6"/>
    <mergeCell ref="E5:E6"/>
    <mergeCell ref="F5:F6"/>
    <mergeCell ref="H5:H6"/>
    <mergeCell ref="I5:I6"/>
    <mergeCell ref="J5:J6"/>
    <mergeCell ref="K5:K6"/>
    <mergeCell ref="L5:L6"/>
    <mergeCell ref="M5:M6"/>
    <mergeCell ref="B18:E18"/>
    <mergeCell ref="B23:E23"/>
    <mergeCell ref="B28:E28"/>
    <mergeCell ref="H23:L23"/>
    <mergeCell ref="F24:F25"/>
    <mergeCell ref="H24:H25"/>
    <mergeCell ref="I24:I25"/>
    <mergeCell ref="J24:J25"/>
    <mergeCell ref="K24:L25"/>
    <mergeCell ref="H54:L59"/>
    <mergeCell ref="B19:B20"/>
    <mergeCell ref="C19:C20"/>
    <mergeCell ref="E19:E20"/>
    <mergeCell ref="F19:F20"/>
    <mergeCell ref="H19:H20"/>
    <mergeCell ref="I19:I20"/>
    <mergeCell ref="J19:J20"/>
    <mergeCell ref="K19:L20"/>
    <mergeCell ref="K21:L21"/>
    <mergeCell ref="B24:B25"/>
    <mergeCell ref="C24:C25"/>
    <mergeCell ref="E24:E25"/>
    <mergeCell ref="B29:B30"/>
    <mergeCell ref="C29:C30"/>
    <mergeCell ref="E29:E30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CTAdjuntosxConvocatorias" ma:contentTypeID="0x010100FD2269DDA8524259BE0ACF0698016AD100B2A99044246E6D44BE06593B9D76AF71" ma:contentTypeVersion="1" ma:contentTypeDescription="" ma:contentTypeScope="" ma:versionID="6f7bb8e87f99ebd944933420c1a40c88">
  <xsd:schema xmlns:xsd="http://www.w3.org/2001/XMLSchema" xmlns:xs="http://www.w3.org/2001/XMLSchema" xmlns:p="http://schemas.microsoft.com/office/2006/metadata/properties" xmlns:ns2="C873A128-3956-43CC-8E9F-116C3547FB51" xmlns:ns3="c873a128-3956-43cc-8e9f-116c3547fb51" targetNamespace="http://schemas.microsoft.com/office/2006/metadata/properties" ma:root="true" ma:fieldsID="e6e370b193a50d33b0a01fe716ede0b6" ns2:_="" ns3:_="">
    <xsd:import namespace="C873A128-3956-43CC-8E9F-116C3547FB51"/>
    <xsd:import namespace="c873a128-3956-43cc-8e9f-116c3547fb51"/>
    <xsd:element name="properties">
      <xsd:complexType>
        <xsd:sequence>
          <xsd:element name="documentManagement">
            <xsd:complexType>
              <xsd:all>
                <xsd:element ref="ns2:FINDETERDescripcion" minOccurs="0"/>
                <xsd:element ref="ns2:FINDETERPublicar" minOccurs="0"/>
                <xsd:element ref="ns2:FINDETERConvocatoria" minOccurs="0"/>
                <xsd:element ref="ns3:g7y3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73A128-3956-43CC-8E9F-116C3547FB51" elementFormDefault="qualified">
    <xsd:import namespace="http://schemas.microsoft.com/office/2006/documentManagement/types"/>
    <xsd:import namespace="http://schemas.microsoft.com/office/infopath/2007/PartnerControls"/>
    <xsd:element name="FINDETERDescripcion" ma:index="8" nillable="true" ma:displayName="Descripción" ma:internalName="FINDETERDescripcion">
      <xsd:simpleType>
        <xsd:restriction base="dms:Note">
          <xsd:maxLength value="255"/>
        </xsd:restriction>
      </xsd:simpleType>
    </xsd:element>
    <xsd:element name="FINDETERPublicar" ma:index="9" nillable="true" ma:displayName="Publicar" ma:internalName="FINDETERPublicar">
      <xsd:simpleType>
        <xsd:restriction base="dms:Boolean"/>
      </xsd:simpleType>
    </xsd:element>
    <xsd:element name="FINDETERConvocatoria" ma:index="10" nillable="true" ma:displayName="Convocatoria" ma:list="{6022C523-7C13-4705-B06B-AFF60BED9569}" ma:internalName="FINDETERConvocatoria" ma:showField="Title">
      <xsd:simpleType>
        <xsd:restriction base="dms:Lookup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73a128-3956-43cc-8e9f-116c3547fb51" elementFormDefault="qualified">
    <xsd:import namespace="http://schemas.microsoft.com/office/2006/documentManagement/types"/>
    <xsd:import namespace="http://schemas.microsoft.com/office/infopath/2007/PartnerControls"/>
    <xsd:element name="g7y3" ma:index="11" nillable="true" ma:displayName="Text" ma:indexed="true" ma:internalName="g7y3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INDETERDescripcion xmlns="C873A128-3956-43CC-8E9F-116C3547FB51" xsi:nil="true"/>
    <FINDETERConvocatoria xmlns="C873A128-3956-43CC-8E9F-116C3547FB51">11</FINDETERConvocatoria>
    <FINDETERPublicar xmlns="C873A128-3956-43CC-8E9F-116C3547FB51">true</FINDETERPublicar>
    <g7y3 xmlns="c873a128-3956-43cc-8e9f-116c3547fb51" xsi:nil="true"/>
  </documentManagement>
</p:properties>
</file>

<file path=customXml/itemProps1.xml><?xml version="1.0" encoding="utf-8"?>
<ds:datastoreItem xmlns:ds="http://schemas.openxmlformats.org/officeDocument/2006/customXml" ds:itemID="{B1778940-D94D-4258-AB86-3EE5CE0F94C0}"/>
</file>

<file path=customXml/itemProps2.xml><?xml version="1.0" encoding="utf-8"?>
<ds:datastoreItem xmlns:ds="http://schemas.openxmlformats.org/officeDocument/2006/customXml" ds:itemID="{3D5AADA1-D636-4F49-B8D3-A9757378E464}"/>
</file>

<file path=customXml/itemProps3.xml><?xml version="1.0" encoding="utf-8"?>
<ds:datastoreItem xmlns:ds="http://schemas.openxmlformats.org/officeDocument/2006/customXml" ds:itemID="{675A65B8-2F53-4207-A0BB-F67B84AB59C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ÁREAS CONTRATADAS-PROYECTADAS</vt:lpstr>
      <vt:lpstr>LOTE vs MATRICULA</vt:lpstr>
      <vt:lpstr>MATRICULA</vt:lpstr>
      <vt:lpstr>PRE-EXISTENCIAS</vt:lpstr>
      <vt:lpstr>DIAGNOSTICO ÁREAS</vt:lpstr>
      <vt:lpstr>'ÁREAS CONTRATADAS-PROYECTADAS'!Área_de_impresión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I.E SANTA TERESITA ARQUITECTURA DOCUMENTOS P-70-F-AREAS CONTRACTUALES-PROYECTADAS</dc:title>
  <dc:creator>USUARIO</dc:creator>
  <cp:lastModifiedBy>User</cp:lastModifiedBy>
  <cp:lastPrinted>2016-07-27T14:24:39Z</cp:lastPrinted>
  <dcterms:created xsi:type="dcterms:W3CDTF">2016-06-21T15:12:06Z</dcterms:created>
  <dcterms:modified xsi:type="dcterms:W3CDTF">2017-02-23T00:08:41Z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0x010100FD2269DDA8524259BE0ACF0698016AD100B2A99044246E6D44BE06593B9D76AF71</vt:lpwstr>
  </property>
</Properties>
</file>