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215" windowWidth="18915" windowHeight="10680" tabRatio="770"/>
  </bookViews>
  <sheets>
    <sheet name="RESUMEN MIN-HACIENDA" sheetId="415" r:id="rId1"/>
    <sheet name="Hoja1" sheetId="416" r:id="rId2"/>
    <sheet name="SISTEMAS PARA VENTOSAS (2)" sheetId="417" r:id="rId3"/>
    <sheet name="SISTEMAS PARA PURGAS (2)" sheetId="418" r:id="rId4"/>
    <sheet name="ITEMS" sheetId="24" r:id="rId5"/>
    <sheet name="SALARIOS" sheetId="22" r:id="rId6"/>
    <sheet name="EQUIPOS " sheetId="38" r:id="rId7"/>
    <sheet name="MATERIALES" sheetId="31" r:id="rId8"/>
    <sheet name="Memorias" sheetId="13" r:id="rId9"/>
    <sheet name="1,1" sheetId="35" r:id="rId10"/>
    <sheet name="1,2" sheetId="36" r:id="rId11"/>
    <sheet name="1,3" sheetId="37" r:id="rId12"/>
    <sheet name="1,4" sheetId="405" r:id="rId13"/>
    <sheet name="1,5" sheetId="406" r:id="rId14"/>
    <sheet name="1,6" sheetId="40" r:id="rId15"/>
    <sheet name="1,7" sheetId="41" r:id="rId16"/>
    <sheet name="1,8" sheetId="47" r:id="rId17"/>
    <sheet name="1,9" sheetId="48" r:id="rId18"/>
    <sheet name="1,10" sheetId="44" r:id="rId19"/>
    <sheet name="1,11" sheetId="45" r:id="rId20"/>
    <sheet name="1,12" sheetId="46" r:id="rId21"/>
    <sheet name="1,13" sheetId="49" r:id="rId22"/>
    <sheet name="1,14" sheetId="50" r:id="rId23"/>
    <sheet name="2,1" sheetId="51" r:id="rId24"/>
    <sheet name="2,2" sheetId="52" r:id="rId25"/>
    <sheet name="2,3" sheetId="53" r:id="rId26"/>
    <sheet name="2,4" sheetId="54" r:id="rId27"/>
    <sheet name="2,5" sheetId="55" r:id="rId28"/>
    <sheet name="2,6" sheetId="56" r:id="rId29"/>
    <sheet name="3,1" sheetId="57" r:id="rId30"/>
    <sheet name="3,2" sheetId="58" r:id="rId31"/>
    <sheet name="3,3" sheetId="59" r:id="rId32"/>
    <sheet name="3,4" sheetId="60" r:id="rId33"/>
    <sheet name="3,5" sheetId="62" r:id="rId34"/>
    <sheet name="3,6" sheetId="63" r:id="rId35"/>
    <sheet name="3,7" sheetId="64" r:id="rId36"/>
    <sheet name="3,8" sheetId="65" r:id="rId37"/>
    <sheet name="3,9" sheetId="66" r:id="rId38"/>
    <sheet name="3,10" sheetId="67" r:id="rId39"/>
    <sheet name="3,11" sheetId="68" r:id="rId40"/>
    <sheet name="3,12" sheetId="69" r:id="rId41"/>
    <sheet name="3,13" sheetId="70" r:id="rId42"/>
    <sheet name="3,14" sheetId="71" r:id="rId43"/>
    <sheet name="3,15" sheetId="72" r:id="rId44"/>
    <sheet name="3,16" sheetId="73" r:id="rId45"/>
    <sheet name="3,17" sheetId="74" r:id="rId46"/>
    <sheet name="4,1" sheetId="75" r:id="rId47"/>
    <sheet name="4,2" sheetId="76" r:id="rId48"/>
    <sheet name="4,3" sheetId="77" r:id="rId49"/>
    <sheet name="4,4" sheetId="78" r:id="rId50"/>
    <sheet name="4,5" sheetId="79" r:id="rId51"/>
    <sheet name="4,6" sheetId="80" r:id="rId52"/>
    <sheet name="4,7" sheetId="81" r:id="rId53"/>
    <sheet name="4,8" sheetId="82" r:id="rId54"/>
    <sheet name="4,9" sheetId="83" r:id="rId55"/>
    <sheet name="4,10" sheetId="84" r:id="rId56"/>
    <sheet name="4,11" sheetId="85" r:id="rId57"/>
    <sheet name="4,12" sheetId="86" r:id="rId58"/>
    <sheet name="5,1" sheetId="87" r:id="rId59"/>
    <sheet name="5,2" sheetId="403" r:id="rId60"/>
    <sheet name="5,3" sheetId="88" r:id="rId61"/>
    <sheet name="5,4" sheetId="89" r:id="rId62"/>
    <sheet name="5,5" sheetId="404" r:id="rId63"/>
    <sheet name="5,6" sheetId="92" r:id="rId64"/>
    <sheet name="5,7" sheetId="94" r:id="rId65"/>
    <sheet name="5,8" sheetId="95" r:id="rId66"/>
    <sheet name="5,9" sheetId="401" r:id="rId67"/>
    <sheet name="5,10" sheetId="96" r:id="rId68"/>
    <sheet name="5,11" sheetId="402" r:id="rId69"/>
    <sheet name="5,12" sheetId="97" r:id="rId70"/>
    <sheet name="5,13" sheetId="98" r:id="rId71"/>
    <sheet name="5,14" sheetId="99" r:id="rId72"/>
    <sheet name="5,15" sheetId="398" r:id="rId73"/>
    <sheet name="5,16" sheetId="397" r:id="rId74"/>
    <sheet name="6,1" sheetId="100" r:id="rId75"/>
    <sheet name="6,2" sheetId="101" r:id="rId76"/>
    <sheet name="6,3" sheetId="102" r:id="rId77"/>
    <sheet name="6,4" sheetId="103" r:id="rId78"/>
    <sheet name="6,5" sheetId="104" r:id="rId79"/>
    <sheet name="6,6" sheetId="105" r:id="rId80"/>
    <sheet name="6,7" sheetId="106" r:id="rId81"/>
    <sheet name="6,8" sheetId="107" r:id="rId82"/>
    <sheet name="6,9" sheetId="108" r:id="rId83"/>
    <sheet name="6,10" sheetId="109" r:id="rId84"/>
    <sheet name="6,11" sheetId="110" r:id="rId85"/>
    <sheet name="6,12" sheetId="111" r:id="rId86"/>
    <sheet name="6,13" sheetId="112" r:id="rId87"/>
    <sheet name="6,14" sheetId="113" r:id="rId88"/>
    <sheet name="6,15" sheetId="114" r:id="rId89"/>
    <sheet name="6,16" sheetId="115" r:id="rId90"/>
    <sheet name="6,17" sheetId="116" r:id="rId91"/>
    <sheet name="6,18" sheetId="117" r:id="rId92"/>
    <sheet name="6,19" sheetId="118" r:id="rId93"/>
    <sheet name="6,20" sheetId="119" r:id="rId94"/>
    <sheet name="6,21" sheetId="120" r:id="rId95"/>
    <sheet name="6,22" sheetId="121" r:id="rId96"/>
    <sheet name="6,23" sheetId="122" r:id="rId97"/>
    <sheet name="7,1" sheetId="123" r:id="rId98"/>
    <sheet name="7,2" sheetId="124" r:id="rId99"/>
    <sheet name="7,3" sheetId="125" r:id="rId100"/>
    <sheet name="8,1,1" sheetId="126" r:id="rId101"/>
    <sheet name="8,1,2" sheetId="127" r:id="rId102"/>
    <sheet name="8,1,3" sheetId="128" r:id="rId103"/>
    <sheet name="8,1,4" sheetId="129" r:id="rId104"/>
    <sheet name="8,1,5" sheetId="130" r:id="rId105"/>
    <sheet name="8,1,6" sheetId="131" r:id="rId106"/>
    <sheet name="8,1,7" sheetId="132" r:id="rId107"/>
    <sheet name="8,1,8" sheetId="133" r:id="rId108"/>
    <sheet name="8,1,9" sheetId="134" r:id="rId109"/>
    <sheet name="8,2,1" sheetId="135" r:id="rId110"/>
    <sheet name="8,2,2" sheetId="136" r:id="rId111"/>
    <sheet name="8,2,3" sheetId="137" r:id="rId112"/>
    <sheet name="8,2,4" sheetId="138" r:id="rId113"/>
    <sheet name="8,2,5" sheetId="139" r:id="rId114"/>
    <sheet name="8,2,6" sheetId="140" r:id="rId115"/>
    <sheet name="8,2,7" sheetId="141" r:id="rId116"/>
    <sheet name="8,2,8" sheetId="142" r:id="rId117"/>
    <sheet name="8,2,9" sheetId="143" r:id="rId118"/>
    <sheet name="9,1,1" sheetId="144" r:id="rId119"/>
    <sheet name="9,1,2" sheetId="145" r:id="rId120"/>
    <sheet name="9,1,3" sheetId="146" r:id="rId121"/>
    <sheet name="9,1,4" sheetId="147" r:id="rId122"/>
    <sheet name="9,1,5" sheetId="148" r:id="rId123"/>
    <sheet name="9,1,6" sheetId="149" r:id="rId124"/>
    <sheet name="9,1,7" sheetId="150" r:id="rId125"/>
    <sheet name="9,1,8" sheetId="151" r:id="rId126"/>
    <sheet name="9,1,9" sheetId="152" r:id="rId127"/>
    <sheet name="10,1,1" sheetId="153" r:id="rId128"/>
    <sheet name="10,1,2" sheetId="154" r:id="rId129"/>
    <sheet name="10,1,3" sheetId="155" r:id="rId130"/>
    <sheet name="10,1,4" sheetId="156" r:id="rId131"/>
    <sheet name="10,1,5" sheetId="157" r:id="rId132"/>
    <sheet name="10,1,6" sheetId="158" r:id="rId133"/>
    <sheet name="10,1,7" sheetId="159" r:id="rId134"/>
    <sheet name="10,1,8" sheetId="160" r:id="rId135"/>
    <sheet name="10,1,9" sheetId="161" r:id="rId136"/>
    <sheet name="11,1,1" sheetId="162" r:id="rId137"/>
    <sheet name="11,1,2" sheetId="163" r:id="rId138"/>
    <sheet name="11,1,3" sheetId="164" r:id="rId139"/>
    <sheet name="11,1,4" sheetId="165" r:id="rId140"/>
    <sheet name="11,1,5" sheetId="166" r:id="rId141"/>
    <sheet name="11,1,6" sheetId="167" r:id="rId142"/>
    <sheet name="11,1,7" sheetId="168" r:id="rId143"/>
    <sheet name="11,2,1" sheetId="169" r:id="rId144"/>
    <sheet name="11,2,2" sheetId="170" r:id="rId145"/>
    <sheet name="11,2,3" sheetId="171" r:id="rId146"/>
    <sheet name="11,2,4" sheetId="172" r:id="rId147"/>
    <sheet name="11,2,5" sheetId="173" r:id="rId148"/>
    <sheet name="11,2,6" sheetId="174" r:id="rId149"/>
    <sheet name="11,2,7" sheetId="175" r:id="rId150"/>
    <sheet name="12,1,1" sheetId="176" r:id="rId151"/>
    <sheet name="12,1,2" sheetId="177" r:id="rId152"/>
    <sheet name="12,1,3" sheetId="178" r:id="rId153"/>
    <sheet name="12,1,4" sheetId="179" r:id="rId154"/>
    <sheet name="12,1,5" sheetId="180" r:id="rId155"/>
    <sheet name="12,1,6" sheetId="181" r:id="rId156"/>
    <sheet name="12,1,7" sheetId="182" r:id="rId157"/>
    <sheet name="12,2,1" sheetId="183" r:id="rId158"/>
    <sheet name="12,2,2" sheetId="184" r:id="rId159"/>
    <sheet name="12,2,3" sheetId="185" r:id="rId160"/>
    <sheet name="12,2,4" sheetId="186" r:id="rId161"/>
    <sheet name="12,2,5" sheetId="187" r:id="rId162"/>
    <sheet name="12,2,6" sheetId="188" r:id="rId163"/>
    <sheet name="12,2,7" sheetId="189" r:id="rId164"/>
    <sheet name="13,1,1" sheetId="190" r:id="rId165"/>
    <sheet name="13,1,2" sheetId="191" r:id="rId166"/>
    <sheet name="13,1,3" sheetId="192" r:id="rId167"/>
    <sheet name="13,1,4" sheetId="193" r:id="rId168"/>
    <sheet name="13,1,5" sheetId="407" r:id="rId169"/>
    <sheet name="13,1,6" sheetId="194" r:id="rId170"/>
    <sheet name="13,1,7" sheetId="195" r:id="rId171"/>
    <sheet name="13,1,8" sheetId="196" r:id="rId172"/>
    <sheet name="13,1,9" sheetId="197" r:id="rId173"/>
    <sheet name="13,1,10" sheetId="198" r:id="rId174"/>
    <sheet name="13,1,11" sheetId="199" r:id="rId175"/>
    <sheet name="13,1,12" sheetId="200" r:id="rId176"/>
    <sheet name="13,1,13" sheetId="201" r:id="rId177"/>
    <sheet name="14,1,1" sheetId="202" r:id="rId178"/>
    <sheet name="14,1,2" sheetId="203" r:id="rId179"/>
    <sheet name="14,1,3" sheetId="204" r:id="rId180"/>
    <sheet name="14,1,4" sheetId="408" r:id="rId181"/>
    <sheet name="14,1,5" sheetId="205" r:id="rId182"/>
    <sheet name="14,1,6" sheetId="206" r:id="rId183"/>
    <sheet name="14,1,7" sheetId="207" r:id="rId184"/>
    <sheet name="14,1,8" sheetId="208" r:id="rId185"/>
    <sheet name="14,1,9" sheetId="209" r:id="rId186"/>
    <sheet name="14,1,10" sheetId="210" r:id="rId187"/>
    <sheet name="14,1,11" sheetId="211" r:id="rId188"/>
    <sheet name="14,1,12" sheetId="212" r:id="rId189"/>
    <sheet name="15,1,1" sheetId="213" r:id="rId190"/>
    <sheet name="15,1,2" sheetId="214" r:id="rId191"/>
    <sheet name="15,1,3" sheetId="215" r:id="rId192"/>
    <sheet name="15,1,4" sheetId="216" r:id="rId193"/>
    <sheet name="15,1,5" sheetId="410" r:id="rId194"/>
    <sheet name="15,1,6" sheetId="217" r:id="rId195"/>
    <sheet name="15,1,7" sheetId="218" r:id="rId196"/>
    <sheet name="15,1,8" sheetId="219" r:id="rId197"/>
    <sheet name="16,1,1" sheetId="220" r:id="rId198"/>
    <sheet name="16,1,2" sheetId="221" r:id="rId199"/>
    <sheet name="16,1,3" sheetId="222" r:id="rId200"/>
    <sheet name="16,1,4" sheetId="409" r:id="rId201"/>
    <sheet name="16,1,5" sheetId="223" r:id="rId202"/>
    <sheet name="16,1,6" sheetId="224" r:id="rId203"/>
    <sheet name="16,1,7" sheetId="225" r:id="rId204"/>
    <sheet name="17,1,1" sheetId="226" r:id="rId205"/>
    <sheet name="17,1,2" sheetId="228" r:id="rId206"/>
    <sheet name="17,1,3" sheetId="227" r:id="rId207"/>
    <sheet name="17,1,4" sheetId="229" r:id="rId208"/>
    <sheet name="17,1,5" sheetId="230" r:id="rId209"/>
    <sheet name="17,1,6" sheetId="231" r:id="rId210"/>
    <sheet name="17,1,7" sheetId="232" r:id="rId211"/>
    <sheet name="18,1,1" sheetId="235" r:id="rId212"/>
    <sheet name="18,1,2" sheetId="236" r:id="rId213"/>
    <sheet name="18,1,3" sheetId="237" r:id="rId214"/>
    <sheet name="18,1,4" sheetId="238" r:id="rId215"/>
    <sheet name="18,1,5" sheetId="239" r:id="rId216"/>
    <sheet name="18,1,6" sheetId="240" r:id="rId217"/>
    <sheet name="18,1,7" sheetId="241" r:id="rId218"/>
    <sheet name="19,1,1" sheetId="244" r:id="rId219"/>
    <sheet name="19,1,2" sheetId="245" r:id="rId220"/>
    <sheet name="19,1,3" sheetId="246" r:id="rId221"/>
    <sheet name="19,1,4" sheetId="247" r:id="rId222"/>
    <sheet name="19,1,5" sheetId="248" r:id="rId223"/>
    <sheet name="19,1,6" sheetId="249" r:id="rId224"/>
    <sheet name="19,1,7" sheetId="250" r:id="rId225"/>
    <sheet name="19,1,8" sheetId="251" r:id="rId226"/>
    <sheet name="19,1,9" sheetId="252" r:id="rId227"/>
    <sheet name="19,1,10" sheetId="253" r:id="rId228"/>
    <sheet name="19,1,11" sheetId="254" r:id="rId229"/>
    <sheet name="19,1,12" sheetId="255" r:id="rId230"/>
    <sheet name="19,1,13" sheetId="256" r:id="rId231"/>
    <sheet name="19,1,14" sheetId="257" r:id="rId232"/>
    <sheet name="19,1,15" sheetId="258" r:id="rId233"/>
    <sheet name="19,2,1" sheetId="259" r:id="rId234"/>
    <sheet name="19,2,2" sheetId="260" r:id="rId235"/>
    <sheet name="19,2,3" sheetId="261" r:id="rId236"/>
    <sheet name="19,2,4" sheetId="262" r:id="rId237"/>
    <sheet name="20,1" sheetId="264" r:id="rId238"/>
    <sheet name="20,4" sheetId="266" r:id="rId239"/>
    <sheet name="20,5" sheetId="267" r:id="rId240"/>
    <sheet name="20,6" sheetId="268" r:id="rId241"/>
    <sheet name="20,7" sheetId="269" r:id="rId242"/>
    <sheet name="20,8" sheetId="270" r:id="rId243"/>
    <sheet name="20,9" sheetId="271" r:id="rId244"/>
    <sheet name="20,10" sheetId="272" r:id="rId245"/>
    <sheet name="20,11" sheetId="273" r:id="rId246"/>
    <sheet name="20,12" sheetId="274" r:id="rId247"/>
    <sheet name="20,13" sheetId="275" r:id="rId248"/>
    <sheet name="20,14" sheetId="276" r:id="rId249"/>
    <sheet name="20,15" sheetId="277" r:id="rId250"/>
    <sheet name="20,16" sheetId="278" r:id="rId251"/>
    <sheet name="20,17" sheetId="279" r:id="rId252"/>
    <sheet name="20,18" sheetId="280" r:id="rId253"/>
    <sheet name="20,19" sheetId="281" r:id="rId254"/>
    <sheet name="20,20" sheetId="282" r:id="rId255"/>
    <sheet name="20,21" sheetId="283" r:id="rId256"/>
    <sheet name="20,22" sheetId="284" r:id="rId257"/>
    <sheet name="20,23" sheetId="285" r:id="rId258"/>
    <sheet name="20,24" sheetId="286" r:id="rId259"/>
    <sheet name="20,25" sheetId="287" r:id="rId260"/>
    <sheet name="20,26" sheetId="288" r:id="rId261"/>
    <sheet name="20,27" sheetId="289" r:id="rId262"/>
    <sheet name="20,28" sheetId="290" r:id="rId263"/>
    <sheet name="20,29" sheetId="291" r:id="rId264"/>
    <sheet name="20,30" sheetId="292" r:id="rId265"/>
    <sheet name="20,31" sheetId="293" r:id="rId266"/>
    <sheet name="20,32" sheetId="294" r:id="rId267"/>
    <sheet name="20,33" sheetId="295" r:id="rId268"/>
    <sheet name="20,34" sheetId="296" r:id="rId269"/>
    <sheet name="20,35" sheetId="297" r:id="rId270"/>
    <sheet name="20,36" sheetId="298" r:id="rId271"/>
    <sheet name="20,37" sheetId="299" r:id="rId272"/>
    <sheet name="20,38" sheetId="300" r:id="rId273"/>
    <sheet name="20,39" sheetId="301" r:id="rId274"/>
    <sheet name="20,40" sheetId="302" r:id="rId275"/>
    <sheet name="20,41" sheetId="411" r:id="rId276"/>
    <sheet name="20,42" sheetId="413" r:id="rId277"/>
    <sheet name="20,43" sheetId="414" r:id="rId278"/>
    <sheet name="20,44" sheetId="412" r:id="rId279"/>
    <sheet name="8,1" sheetId="303" r:id="rId280"/>
    <sheet name="8,2" sheetId="304" r:id="rId281"/>
    <sheet name="8,3" sheetId="305" r:id="rId282"/>
    <sheet name="8,4" sheetId="306" r:id="rId283"/>
    <sheet name="8,5" sheetId="307" r:id="rId284"/>
    <sheet name="8,6" sheetId="308" r:id="rId285"/>
    <sheet name="8,7" sheetId="309" r:id="rId286"/>
    <sheet name="8,8" sheetId="310" r:id="rId287"/>
    <sheet name="8,9" sheetId="311" r:id="rId288"/>
    <sheet name="8,10" sheetId="312" r:id="rId289"/>
    <sheet name="8,11" sheetId="313" r:id="rId290"/>
    <sheet name="8,12" sheetId="314" r:id="rId291"/>
    <sheet name="8,13" sheetId="315" r:id="rId292"/>
    <sheet name="8,14" sheetId="316" r:id="rId293"/>
    <sheet name="8,15" sheetId="317" r:id="rId294"/>
    <sheet name="8,16" sheetId="318" r:id="rId295"/>
    <sheet name="9,1" sheetId="319" r:id="rId296"/>
    <sheet name="9,2" sheetId="399" r:id="rId297"/>
    <sheet name="9,3" sheetId="400" r:id="rId298"/>
    <sheet name="9,4" sheetId="320" r:id="rId299"/>
    <sheet name="9,5" sheetId="321" r:id="rId300"/>
    <sheet name="9,6" sheetId="322" r:id="rId301"/>
    <sheet name="9,7," sheetId="323" r:id="rId302"/>
    <sheet name="9,8" sheetId="324" r:id="rId303"/>
    <sheet name="9,9" sheetId="325" r:id="rId304"/>
    <sheet name="9,10" sheetId="326" r:id="rId305"/>
    <sheet name="9,11" sheetId="327" r:id="rId306"/>
    <sheet name="9,12" sheetId="328" r:id="rId307"/>
    <sheet name="9,13" sheetId="329" r:id="rId308"/>
    <sheet name="9,14" sheetId="330" r:id="rId309"/>
    <sheet name="9,15" sheetId="331" r:id="rId310"/>
    <sheet name="9,16" sheetId="332" r:id="rId311"/>
    <sheet name="9,17" sheetId="333" r:id="rId312"/>
    <sheet name="9,18" sheetId="334" r:id="rId313"/>
    <sheet name="9,19" sheetId="335" r:id="rId314"/>
    <sheet name="9,20" sheetId="336" r:id="rId315"/>
    <sheet name="9,21" sheetId="337" r:id="rId316"/>
    <sheet name="9,22" sheetId="338" r:id="rId317"/>
    <sheet name="9,23" sheetId="339" r:id="rId318"/>
    <sheet name="9,24" sheetId="340" r:id="rId319"/>
    <sheet name="9,25" sheetId="341" r:id="rId320"/>
    <sheet name="9,26" sheetId="342" r:id="rId321"/>
    <sheet name="9,27" sheetId="343" r:id="rId322"/>
    <sheet name="9,28" sheetId="344" r:id="rId323"/>
    <sheet name="9,29" sheetId="345" r:id="rId324"/>
    <sheet name="9,30" sheetId="346" r:id="rId325"/>
    <sheet name="9,31" sheetId="347" r:id="rId326"/>
    <sheet name="9,32" sheetId="348" r:id="rId327"/>
    <sheet name="9,33" sheetId="349" r:id="rId328"/>
    <sheet name="9,34" sheetId="350" r:id="rId329"/>
    <sheet name="9,35" sheetId="351" r:id="rId330"/>
    <sheet name="10,1,1,1" sheetId="352" r:id="rId331"/>
    <sheet name="10,1,1,2" sheetId="353" r:id="rId332"/>
    <sheet name="10,1,1,3" sheetId="354" r:id="rId333"/>
    <sheet name="10,1,1,4" sheetId="355" r:id="rId334"/>
    <sheet name="10,1,1,5" sheetId="356" r:id="rId335"/>
    <sheet name="10,1,1,6" sheetId="357" r:id="rId336"/>
    <sheet name="10,1,1,7" sheetId="358" r:id="rId337"/>
    <sheet name="10,1,1,8" sheetId="359" r:id="rId338"/>
    <sheet name="10,1,1,9" sheetId="360" r:id="rId339"/>
    <sheet name="10,1,1,10" sheetId="361" r:id="rId340"/>
    <sheet name="10,1,11" sheetId="362" r:id="rId341"/>
    <sheet name="10,1,2,1" sheetId="363" r:id="rId342"/>
    <sheet name="10,1,2,2" sheetId="364" r:id="rId343"/>
    <sheet name="10,1,2,3" sheetId="365" r:id="rId344"/>
    <sheet name="10,1,2,4" sheetId="366" r:id="rId345"/>
    <sheet name="10,1,2,5" sheetId="367" r:id="rId346"/>
    <sheet name="10,1,2,6" sheetId="368" r:id="rId347"/>
    <sheet name="10,1,2,7" sheetId="369" r:id="rId348"/>
    <sheet name="10,1,2,8" sheetId="370" r:id="rId349"/>
    <sheet name="10,1,2,9" sheetId="371" r:id="rId350"/>
    <sheet name="10,1,2,10" sheetId="372" r:id="rId351"/>
    <sheet name="10,1,2,11" sheetId="373" r:id="rId352"/>
    <sheet name="10,2,2" sheetId="374" r:id="rId353"/>
    <sheet name="10,2,3" sheetId="375" r:id="rId354"/>
    <sheet name="10,2,4" sheetId="376" r:id="rId355"/>
    <sheet name="10,2,5" sheetId="377" r:id="rId356"/>
    <sheet name="10,2,6" sheetId="378" r:id="rId357"/>
    <sheet name="10,2,7" sheetId="379" r:id="rId358"/>
    <sheet name="10,2,8" sheetId="380" r:id="rId359"/>
    <sheet name="10,2,9" sheetId="381" r:id="rId360"/>
    <sheet name="10,2,10" sheetId="382" r:id="rId361"/>
    <sheet name="10,2,11" sheetId="383" r:id="rId362"/>
    <sheet name="10,2,12" sheetId="384" r:id="rId363"/>
    <sheet name="10,3,1" sheetId="385" r:id="rId364"/>
    <sheet name="10,3,2" sheetId="386" r:id="rId365"/>
    <sheet name="10,3,3" sheetId="387" r:id="rId366"/>
    <sheet name="10,3,4" sheetId="388" r:id="rId367"/>
    <sheet name="10,3,5" sheetId="389" r:id="rId368"/>
    <sheet name="10,3,6" sheetId="390" r:id="rId369"/>
    <sheet name="10,3,7" sheetId="391" r:id="rId370"/>
    <sheet name="10,3,8" sheetId="392" r:id="rId371"/>
    <sheet name="10,3,9" sheetId="393" r:id="rId372"/>
    <sheet name="10,3,10" sheetId="394" r:id="rId373"/>
    <sheet name="10,3,11" sheetId="395" r:id="rId374"/>
  </sheets>
  <definedNames>
    <definedName name="_Fill" localSheetId="4" hidden="1">#REF!</definedName>
    <definedName name="_Fill" hidden="1">#REF!</definedName>
    <definedName name="_xlnm._FilterDatabase" localSheetId="7" hidden="1">MATERIALES!$B$2:$B$345</definedName>
    <definedName name="_xlnm._FilterDatabase" localSheetId="0" hidden="1">'RESUMEN MIN-HACIENDA'!$A$2:$F$201</definedName>
    <definedName name="_xlnm.Print_Area" localSheetId="4">ITEMS!$A$1:$H$427</definedName>
    <definedName name="_xlnm.Print_Area" localSheetId="8">Memorias!$B$1:$M$157</definedName>
    <definedName name="_xlnm.Print_Area" localSheetId="0">'RESUMEN MIN-HACIENDA'!$A$2:$F$201</definedName>
    <definedName name="_xlnm.Print_Area" localSheetId="3">'SISTEMAS PARA PURGAS (2)'!$A$10:$G$57</definedName>
    <definedName name="_xlnm.Print_Area" localSheetId="2">'SISTEMAS PARA VENTOSAS (2)'!$A$10:$G$57</definedName>
    <definedName name="PRINT_AREA">#N/A</definedName>
    <definedName name="PRINT_AREA_MI">#N/A</definedName>
    <definedName name="PRINT_TITLES">#N/A</definedName>
    <definedName name="PRINT_TITLES_MI">#N/A</definedName>
    <definedName name="_xlnm.Print_Titles" localSheetId="4">ITEMS!$1:$7</definedName>
    <definedName name="_xlnm.Print_Titles" localSheetId="0">'RESUMEN MIN-HACIENDA'!$1:$2</definedName>
    <definedName name="_xlnm.Print_Titles" localSheetId="3">'SISTEMAS PARA PURGAS (2)'!$1:$9</definedName>
    <definedName name="_xlnm.Print_Titles" localSheetId="2">'SISTEMAS PARA VENTOSAS (2)'!$1:$9</definedName>
  </definedNames>
  <calcPr calcId="145621"/>
</workbook>
</file>

<file path=xl/calcChain.xml><?xml version="1.0" encoding="utf-8"?>
<calcChain xmlns="http://schemas.openxmlformats.org/spreadsheetml/2006/main">
  <c r="B27" i="415" l="1"/>
  <c r="D67" i="31" l="1"/>
  <c r="D297" i="418"/>
  <c r="E297" i="418" s="1"/>
  <c r="D296" i="418"/>
  <c r="E296" i="418" s="1"/>
  <c r="G287" i="418"/>
  <c r="G291" i="418" s="1"/>
  <c r="G281" i="418"/>
  <c r="G280" i="418"/>
  <c r="G279" i="418"/>
  <c r="G278" i="418"/>
  <c r="D277" i="418"/>
  <c r="G277" i="418" s="1"/>
  <c r="G276" i="418"/>
  <c r="D274" i="418"/>
  <c r="G274" i="418" s="1"/>
  <c r="D273" i="418"/>
  <c r="G273" i="418" s="1"/>
  <c r="G271" i="418"/>
  <c r="G264" i="418"/>
  <c r="G266" i="418" s="1"/>
  <c r="D247" i="418"/>
  <c r="E247" i="418" s="1"/>
  <c r="D246" i="418"/>
  <c r="E246" i="418" s="1"/>
  <c r="G237" i="418"/>
  <c r="G241" i="418" s="1"/>
  <c r="G231" i="418"/>
  <c r="G230" i="418"/>
  <c r="G229" i="418"/>
  <c r="G228" i="418"/>
  <c r="D227" i="418"/>
  <c r="G227" i="418" s="1"/>
  <c r="G226" i="418"/>
  <c r="D224" i="418"/>
  <c r="G224" i="418" s="1"/>
  <c r="D223" i="418"/>
  <c r="G223" i="418" s="1"/>
  <c r="G221" i="418"/>
  <c r="G216" i="418"/>
  <c r="G214" i="418"/>
  <c r="D197" i="418"/>
  <c r="E197" i="418" s="1"/>
  <c r="D196" i="418"/>
  <c r="E196" i="418" s="1"/>
  <c r="G187" i="418"/>
  <c r="G191" i="418" s="1"/>
  <c r="G181" i="418"/>
  <c r="G180" i="418"/>
  <c r="G179" i="418"/>
  <c r="G178" i="418"/>
  <c r="D177" i="418"/>
  <c r="G177" i="418" s="1"/>
  <c r="G176" i="418"/>
  <c r="D174" i="418"/>
  <c r="G174" i="418" s="1"/>
  <c r="D173" i="418"/>
  <c r="G173" i="418" s="1"/>
  <c r="G171" i="418"/>
  <c r="G164" i="418"/>
  <c r="G166" i="418" s="1"/>
  <c r="D147" i="418"/>
  <c r="E147" i="418" s="1"/>
  <c r="D146" i="418"/>
  <c r="E146" i="418" s="1"/>
  <c r="G137" i="418"/>
  <c r="G141" i="418" s="1"/>
  <c r="G131" i="418"/>
  <c r="G130" i="418"/>
  <c r="G129" i="418"/>
  <c r="G128" i="418"/>
  <c r="G127" i="418"/>
  <c r="D126" i="418"/>
  <c r="G126" i="418" s="1"/>
  <c r="G125" i="418"/>
  <c r="D123" i="418"/>
  <c r="G123" i="418" s="1"/>
  <c r="G121" i="418"/>
  <c r="G114" i="418"/>
  <c r="G116" i="418" s="1"/>
  <c r="D97" i="418"/>
  <c r="E97" i="418" s="1"/>
  <c r="D96" i="418"/>
  <c r="E96" i="418" s="1"/>
  <c r="G87" i="418"/>
  <c r="G91" i="418" s="1"/>
  <c r="G81" i="418"/>
  <c r="G80" i="418"/>
  <c r="G79" i="418"/>
  <c r="G78" i="418"/>
  <c r="G77" i="418"/>
  <c r="L76" i="418"/>
  <c r="D76" i="418"/>
  <c r="G76" i="418" s="1"/>
  <c r="L75" i="418"/>
  <c r="G75" i="418"/>
  <c r="D73" i="418"/>
  <c r="G73" i="418" s="1"/>
  <c r="G71" i="418"/>
  <c r="G64" i="418"/>
  <c r="G66" i="418" s="1"/>
  <c r="D47" i="418"/>
  <c r="E47" i="418" s="1"/>
  <c r="D46" i="418"/>
  <c r="E46" i="418" s="1"/>
  <c r="G37" i="418"/>
  <c r="G41" i="418" s="1"/>
  <c r="G31" i="418"/>
  <c r="G30" i="418"/>
  <c r="G29" i="418"/>
  <c r="D28" i="418"/>
  <c r="G28" i="418" s="1"/>
  <c r="G27" i="418"/>
  <c r="D25" i="418"/>
  <c r="G25" i="418" s="1"/>
  <c r="G23" i="418"/>
  <c r="G16" i="418"/>
  <c r="G18" i="418" s="1"/>
  <c r="D140" i="417"/>
  <c r="E140" i="417" s="1"/>
  <c r="D139" i="417"/>
  <c r="E139" i="417" s="1"/>
  <c r="E142" i="417" s="1"/>
  <c r="G142" i="417" s="1"/>
  <c r="G143" i="417" s="1"/>
  <c r="G130" i="417"/>
  <c r="G134" i="417" s="1"/>
  <c r="G123" i="417"/>
  <c r="G122" i="417"/>
  <c r="D121" i="417"/>
  <c r="G121" i="417" s="1"/>
  <c r="D119" i="417"/>
  <c r="G119" i="417" s="1"/>
  <c r="G112" i="417"/>
  <c r="G114" i="417" s="1"/>
  <c r="D95" i="417"/>
  <c r="E95" i="417" s="1"/>
  <c r="D94" i="417"/>
  <c r="E94" i="417" s="1"/>
  <c r="E97" i="417" s="1"/>
  <c r="G97" i="417" s="1"/>
  <c r="G98" i="417" s="1"/>
  <c r="G85" i="417"/>
  <c r="G89" i="417" s="1"/>
  <c r="G78" i="417"/>
  <c r="G77" i="417"/>
  <c r="D76" i="417"/>
  <c r="G76" i="417" s="1"/>
  <c r="D74" i="417"/>
  <c r="G74" i="417" s="1"/>
  <c r="G73" i="417"/>
  <c r="D72" i="417"/>
  <c r="G72" i="417" s="1"/>
  <c r="G71" i="417"/>
  <c r="G64" i="417"/>
  <c r="G66" i="417" s="1"/>
  <c r="D47" i="417"/>
  <c r="E47" i="417" s="1"/>
  <c r="D46" i="417"/>
  <c r="E46" i="417" s="1"/>
  <c r="G37" i="417"/>
  <c r="G41" i="417" s="1"/>
  <c r="L35" i="417"/>
  <c r="L34" i="417"/>
  <c r="G30" i="417"/>
  <c r="G29" i="417"/>
  <c r="L28" i="417"/>
  <c r="D28" i="417"/>
  <c r="G28" i="417" s="1"/>
  <c r="L27" i="417"/>
  <c r="D26" i="417"/>
  <c r="G26" i="417" s="1"/>
  <c r="G25" i="417"/>
  <c r="D24" i="417"/>
  <c r="G24" i="417" s="1"/>
  <c r="G23" i="417"/>
  <c r="G16" i="417"/>
  <c r="G18" i="417" s="1"/>
  <c r="D70" i="416"/>
  <c r="D65" i="416"/>
  <c r="D71" i="416" s="1"/>
  <c r="D64" i="416"/>
  <c r="G54" i="416"/>
  <c r="F54" i="416"/>
  <c r="F49" i="416"/>
  <c r="I43" i="416"/>
  <c r="I42" i="416"/>
  <c r="I41" i="416"/>
  <c r="I39" i="416"/>
  <c r="J35" i="416"/>
  <c r="N19" i="416"/>
  <c r="I19" i="416"/>
  <c r="I28" i="416" s="1"/>
  <c r="D19" i="416"/>
  <c r="I21" i="416" s="1"/>
  <c r="E13" i="416"/>
  <c r="E8" i="416"/>
  <c r="E249" i="418" l="1"/>
  <c r="G249" i="418" s="1"/>
  <c r="G250" i="418" s="1"/>
  <c r="L29" i="417"/>
  <c r="L36" i="417"/>
  <c r="D72" i="416"/>
  <c r="D73" i="416" s="1"/>
  <c r="L77" i="418"/>
  <c r="D66" i="416"/>
  <c r="D67" i="416" s="1"/>
  <c r="G32" i="417"/>
  <c r="E49" i="418"/>
  <c r="G49" i="418" s="1"/>
  <c r="G50" i="418" s="1"/>
  <c r="E99" i="418"/>
  <c r="G99" i="418" s="1"/>
  <c r="G100" i="418" s="1"/>
  <c r="G282" i="418"/>
  <c r="I44" i="416"/>
  <c r="G182" i="418"/>
  <c r="E14" i="416"/>
  <c r="G37" i="416" s="1"/>
  <c r="F48" i="416" s="1"/>
  <c r="F55" i="416" s="1"/>
  <c r="F57" i="416" s="1"/>
  <c r="I32" i="416"/>
  <c r="I29" i="416"/>
  <c r="I22" i="416"/>
  <c r="I24" i="416" s="1"/>
  <c r="I25" i="416"/>
  <c r="E49" i="417"/>
  <c r="G49" i="417" s="1"/>
  <c r="G50" i="417" s="1"/>
  <c r="G80" i="417"/>
  <c r="G100" i="417" s="1"/>
  <c r="G104" i="417" s="1"/>
  <c r="G125" i="417"/>
  <c r="G145" i="417" s="1"/>
  <c r="G149" i="417" s="1"/>
  <c r="G32" i="418"/>
  <c r="G52" i="418" s="1"/>
  <c r="G82" i="418"/>
  <c r="G132" i="418"/>
  <c r="E149" i="418"/>
  <c r="G149" i="418" s="1"/>
  <c r="G150" i="418" s="1"/>
  <c r="E199" i="418"/>
  <c r="G199" i="418" s="1"/>
  <c r="G200" i="418" s="1"/>
  <c r="G232" i="418"/>
  <c r="E299" i="418"/>
  <c r="G299" i="418" s="1"/>
  <c r="G300" i="418" s="1"/>
  <c r="G302" i="418" s="1"/>
  <c r="J40" i="416"/>
  <c r="G252" i="418" l="1"/>
  <c r="G102" i="418"/>
  <c r="G152" i="418"/>
  <c r="G52" i="417"/>
  <c r="G56" i="417" s="1"/>
  <c r="G202" i="418"/>
  <c r="G206" i="418" s="1"/>
  <c r="G256" i="418"/>
  <c r="G106" i="418"/>
  <c r="G156" i="418"/>
  <c r="G56" i="418"/>
  <c r="G306" i="418"/>
  <c r="I23" i="416"/>
  <c r="I34" i="416"/>
  <c r="I33" i="416"/>
  <c r="J44" i="416"/>
  <c r="I26" i="416"/>
  <c r="I27" i="416"/>
  <c r="I30" i="416"/>
  <c r="I31" i="416"/>
  <c r="I99" i="24" l="1"/>
  <c r="I101" i="24"/>
  <c r="K32" i="35" l="1"/>
  <c r="G343" i="24" l="1"/>
  <c r="G344" i="24"/>
  <c r="G12" i="24"/>
  <c r="G13" i="24"/>
  <c r="G14" i="24"/>
  <c r="G15" i="24"/>
  <c r="G16" i="24"/>
  <c r="G17" i="24"/>
  <c r="G18" i="24"/>
  <c r="G19" i="24"/>
  <c r="G20" i="24"/>
  <c r="G21" i="24"/>
  <c r="G22" i="24"/>
  <c r="G23" i="24"/>
  <c r="G25" i="24"/>
  <c r="G26" i="24"/>
  <c r="G27" i="24"/>
  <c r="G28" i="24"/>
  <c r="G31" i="24"/>
  <c r="G32" i="24"/>
  <c r="G33" i="24"/>
  <c r="G34" i="24"/>
  <c r="G36" i="24"/>
  <c r="G37" i="24"/>
  <c r="G38" i="24"/>
  <c r="G40" i="24"/>
  <c r="G41" i="24"/>
  <c r="G42" i="24"/>
  <c r="G43" i="24"/>
  <c r="G45" i="24"/>
  <c r="G46" i="24"/>
  <c r="G47" i="24"/>
  <c r="G49" i="24"/>
  <c r="G50" i="24"/>
  <c r="G51" i="24"/>
  <c r="G54" i="24"/>
  <c r="G55" i="24"/>
  <c r="G57" i="24"/>
  <c r="G58" i="24"/>
  <c r="G60" i="24"/>
  <c r="G61" i="24"/>
  <c r="G63" i="24"/>
  <c r="G64" i="24"/>
  <c r="G66" i="24"/>
  <c r="G67" i="24"/>
  <c r="G69" i="24"/>
  <c r="G70" i="24"/>
  <c r="G72" i="24"/>
  <c r="G73" i="24"/>
  <c r="G74" i="24"/>
  <c r="G75" i="24"/>
  <c r="G77" i="24"/>
  <c r="G78" i="24"/>
  <c r="G79" i="24"/>
  <c r="G81" i="24"/>
  <c r="G83" i="24"/>
  <c r="G84" i="24"/>
  <c r="G85" i="24"/>
  <c r="G86" i="24"/>
  <c r="G87" i="24"/>
  <c r="G89" i="24"/>
  <c r="G90" i="24"/>
  <c r="G91" i="24"/>
  <c r="G92" i="24"/>
  <c r="G93" i="24"/>
  <c r="G94" i="24"/>
  <c r="G95" i="24"/>
  <c r="G96" i="24"/>
  <c r="G97" i="24"/>
  <c r="G98" i="24"/>
  <c r="G99" i="24"/>
  <c r="G100" i="24"/>
  <c r="G101" i="24"/>
  <c r="G102" i="24"/>
  <c r="G103" i="24"/>
  <c r="G104" i="24"/>
  <c r="G105" i="24"/>
  <c r="G106" i="24"/>
  <c r="G107" i="24"/>
  <c r="G108" i="24"/>
  <c r="G109" i="24"/>
  <c r="G110" i="24"/>
  <c r="G112" i="24"/>
  <c r="G113" i="24"/>
  <c r="G114" i="24"/>
  <c r="G118" i="24"/>
  <c r="G119" i="24"/>
  <c r="G120" i="24"/>
  <c r="G121" i="24"/>
  <c r="G122" i="24"/>
  <c r="G123" i="24"/>
  <c r="G124" i="24"/>
  <c r="G125" i="24"/>
  <c r="G126" i="24"/>
  <c r="G128" i="24"/>
  <c r="G129" i="24"/>
  <c r="G130" i="24"/>
  <c r="G131" i="24"/>
  <c r="G132" i="24"/>
  <c r="G133" i="24"/>
  <c r="G134" i="24"/>
  <c r="G135" i="24"/>
  <c r="G136" i="24"/>
  <c r="G139" i="24"/>
  <c r="G140" i="24"/>
  <c r="G141" i="24"/>
  <c r="G142" i="24"/>
  <c r="G143" i="24"/>
  <c r="G144" i="24"/>
  <c r="G145" i="24"/>
  <c r="G146" i="24"/>
  <c r="G147" i="24"/>
  <c r="G150" i="24"/>
  <c r="G151" i="24"/>
  <c r="G152" i="24"/>
  <c r="G153" i="24"/>
  <c r="G154" i="24"/>
  <c r="G155" i="24"/>
  <c r="G156" i="24"/>
  <c r="G157" i="24"/>
  <c r="G158" i="24"/>
  <c r="G161" i="24"/>
  <c r="G162" i="24"/>
  <c r="G163" i="24"/>
  <c r="G164" i="24"/>
  <c r="G165" i="24"/>
  <c r="G166" i="24"/>
  <c r="G167" i="24"/>
  <c r="G169" i="24"/>
  <c r="G170" i="24"/>
  <c r="G171" i="24"/>
  <c r="G172" i="24"/>
  <c r="G173" i="24"/>
  <c r="G174" i="24"/>
  <c r="G175" i="24"/>
  <c r="G178" i="24"/>
  <c r="G179" i="24"/>
  <c r="G180" i="24"/>
  <c r="G181" i="24"/>
  <c r="G182" i="24"/>
  <c r="G183" i="24"/>
  <c r="G184" i="24"/>
  <c r="G186" i="24"/>
  <c r="G187" i="24"/>
  <c r="G188" i="24"/>
  <c r="G189" i="24"/>
  <c r="G190" i="24"/>
  <c r="G191" i="24"/>
  <c r="G192" i="24"/>
  <c r="G195" i="24"/>
  <c r="G196" i="24"/>
  <c r="G197" i="24"/>
  <c r="G198" i="24"/>
  <c r="G199" i="24"/>
  <c r="G200" i="24"/>
  <c r="G201" i="24"/>
  <c r="G202" i="24"/>
  <c r="G203" i="24"/>
  <c r="G204" i="24"/>
  <c r="G205" i="24"/>
  <c r="G206" i="24"/>
  <c r="G207" i="24"/>
  <c r="G210" i="24"/>
  <c r="G211" i="24"/>
  <c r="G212" i="24"/>
  <c r="G213" i="24"/>
  <c r="G214" i="24"/>
  <c r="G215" i="24"/>
  <c r="G216" i="24"/>
  <c r="G217" i="24"/>
  <c r="G218" i="24"/>
  <c r="G219" i="24"/>
  <c r="G220" i="24"/>
  <c r="G221" i="24"/>
  <c r="G224" i="24"/>
  <c r="G225" i="24"/>
  <c r="G226" i="24"/>
  <c r="G227" i="24"/>
  <c r="G228" i="24"/>
  <c r="G229" i="24"/>
  <c r="G230" i="24"/>
  <c r="G231" i="24"/>
  <c r="G234" i="24"/>
  <c r="G235" i="24"/>
  <c r="G236" i="24"/>
  <c r="G237" i="24"/>
  <c r="G238" i="24"/>
  <c r="G239" i="24"/>
  <c r="G240" i="24"/>
  <c r="G243" i="24"/>
  <c r="G244" i="24"/>
  <c r="G245" i="24"/>
  <c r="G246" i="24"/>
  <c r="G247" i="24"/>
  <c r="G248" i="24"/>
  <c r="G249" i="24"/>
  <c r="G252" i="24"/>
  <c r="G253" i="24"/>
  <c r="G254" i="24"/>
  <c r="G255" i="24"/>
  <c r="G256" i="24"/>
  <c r="G257" i="24"/>
  <c r="G258" i="24"/>
  <c r="G261" i="24"/>
  <c r="G262" i="24"/>
  <c r="G263" i="24"/>
  <c r="G264" i="24"/>
  <c r="G265" i="24"/>
  <c r="G266" i="24"/>
  <c r="G267" i="24"/>
  <c r="G268" i="24"/>
  <c r="G269" i="24"/>
  <c r="G270" i="24"/>
  <c r="G271" i="24"/>
  <c r="G272" i="24"/>
  <c r="G273" i="24"/>
  <c r="G274" i="24"/>
  <c r="G275" i="24"/>
  <c r="G277" i="24"/>
  <c r="G278" i="24"/>
  <c r="G279" i="24"/>
  <c r="G280"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5" i="24"/>
  <c r="G326" i="24"/>
  <c r="G327" i="24"/>
  <c r="G328" i="24"/>
  <c r="G329" i="24"/>
  <c r="G330" i="24"/>
  <c r="G331" i="24"/>
  <c r="G332" i="24"/>
  <c r="G333" i="24"/>
  <c r="G334" i="24"/>
  <c r="G335" i="24"/>
  <c r="G336" i="24"/>
  <c r="G337" i="24"/>
  <c r="G338" i="24"/>
  <c r="G339" i="24"/>
  <c r="G340" i="24"/>
  <c r="G342"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9" i="24"/>
  <c r="G380" i="24"/>
  <c r="G381" i="24"/>
  <c r="G382" i="24"/>
  <c r="G383" i="24"/>
  <c r="G384" i="24"/>
  <c r="G385" i="24"/>
  <c r="G386" i="24"/>
  <c r="G387" i="24"/>
  <c r="G388" i="24"/>
  <c r="G389" i="24"/>
  <c r="G391" i="24"/>
  <c r="G392" i="24"/>
  <c r="G393" i="24"/>
  <c r="G394" i="24"/>
  <c r="G395" i="24"/>
  <c r="G396" i="24"/>
  <c r="G397" i="24"/>
  <c r="G398" i="24"/>
  <c r="G399" i="24"/>
  <c r="G400" i="24"/>
  <c r="G401" i="24"/>
  <c r="G404" i="24"/>
  <c r="G405" i="24"/>
  <c r="G406" i="24"/>
  <c r="G407" i="24"/>
  <c r="G408" i="24"/>
  <c r="G409" i="24"/>
  <c r="G410" i="24"/>
  <c r="G411" i="24"/>
  <c r="G412" i="24"/>
  <c r="G413" i="24"/>
  <c r="G414" i="24"/>
  <c r="G417" i="24"/>
  <c r="G418" i="24"/>
  <c r="G419" i="24"/>
  <c r="G420" i="24"/>
  <c r="G421" i="24"/>
  <c r="G422" i="24"/>
  <c r="G423" i="24"/>
  <c r="G424" i="24"/>
  <c r="G425" i="24"/>
  <c r="G426" i="24"/>
  <c r="G427" i="24"/>
  <c r="G11" i="24"/>
  <c r="G10" i="24"/>
  <c r="F45" i="412" l="1"/>
  <c r="F44" i="412"/>
  <c r="F43" i="412"/>
  <c r="H31" i="412"/>
  <c r="G22" i="412"/>
  <c r="G21" i="412"/>
  <c r="F45" i="414"/>
  <c r="F44" i="414"/>
  <c r="F43" i="414"/>
  <c r="H31" i="414"/>
  <c r="G22" i="414"/>
  <c r="G21" i="414"/>
  <c r="F45" i="413"/>
  <c r="F44" i="413"/>
  <c r="F43" i="413"/>
  <c r="H31" i="413"/>
  <c r="G22" i="413"/>
  <c r="G21" i="413"/>
  <c r="F10" i="38" l="1"/>
  <c r="E10" i="38"/>
  <c r="D55" i="31"/>
  <c r="E56" i="31"/>
  <c r="D56" i="31" s="1"/>
  <c r="D32" i="31"/>
  <c r="D39" i="31"/>
  <c r="F51" i="31"/>
  <c r="E62" i="31"/>
  <c r="F62" i="31"/>
  <c r="F15" i="31"/>
  <c r="D15" i="31" s="1"/>
  <c r="F44" i="31"/>
  <c r="D44" i="31" s="1"/>
  <c r="D64" i="31"/>
  <c r="D62" i="31" l="1"/>
  <c r="E23" i="412"/>
  <c r="G23" i="412" s="1"/>
  <c r="H25" i="412" s="1"/>
  <c r="E23" i="414"/>
  <c r="G23" i="414" s="1"/>
  <c r="E24" i="413"/>
  <c r="G24" i="413" s="1"/>
  <c r="E24" i="414"/>
  <c r="G24" i="414" s="1"/>
  <c r="E22" i="411"/>
  <c r="E23" i="413"/>
  <c r="G23" i="413" s="1"/>
  <c r="F7" i="31"/>
  <c r="D11" i="31"/>
  <c r="H25" i="413" l="1"/>
  <c r="H25" i="414"/>
  <c r="E21" i="291"/>
  <c r="E50" i="31"/>
  <c r="D50" i="31" s="1"/>
  <c r="D72" i="31"/>
  <c r="E51" i="31"/>
  <c r="D51" i="31" s="1"/>
  <c r="F54" i="31"/>
  <c r="E54" i="31"/>
  <c r="E18" i="31"/>
  <c r="F18" i="31"/>
  <c r="F68" i="31"/>
  <c r="D68" i="31" s="1"/>
  <c r="D73" i="31"/>
  <c r="F18" i="38"/>
  <c r="E18" i="38"/>
  <c r="F31" i="38"/>
  <c r="D31" i="38" s="1"/>
  <c r="F28" i="104" s="1"/>
  <c r="G28" i="104" s="1"/>
  <c r="F8" i="38"/>
  <c r="E8" i="38"/>
  <c r="E136" i="31"/>
  <c r="D136" i="31" s="1"/>
  <c r="E139" i="31"/>
  <c r="D139" i="31" s="1"/>
  <c r="E138" i="31"/>
  <c r="D138" i="31" s="1"/>
  <c r="E137" i="31"/>
  <c r="D137" i="31" s="1"/>
  <c r="F29" i="38"/>
  <c r="D29" i="38" s="1"/>
  <c r="D6" i="31"/>
  <c r="E23" i="252" s="1"/>
  <c r="D5" i="31"/>
  <c r="D18" i="38" l="1"/>
  <c r="D8" i="38"/>
  <c r="E22" i="251"/>
  <c r="E21" i="124"/>
  <c r="E21" i="248"/>
  <c r="D18" i="31"/>
  <c r="D54" i="31"/>
  <c r="F28" i="109"/>
  <c r="F28" i="108"/>
  <c r="E12" i="292"/>
  <c r="F28" i="101"/>
  <c r="F28" i="100"/>
  <c r="F27" i="111"/>
  <c r="F29" i="87"/>
  <c r="F29" i="403"/>
  <c r="F31" i="88"/>
  <c r="F33" i="88"/>
  <c r="F32" i="89"/>
  <c r="F29" i="404"/>
  <c r="F29" i="92"/>
  <c r="F31" i="94"/>
  <c r="F31" i="95"/>
  <c r="F29" i="401"/>
  <c r="F29" i="96"/>
  <c r="F29" i="402"/>
  <c r="F29" i="97"/>
  <c r="F30" i="87"/>
  <c r="F30" i="403"/>
  <c r="F32" i="88"/>
  <c r="F31" i="89"/>
  <c r="F33" i="89"/>
  <c r="F30" i="404"/>
  <c r="F30" i="92"/>
  <c r="F32" i="94"/>
  <c r="F32" i="95"/>
  <c r="F30" i="401"/>
  <c r="F30" i="96"/>
  <c r="F30" i="402"/>
  <c r="F30" i="97"/>
  <c r="H24" i="31"/>
  <c r="H25" i="31" l="1"/>
  <c r="G10" i="31"/>
  <c r="F19" i="38" l="1"/>
  <c r="E19" i="38"/>
  <c r="F13" i="38"/>
  <c r="E13" i="38"/>
  <c r="F3" i="38"/>
  <c r="E21" i="323"/>
  <c r="D19" i="38" l="1"/>
  <c r="D13" i="38"/>
  <c r="E12" i="35"/>
  <c r="E21" i="337" l="1"/>
  <c r="E21" i="334"/>
  <c r="H61" i="22"/>
  <c r="H60" i="22"/>
  <c r="H59" i="22"/>
  <c r="I59" i="22" s="1"/>
  <c r="G52" i="22"/>
  <c r="G51" i="22"/>
  <c r="D276" i="31" l="1"/>
  <c r="D277" i="31"/>
  <c r="D279" i="31"/>
  <c r="G56" i="22" l="1"/>
  <c r="G55" i="22"/>
  <c r="G54" i="22"/>
  <c r="G22" i="411" l="1"/>
  <c r="E21" i="411"/>
  <c r="G21" i="411" s="1"/>
  <c r="F45" i="411"/>
  <c r="F44" i="411"/>
  <c r="F43" i="411"/>
  <c r="H31" i="411"/>
  <c r="F9" i="38" l="1"/>
  <c r="E21" i="351" l="1"/>
  <c r="E21" i="350"/>
  <c r="E21" i="349"/>
  <c r="E21" i="348"/>
  <c r="E21" i="347"/>
  <c r="E21" i="346"/>
  <c r="F16" i="38" l="1"/>
  <c r="D16" i="38" s="1"/>
  <c r="E14" i="258" s="1"/>
  <c r="F17" i="38"/>
  <c r="F6" i="38"/>
  <c r="F14" i="38"/>
  <c r="F7" i="38" l="1"/>
  <c r="E12" i="38"/>
  <c r="D12" i="38" s="1"/>
  <c r="E5" i="38"/>
  <c r="E3" i="38"/>
  <c r="D3" i="38" s="1"/>
  <c r="E13" i="412" s="1"/>
  <c r="G13" i="412" s="1"/>
  <c r="E4" i="38"/>
  <c r="D4" i="38" s="1"/>
  <c r="E26" i="38"/>
  <c r="D26" i="38" s="1"/>
  <c r="D10" i="38"/>
  <c r="E17" i="38" l="1"/>
  <c r="D17" i="38" s="1"/>
  <c r="E10" i="44" s="1"/>
  <c r="G10" i="44" s="1"/>
  <c r="E16" i="38"/>
  <c r="E14" i="38"/>
  <c r="D14" i="38" s="1"/>
  <c r="E7" i="38"/>
  <c r="D7" i="38" s="1"/>
  <c r="E6" i="38"/>
  <c r="D6" i="38" s="1"/>
  <c r="E9" i="38"/>
  <c r="D9" i="38" s="1"/>
  <c r="E13" i="395" l="1"/>
  <c r="G13" i="395" s="1"/>
  <c r="E13" i="394"/>
  <c r="G13" i="394" s="1"/>
  <c r="E13" i="393"/>
  <c r="G13" i="393" s="1"/>
  <c r="E13" i="373"/>
  <c r="G13" i="373" s="1"/>
  <c r="E13" i="372"/>
  <c r="G13" i="372" s="1"/>
  <c r="E13" i="371"/>
  <c r="G13" i="371" s="1"/>
  <c r="E13" i="384"/>
  <c r="G13" i="384" s="1"/>
  <c r="E13" i="362"/>
  <c r="G13" i="362" s="1"/>
  <c r="E13" i="383"/>
  <c r="G13" i="383" s="1"/>
  <c r="E13" i="361"/>
  <c r="G13" i="361" s="1"/>
  <c r="E13" i="382"/>
  <c r="G13" i="382" s="1"/>
  <c r="E13" i="360"/>
  <c r="G13" i="360" s="1"/>
  <c r="E21" i="120" l="1"/>
  <c r="G21" i="120" s="1"/>
  <c r="E21" i="119"/>
  <c r="G21" i="119" s="1"/>
  <c r="C27" i="111"/>
  <c r="E27" i="111" s="1"/>
  <c r="G12" i="104"/>
  <c r="C28" i="101"/>
  <c r="E28" i="101" s="1"/>
  <c r="C28" i="100"/>
  <c r="E28" i="100" s="1"/>
  <c r="G28" i="100" l="1"/>
  <c r="G28" i="101"/>
  <c r="G27" i="111"/>
  <c r="F44" i="410"/>
  <c r="F43" i="410"/>
  <c r="F42" i="410"/>
  <c r="H30" i="410"/>
  <c r="F44" i="409"/>
  <c r="F43" i="409"/>
  <c r="F42" i="409"/>
  <c r="H30" i="409"/>
  <c r="F45" i="408"/>
  <c r="F44" i="408"/>
  <c r="F43" i="408"/>
  <c r="H31" i="408"/>
  <c r="H25" i="408"/>
  <c r="G23" i="302"/>
  <c r="E22" i="302"/>
  <c r="G22" i="302" s="1"/>
  <c r="G23" i="301"/>
  <c r="E22" i="301"/>
  <c r="G22" i="301" s="1"/>
  <c r="G23" i="300"/>
  <c r="E22" i="300"/>
  <c r="G22" i="300" s="1"/>
  <c r="G23" i="299"/>
  <c r="D35" i="296"/>
  <c r="E21" i="290"/>
  <c r="E22" i="290"/>
  <c r="E22" i="259" l="1"/>
  <c r="E21" i="259"/>
  <c r="D274" i="31"/>
  <c r="E21" i="250" s="1"/>
  <c r="D271" i="31"/>
  <c r="E22" i="249" s="1"/>
  <c r="E21" i="108" l="1"/>
  <c r="E15" i="107"/>
  <c r="G15" i="107" s="1"/>
  <c r="E15" i="106"/>
  <c r="G15" i="106" s="1"/>
  <c r="E13" i="99"/>
  <c r="G13" i="99" s="1"/>
  <c r="E14" i="98"/>
  <c r="G14" i="98" s="1"/>
  <c r="G118" i="13" l="1"/>
  <c r="E21" i="267" l="1"/>
  <c r="E21" i="266"/>
  <c r="F45" i="407"/>
  <c r="F44" i="407"/>
  <c r="F43" i="407"/>
  <c r="H31" i="407"/>
  <c r="H25" i="407"/>
  <c r="F45" i="406" l="1"/>
  <c r="F44" i="406"/>
  <c r="F43" i="406"/>
  <c r="H38" i="406"/>
  <c r="H31" i="406"/>
  <c r="H18" i="406"/>
  <c r="E12" i="405"/>
  <c r="G12" i="405" s="1"/>
  <c r="F45" i="405"/>
  <c r="F44" i="405"/>
  <c r="F43" i="405"/>
  <c r="H38" i="405"/>
  <c r="H31" i="405"/>
  <c r="H25" i="405"/>
  <c r="E12" i="187"/>
  <c r="E12" i="188"/>
  <c r="E12" i="189"/>
  <c r="E12" i="173"/>
  <c r="E12" i="174"/>
  <c r="E12" i="175"/>
  <c r="E13" i="182"/>
  <c r="G13" i="182" s="1"/>
  <c r="E13" i="181"/>
  <c r="G13" i="181" s="1"/>
  <c r="E12" i="167"/>
  <c r="E12" i="168"/>
  <c r="E13" i="180"/>
  <c r="G13" i="180" s="1"/>
  <c r="E12" i="166"/>
  <c r="E13" i="179"/>
  <c r="G13" i="179" s="1"/>
  <c r="E13" i="178"/>
  <c r="G13" i="178" s="1"/>
  <c r="E13" i="177"/>
  <c r="G13" i="177" s="1"/>
  <c r="E13" i="176"/>
  <c r="G13" i="176" s="1"/>
  <c r="H18" i="405" l="1"/>
  <c r="H40" i="405" s="1"/>
  <c r="G44" i="405" l="1"/>
  <c r="G43" i="405"/>
  <c r="G45" i="405"/>
  <c r="H46" i="405" l="1"/>
  <c r="H48" i="405" s="1"/>
  <c r="D13" i="24" s="1"/>
  <c r="E12" i="86"/>
  <c r="E12" i="85"/>
  <c r="E12" i="84"/>
  <c r="E12" i="83"/>
  <c r="H13" i="24" l="1"/>
  <c r="F13" i="24"/>
  <c r="E13" i="98"/>
  <c r="G13" i="98" s="1"/>
  <c r="F28" i="116"/>
  <c r="F28" i="115"/>
  <c r="E16" i="94" l="1"/>
  <c r="G16" i="94" s="1"/>
  <c r="E15" i="94"/>
  <c r="G15" i="94" s="1"/>
  <c r="E21" i="125" l="1"/>
  <c r="E22" i="299" l="1"/>
  <c r="E25" i="253"/>
  <c r="G25" i="253" s="1"/>
  <c r="E24" i="253"/>
  <c r="G24" i="253" s="1"/>
  <c r="E24" i="252"/>
  <c r="G24" i="252" s="1"/>
  <c r="G23" i="252"/>
  <c r="E26" i="252"/>
  <c r="G26" i="252" s="1"/>
  <c r="E25" i="251" l="1"/>
  <c r="G22" i="251"/>
  <c r="E25" i="98"/>
  <c r="E23" i="98"/>
  <c r="G22" i="259" l="1"/>
  <c r="G21" i="259"/>
  <c r="E23" i="244"/>
  <c r="G23" i="244" s="1"/>
  <c r="E22" i="244"/>
  <c r="G22" i="244" s="1"/>
  <c r="E14" i="71" l="1"/>
  <c r="G14" i="71" s="1"/>
  <c r="E23" i="68"/>
  <c r="G23" i="68" s="1"/>
  <c r="E22" i="68"/>
  <c r="G22" i="68" s="1"/>
  <c r="E21" i="68"/>
  <c r="G21" i="68" s="1"/>
  <c r="E23" i="60"/>
  <c r="G23" i="60" s="1"/>
  <c r="E22" i="60"/>
  <c r="G22" i="60" s="1"/>
  <c r="E21" i="60"/>
  <c r="D33" i="31"/>
  <c r="E22" i="99" s="1"/>
  <c r="G22" i="99" s="1"/>
  <c r="E14" i="107" l="1"/>
  <c r="E14" i="97"/>
  <c r="G14" i="97" s="1"/>
  <c r="E14" i="96"/>
  <c r="G14" i="96" s="1"/>
  <c r="E14" i="95"/>
  <c r="G14" i="95" s="1"/>
  <c r="E14" i="92"/>
  <c r="G14" i="92" s="1"/>
  <c r="E14" i="89"/>
  <c r="G14" i="89" s="1"/>
  <c r="E14" i="88"/>
  <c r="G14" i="88" s="1"/>
  <c r="E14" i="403"/>
  <c r="G14" i="403" s="1"/>
  <c r="E14" i="106"/>
  <c r="E14" i="402"/>
  <c r="G14" i="402" s="1"/>
  <c r="E14" i="401"/>
  <c r="G14" i="401" s="1"/>
  <c r="E14" i="94"/>
  <c r="G14" i="94" s="1"/>
  <c r="E14" i="404"/>
  <c r="G14" i="404" s="1"/>
  <c r="E21" i="302"/>
  <c r="G21" i="302" s="1"/>
  <c r="H25" i="302" s="1"/>
  <c r="E21" i="301"/>
  <c r="G21" i="301" s="1"/>
  <c r="E21" i="300"/>
  <c r="G21" i="300" s="1"/>
  <c r="E13" i="77"/>
  <c r="G13" i="77" s="1"/>
  <c r="E13" i="81"/>
  <c r="G13" i="81" s="1"/>
  <c r="E13" i="80"/>
  <c r="G13" i="80" s="1"/>
  <c r="E13" i="85"/>
  <c r="G13" i="85" s="1"/>
  <c r="E13" i="78"/>
  <c r="G13" i="78" s="1"/>
  <c r="E13" i="82"/>
  <c r="G13" i="82" s="1"/>
  <c r="E13" i="79"/>
  <c r="G13" i="79" s="1"/>
  <c r="E13" i="86"/>
  <c r="G13" i="86" s="1"/>
  <c r="E14" i="64"/>
  <c r="G14" i="64" s="1"/>
  <c r="E21" i="298"/>
  <c r="E21" i="299"/>
  <c r="G21" i="299" s="1"/>
  <c r="G66" i="31"/>
  <c r="F66" i="31"/>
  <c r="E66" i="31"/>
  <c r="D58" i="31"/>
  <c r="D66" i="31" l="1"/>
  <c r="G25" i="98"/>
  <c r="G23" i="98"/>
  <c r="E12" i="102" l="1"/>
  <c r="G12" i="102" s="1"/>
  <c r="E13" i="102"/>
  <c r="G13" i="102" s="1"/>
  <c r="E21" i="101"/>
  <c r="E21" i="100"/>
  <c r="E13" i="70" l="1"/>
  <c r="G13" i="70" s="1"/>
  <c r="E13" i="69"/>
  <c r="G13" i="69" s="1"/>
  <c r="E13" i="63"/>
  <c r="G13" i="63" s="1"/>
  <c r="E13" i="62"/>
  <c r="G13" i="62" s="1"/>
  <c r="F9" i="31" l="1"/>
  <c r="E9" i="31"/>
  <c r="E22" i="101"/>
  <c r="G22" i="101" s="1"/>
  <c r="E22" i="100"/>
  <c r="G22" i="100" s="1"/>
  <c r="D9" i="31" l="1"/>
  <c r="E23" i="411"/>
  <c r="G23" i="411" s="1"/>
  <c r="H25" i="411" s="1"/>
  <c r="E17" i="94"/>
  <c r="G17" i="94" s="1"/>
  <c r="E23" i="259"/>
  <c r="G23" i="259" s="1"/>
  <c r="E24" i="98"/>
  <c r="G24" i="98" s="1"/>
  <c r="E24" i="244"/>
  <c r="G24" i="244" s="1"/>
  <c r="C30" i="97"/>
  <c r="E30" i="97" s="1"/>
  <c r="C29" i="97"/>
  <c r="E29" i="97" s="1"/>
  <c r="E24" i="97"/>
  <c r="G24" i="97" s="1"/>
  <c r="E23" i="97"/>
  <c r="G23" i="97" s="1"/>
  <c r="E22" i="97"/>
  <c r="G22" i="97" s="1"/>
  <c r="E15" i="97"/>
  <c r="G15" i="97" s="1"/>
  <c r="E13" i="97"/>
  <c r="G13" i="97" s="1"/>
  <c r="C29" i="402"/>
  <c r="E29" i="402" s="1"/>
  <c r="C30" i="402"/>
  <c r="E30" i="402" s="1"/>
  <c r="C30" i="96"/>
  <c r="E30" i="96" s="1"/>
  <c r="C29" i="96"/>
  <c r="E29" i="96" s="1"/>
  <c r="E24" i="96"/>
  <c r="G24" i="96" s="1"/>
  <c r="E23" i="96"/>
  <c r="G23" i="96" s="1"/>
  <c r="E22" i="96"/>
  <c r="G22" i="96" s="1"/>
  <c r="E15" i="96"/>
  <c r="G15" i="96" s="1"/>
  <c r="E13" i="96"/>
  <c r="G13" i="96" s="1"/>
  <c r="C32" i="95"/>
  <c r="E32" i="95" s="1"/>
  <c r="C31" i="95"/>
  <c r="E31" i="95" s="1"/>
  <c r="E24" i="95"/>
  <c r="G24" i="95" s="1"/>
  <c r="E23" i="95"/>
  <c r="G23" i="95" s="1"/>
  <c r="E22" i="95"/>
  <c r="G22" i="95" s="1"/>
  <c r="E15" i="95"/>
  <c r="G15" i="95" s="1"/>
  <c r="E13" i="95"/>
  <c r="G13" i="95" s="1"/>
  <c r="C32" i="94"/>
  <c r="E32" i="94" s="1"/>
  <c r="C31" i="94"/>
  <c r="E31" i="94" s="1"/>
  <c r="E25" i="94"/>
  <c r="G25" i="94" s="1"/>
  <c r="E24" i="94"/>
  <c r="G24" i="94" s="1"/>
  <c r="E23" i="94"/>
  <c r="G23" i="94" s="1"/>
  <c r="E13" i="94"/>
  <c r="G13" i="94" s="1"/>
  <c r="C30" i="92"/>
  <c r="E30" i="92" s="1"/>
  <c r="C29" i="92"/>
  <c r="E29" i="92" s="1"/>
  <c r="E21" i="92"/>
  <c r="E15" i="92"/>
  <c r="G15" i="92" s="1"/>
  <c r="E13" i="92"/>
  <c r="C33" i="89"/>
  <c r="E33" i="89" s="1"/>
  <c r="C33" i="88"/>
  <c r="E33" i="88" s="1"/>
  <c r="C32" i="89"/>
  <c r="E32" i="89" s="1"/>
  <c r="G32" i="89" s="1"/>
  <c r="C31" i="89"/>
  <c r="E31" i="89" s="1"/>
  <c r="C32" i="88"/>
  <c r="E32" i="88" s="1"/>
  <c r="C31" i="88"/>
  <c r="E31" i="88" s="1"/>
  <c r="C30" i="401"/>
  <c r="E30" i="401" s="1"/>
  <c r="C29" i="401"/>
  <c r="E29" i="401" s="1"/>
  <c r="C30" i="404"/>
  <c r="E30" i="404" s="1"/>
  <c r="C29" i="404"/>
  <c r="E29" i="404" s="1"/>
  <c r="C30" i="403"/>
  <c r="E30" i="403" s="1"/>
  <c r="C29" i="403"/>
  <c r="E29" i="403" s="1"/>
  <c r="C30" i="87"/>
  <c r="E30" i="87" s="1"/>
  <c r="C29" i="87"/>
  <c r="E29" i="87" s="1"/>
  <c r="G29" i="403" l="1"/>
  <c r="G30" i="402"/>
  <c r="G29" i="402"/>
  <c r="G29" i="97"/>
  <c r="G30" i="97"/>
  <c r="G29" i="96"/>
  <c r="G30" i="96"/>
  <c r="G31" i="95"/>
  <c r="G32" i="95"/>
  <c r="G32" i="94"/>
  <c r="G31" i="94"/>
  <c r="G29" i="92"/>
  <c r="G30" i="92"/>
  <c r="G33" i="88"/>
  <c r="G33" i="89"/>
  <c r="G31" i="89"/>
  <c r="G32" i="88"/>
  <c r="G29" i="87"/>
  <c r="G29" i="404"/>
  <c r="G29" i="401"/>
  <c r="G30" i="87"/>
  <c r="G30" i="404"/>
  <c r="G30" i="401"/>
  <c r="G30" i="403"/>
  <c r="G31" i="88"/>
  <c r="E24" i="275"/>
  <c r="G24" i="275" s="1"/>
  <c r="E23" i="275"/>
  <c r="G23" i="275" s="1"/>
  <c r="E24" i="274"/>
  <c r="G24" i="274" s="1"/>
  <c r="E23" i="274"/>
  <c r="G23" i="274" s="1"/>
  <c r="E24" i="273"/>
  <c r="G24" i="273" s="1"/>
  <c r="E23" i="273"/>
  <c r="G23" i="273" s="1"/>
  <c r="E24" i="272"/>
  <c r="G24" i="272" s="1"/>
  <c r="E23" i="272"/>
  <c r="G23" i="272" s="1"/>
  <c r="E24" i="271"/>
  <c r="G24" i="271" s="1"/>
  <c r="E23" i="271"/>
  <c r="G23" i="271" s="1"/>
  <c r="E24" i="270"/>
  <c r="G24" i="270" s="1"/>
  <c r="E23" i="270"/>
  <c r="G23" i="270" s="1"/>
  <c r="H34" i="403" l="1"/>
  <c r="H34" i="402"/>
  <c r="H34" i="88"/>
  <c r="H34" i="94"/>
  <c r="H34" i="95"/>
  <c r="H34" i="87"/>
  <c r="H34" i="404"/>
  <c r="H32" i="92"/>
  <c r="E24" i="269"/>
  <c r="G24" i="269" s="1"/>
  <c r="E23" i="269"/>
  <c r="G23" i="269" s="1"/>
  <c r="E24" i="268"/>
  <c r="G24" i="268" s="1"/>
  <c r="E23" i="268"/>
  <c r="G23" i="268" s="1"/>
  <c r="G22" i="290" l="1"/>
  <c r="G21" i="290"/>
  <c r="F48" i="404"/>
  <c r="F47" i="404"/>
  <c r="F46" i="404"/>
  <c r="E24" i="404"/>
  <c r="G24" i="404" s="1"/>
  <c r="E23" i="404"/>
  <c r="G23" i="404" s="1"/>
  <c r="E22" i="404"/>
  <c r="G22" i="404" s="1"/>
  <c r="E13" i="404"/>
  <c r="G13" i="404" s="1"/>
  <c r="F48" i="403"/>
  <c r="F47" i="403"/>
  <c r="F46" i="403"/>
  <c r="E24" i="403"/>
  <c r="G24" i="403" s="1"/>
  <c r="E23" i="403"/>
  <c r="G23" i="403" s="1"/>
  <c r="E22" i="403"/>
  <c r="G22" i="403" s="1"/>
  <c r="E13" i="403"/>
  <c r="G13" i="403" s="1"/>
  <c r="F48" i="402"/>
  <c r="F47" i="402"/>
  <c r="F46" i="402"/>
  <c r="E24" i="402"/>
  <c r="G24" i="402" s="1"/>
  <c r="E23" i="402"/>
  <c r="G23" i="402" s="1"/>
  <c r="E22" i="402"/>
  <c r="G22" i="402" s="1"/>
  <c r="E13" i="402"/>
  <c r="G13" i="402" s="1"/>
  <c r="F48" i="401" l="1"/>
  <c r="F47" i="401"/>
  <c r="F46" i="401"/>
  <c r="H34" i="401"/>
  <c r="E24" i="401"/>
  <c r="G24" i="401" s="1"/>
  <c r="E23" i="401"/>
  <c r="G23" i="401" s="1"/>
  <c r="E22" i="401"/>
  <c r="G22" i="401" s="1"/>
  <c r="E13" i="401"/>
  <c r="G13" i="401" s="1"/>
  <c r="E23" i="87"/>
  <c r="E24" i="327" l="1"/>
  <c r="F95" i="31"/>
  <c r="G95" i="31"/>
  <c r="E95" i="31"/>
  <c r="G24" i="327"/>
  <c r="E94" i="31"/>
  <c r="G94" i="31"/>
  <c r="F94" i="31"/>
  <c r="F93" i="31"/>
  <c r="G93" i="31"/>
  <c r="E93" i="31"/>
  <c r="E24" i="325"/>
  <c r="G24" i="325" s="1"/>
  <c r="E92" i="31"/>
  <c r="G92" i="31"/>
  <c r="F92" i="31"/>
  <c r="E53" i="31"/>
  <c r="G53" i="31"/>
  <c r="F53" i="31"/>
  <c r="F44" i="400"/>
  <c r="F43" i="400"/>
  <c r="F42" i="400"/>
  <c r="H30" i="400"/>
  <c r="F44" i="399"/>
  <c r="F43" i="399"/>
  <c r="F42" i="399"/>
  <c r="H30" i="399"/>
  <c r="E26" i="89"/>
  <c r="G26" i="89" s="1"/>
  <c r="D95" i="31" l="1"/>
  <c r="D93" i="31"/>
  <c r="E25" i="325" s="1"/>
  <c r="G25" i="325" s="1"/>
  <c r="D53" i="31"/>
  <c r="D94" i="31"/>
  <c r="E25" i="326" s="1"/>
  <c r="G25" i="326" s="1"/>
  <c r="E25" i="327"/>
  <c r="G25" i="327" s="1"/>
  <c r="D92" i="31"/>
  <c r="E25" i="324" s="1"/>
  <c r="G25" i="324" s="1"/>
  <c r="G13" i="92"/>
  <c r="E22" i="92"/>
  <c r="E24" i="89"/>
  <c r="E13" i="89"/>
  <c r="G13" i="89" s="1"/>
  <c r="E24" i="88"/>
  <c r="E13" i="88"/>
  <c r="G13" i="88" s="1"/>
  <c r="E13" i="87"/>
  <c r="G13" i="87" s="1"/>
  <c r="E25" i="95"/>
  <c r="E22" i="264"/>
  <c r="E21" i="264"/>
  <c r="E20" i="297"/>
  <c r="E21" i="297"/>
  <c r="G21" i="297" s="1"/>
  <c r="E22" i="232" l="1"/>
  <c r="G22" i="232" s="1"/>
  <c r="E22" i="231"/>
  <c r="G22" i="231" s="1"/>
  <c r="E22" i="230"/>
  <c r="G22" i="230" s="1"/>
  <c r="E22" i="229"/>
  <c r="G22" i="229" s="1"/>
  <c r="E22" i="227"/>
  <c r="G22" i="227" s="1"/>
  <c r="E21" i="228"/>
  <c r="G21" i="228" s="1"/>
  <c r="E21" i="226"/>
  <c r="G21" i="226" s="1"/>
  <c r="E25" i="291" l="1"/>
  <c r="G25" i="291" s="1"/>
  <c r="E24" i="291"/>
  <c r="G24" i="291" s="1"/>
  <c r="E23" i="291"/>
  <c r="G23" i="291" s="1"/>
  <c r="G21" i="291"/>
  <c r="E23" i="294"/>
  <c r="G23" i="294" s="1"/>
  <c r="E22" i="294"/>
  <c r="E21" i="294"/>
  <c r="E22" i="293"/>
  <c r="E21" i="293"/>
  <c r="H31" i="35"/>
  <c r="E22" i="292" l="1"/>
  <c r="G22" i="292" s="1"/>
  <c r="E21" i="292"/>
  <c r="G12" i="292"/>
  <c r="E24" i="295"/>
  <c r="G24" i="295" s="1"/>
  <c r="E23" i="295"/>
  <c r="E22" i="295"/>
  <c r="E21" i="295"/>
  <c r="G21" i="295" s="1"/>
  <c r="G63" i="22"/>
  <c r="D19" i="22"/>
  <c r="D13" i="22"/>
  <c r="D12" i="22"/>
  <c r="H51" i="22"/>
  <c r="H52" i="22"/>
  <c r="F49" i="22" l="1"/>
  <c r="G50" i="22" l="1"/>
  <c r="H50" i="22" s="1"/>
  <c r="G53" i="22"/>
  <c r="E13" i="22"/>
  <c r="D6" i="22"/>
  <c r="D37" i="22" s="1"/>
  <c r="F13" i="22"/>
  <c r="F12" i="22"/>
  <c r="F19" i="22"/>
  <c r="D29" i="22" l="1"/>
  <c r="F29" i="22" s="1"/>
  <c r="D31" i="22"/>
  <c r="F31" i="22" s="1"/>
  <c r="E31" i="22" l="1"/>
  <c r="D30" i="22"/>
  <c r="F30" i="22" s="1"/>
  <c r="E30" i="22" l="1"/>
  <c r="D36" i="22"/>
  <c r="F36" i="22" s="1"/>
  <c r="D35" i="22"/>
  <c r="F35" i="22" s="1"/>
  <c r="F37" i="22"/>
  <c r="D25" i="22" l="1"/>
  <c r="F25" i="22" l="1"/>
  <c r="E25" i="22"/>
  <c r="E29" i="22"/>
  <c r="F7" i="22"/>
  <c r="D24" i="22"/>
  <c r="G24" i="22" s="1"/>
  <c r="E35" i="22"/>
  <c r="F298" i="31"/>
  <c r="F297" i="31"/>
  <c r="F296" i="31"/>
  <c r="F295" i="31"/>
  <c r="F294" i="31"/>
  <c r="F291" i="31"/>
  <c r="E24" i="22" l="1"/>
  <c r="F24" i="22"/>
  <c r="E171" i="31"/>
  <c r="E170" i="31"/>
  <c r="E169" i="31"/>
  <c r="G171" i="31"/>
  <c r="G170" i="31"/>
  <c r="G169" i="31"/>
  <c r="F171" i="31"/>
  <c r="F170" i="31"/>
  <c r="F169" i="31"/>
  <c r="E185" i="31"/>
  <c r="E183" i="31"/>
  <c r="E182" i="31"/>
  <c r="E180" i="31"/>
  <c r="E179" i="31"/>
  <c r="E178" i="31"/>
  <c r="E177" i="31"/>
  <c r="E176" i="31"/>
  <c r="G185" i="31"/>
  <c r="G183" i="31"/>
  <c r="G182" i="31"/>
  <c r="G180" i="31"/>
  <c r="G179" i="31"/>
  <c r="G178" i="31"/>
  <c r="G177" i="31"/>
  <c r="G176" i="31"/>
  <c r="F185" i="31"/>
  <c r="F183" i="31"/>
  <c r="F182" i="31"/>
  <c r="F180" i="31"/>
  <c r="F179" i="31"/>
  <c r="F178" i="31"/>
  <c r="F177" i="31"/>
  <c r="F176" i="31"/>
  <c r="E131" i="31"/>
  <c r="E130" i="31"/>
  <c r="G131" i="31"/>
  <c r="G130" i="31"/>
  <c r="F131" i="31"/>
  <c r="F130" i="31"/>
  <c r="E236" i="31"/>
  <c r="E235" i="31"/>
  <c r="E234" i="31"/>
  <c r="E233" i="31"/>
  <c r="E232" i="31"/>
  <c r="E231" i="31"/>
  <c r="E230" i="31"/>
  <c r="E229" i="31"/>
  <c r="E237" i="31"/>
  <c r="E228" i="31"/>
  <c r="E227" i="31"/>
  <c r="E226" i="31"/>
  <c r="E225" i="31"/>
  <c r="E224" i="31"/>
  <c r="E223" i="31"/>
  <c r="E222" i="31"/>
  <c r="E221" i="31"/>
  <c r="E220" i="31"/>
  <c r="E219" i="31"/>
  <c r="D131" i="31" l="1"/>
  <c r="D177" i="31"/>
  <c r="D179" i="31"/>
  <c r="D182" i="31"/>
  <c r="D185" i="31"/>
  <c r="D170" i="31"/>
  <c r="D130" i="31"/>
  <c r="D176" i="31"/>
  <c r="D178" i="31"/>
  <c r="D180" i="31"/>
  <c r="D183" i="31"/>
  <c r="D169" i="31"/>
  <c r="D171" i="31"/>
  <c r="G237" i="31"/>
  <c r="G235" i="31"/>
  <c r="G234" i="31"/>
  <c r="G233" i="31"/>
  <c r="G232" i="31"/>
  <c r="G231" i="31"/>
  <c r="G230" i="31"/>
  <c r="G229" i="31"/>
  <c r="G228" i="31"/>
  <c r="G227" i="31"/>
  <c r="G226" i="31"/>
  <c r="G225" i="31"/>
  <c r="G224" i="31"/>
  <c r="G223" i="31"/>
  <c r="G222" i="31"/>
  <c r="G221" i="31"/>
  <c r="G220" i="31"/>
  <c r="G219" i="31"/>
  <c r="G236" i="31"/>
  <c r="F236" i="31"/>
  <c r="F235" i="31"/>
  <c r="F234" i="31"/>
  <c r="F233" i="31"/>
  <c r="F232" i="31"/>
  <c r="F231" i="31"/>
  <c r="F230" i="31"/>
  <c r="F229" i="31"/>
  <c r="F237" i="31"/>
  <c r="F228" i="31"/>
  <c r="D228" i="31" s="1"/>
  <c r="F227" i="31"/>
  <c r="D227" i="31" s="1"/>
  <c r="F226" i="31"/>
  <c r="D226" i="31" s="1"/>
  <c r="F225" i="31"/>
  <c r="D225" i="31" s="1"/>
  <c r="F224" i="31"/>
  <c r="D224" i="31" s="1"/>
  <c r="F223" i="31"/>
  <c r="D223" i="31" s="1"/>
  <c r="F222" i="31"/>
  <c r="F221" i="31"/>
  <c r="D221" i="31" s="1"/>
  <c r="E21" i="343" s="1"/>
  <c r="F220" i="31"/>
  <c r="D220" i="31" s="1"/>
  <c r="F219" i="31"/>
  <c r="D219" i="31" s="1"/>
  <c r="F217" i="31"/>
  <c r="F215" i="31"/>
  <c r="G217" i="31"/>
  <c r="G215" i="31"/>
  <c r="E217" i="31"/>
  <c r="E215" i="31"/>
  <c r="E214" i="31"/>
  <c r="E213" i="31"/>
  <c r="E212" i="31"/>
  <c r="E211" i="31"/>
  <c r="E210" i="31"/>
  <c r="E209" i="31"/>
  <c r="E208" i="31"/>
  <c r="E207" i="31"/>
  <c r="E206" i="31"/>
  <c r="E205" i="31"/>
  <c r="E204" i="31"/>
  <c r="E203" i="31"/>
  <c r="E202" i="31"/>
  <c r="E201" i="31"/>
  <c r="E200" i="31"/>
  <c r="E199" i="31"/>
  <c r="E198" i="31"/>
  <c r="E197" i="31"/>
  <c r="E196" i="31"/>
  <c r="G214" i="31"/>
  <c r="G213" i="31"/>
  <c r="G212" i="31"/>
  <c r="G211" i="31"/>
  <c r="G210" i="31"/>
  <c r="G209" i="31"/>
  <c r="G208" i="31"/>
  <c r="G207" i="31"/>
  <c r="G206" i="31"/>
  <c r="G205" i="31"/>
  <c r="G204" i="31"/>
  <c r="G203" i="31"/>
  <c r="G202" i="31"/>
  <c r="G201" i="31"/>
  <c r="G200" i="31"/>
  <c r="G199" i="31"/>
  <c r="G198" i="31"/>
  <c r="G197" i="31"/>
  <c r="G196" i="31"/>
  <c r="F214" i="31"/>
  <c r="F213" i="31"/>
  <c r="F212" i="31"/>
  <c r="F211" i="31"/>
  <c r="F210" i="31"/>
  <c r="F209" i="31"/>
  <c r="F208" i="31"/>
  <c r="F207" i="31"/>
  <c r="F206" i="31"/>
  <c r="F205" i="31"/>
  <c r="F204" i="31"/>
  <c r="F203" i="31"/>
  <c r="F202" i="31"/>
  <c r="F201" i="31"/>
  <c r="F200" i="31"/>
  <c r="F199" i="31"/>
  <c r="F198" i="31"/>
  <c r="F197" i="31"/>
  <c r="F196" i="31"/>
  <c r="E195" i="31"/>
  <c r="E194" i="31"/>
  <c r="E193" i="31"/>
  <c r="E192" i="31"/>
  <c r="E191" i="31"/>
  <c r="E190" i="31"/>
  <c r="E189" i="31"/>
  <c r="E188" i="31"/>
  <c r="E187" i="31"/>
  <c r="E186" i="31"/>
  <c r="G195" i="31"/>
  <c r="G194" i="31"/>
  <c r="G193" i="31"/>
  <c r="G192" i="31"/>
  <c r="G191" i="31"/>
  <c r="G190" i="31"/>
  <c r="G189" i="31"/>
  <c r="G188" i="31"/>
  <c r="G187" i="31"/>
  <c r="G186" i="31"/>
  <c r="F195" i="31"/>
  <c r="F194" i="31"/>
  <c r="F193" i="31"/>
  <c r="F192" i="31"/>
  <c r="F191" i="31"/>
  <c r="F190" i="31"/>
  <c r="F189" i="31"/>
  <c r="F188" i="31"/>
  <c r="F187" i="31"/>
  <c r="F186" i="31"/>
  <c r="E175" i="31"/>
  <c r="E174" i="31"/>
  <c r="E173" i="31"/>
  <c r="E172" i="31"/>
  <c r="G175" i="31"/>
  <c r="G174" i="31"/>
  <c r="G173" i="31"/>
  <c r="G172" i="31"/>
  <c r="F175" i="31"/>
  <c r="F174" i="31"/>
  <c r="F173" i="31"/>
  <c r="F172" i="31"/>
  <c r="E168" i="31"/>
  <c r="E167" i="31"/>
  <c r="G168" i="31"/>
  <c r="G167" i="31"/>
  <c r="F168" i="31"/>
  <c r="F167" i="31"/>
  <c r="E160" i="31"/>
  <c r="E159" i="31"/>
  <c r="E158" i="31"/>
  <c r="E157" i="31"/>
  <c r="G160" i="31"/>
  <c r="G159" i="31"/>
  <c r="G158" i="31"/>
  <c r="G157" i="31"/>
  <c r="F160" i="31"/>
  <c r="F159" i="31"/>
  <c r="F158" i="31"/>
  <c r="F157" i="31"/>
  <c r="E152" i="31"/>
  <c r="E151" i="31"/>
  <c r="E150" i="31"/>
  <c r="E149" i="31"/>
  <c r="E148" i="31"/>
  <c r="E147" i="31"/>
  <c r="G152" i="31"/>
  <c r="G151" i="31"/>
  <c r="G150" i="31"/>
  <c r="G149" i="31"/>
  <c r="G148" i="31"/>
  <c r="G147" i="31"/>
  <c r="F152" i="31"/>
  <c r="F151" i="31"/>
  <c r="F150" i="31"/>
  <c r="F149" i="31"/>
  <c r="F148" i="31"/>
  <c r="F147" i="31"/>
  <c r="D217" i="31" l="1"/>
  <c r="D222" i="31"/>
  <c r="D215" i="31"/>
  <c r="D237" i="31"/>
  <c r="D230" i="31"/>
  <c r="D232" i="31"/>
  <c r="D234" i="31"/>
  <c r="D236" i="31"/>
  <c r="D229" i="31"/>
  <c r="D231" i="31"/>
  <c r="D233" i="31"/>
  <c r="D235" i="31"/>
  <c r="D148" i="31"/>
  <c r="D150" i="31"/>
  <c r="D152" i="31"/>
  <c r="D158" i="31"/>
  <c r="D160" i="31"/>
  <c r="D168" i="31"/>
  <c r="D173" i="31"/>
  <c r="E20" i="399" s="1"/>
  <c r="G20" i="399" s="1"/>
  <c r="D175" i="31"/>
  <c r="E20" i="320" s="1"/>
  <c r="D187" i="31"/>
  <c r="D189" i="31"/>
  <c r="D191" i="31"/>
  <c r="D193" i="31"/>
  <c r="D195" i="31"/>
  <c r="D197" i="31"/>
  <c r="D199" i="31"/>
  <c r="D201" i="31"/>
  <c r="D203" i="31"/>
  <c r="D205" i="31"/>
  <c r="D207" i="31"/>
  <c r="D209" i="31"/>
  <c r="D211" i="31"/>
  <c r="D213" i="31"/>
  <c r="E24" i="324"/>
  <c r="G24" i="324" s="1"/>
  <c r="D147" i="31"/>
  <c r="D149" i="31"/>
  <c r="D151" i="31"/>
  <c r="D157" i="31"/>
  <c r="D159" i="31"/>
  <c r="D167" i="31"/>
  <c r="D172" i="31"/>
  <c r="E20" i="319" s="1"/>
  <c r="D174" i="31"/>
  <c r="E20" i="400" s="1"/>
  <c r="G20" i="400" s="1"/>
  <c r="D186" i="31"/>
  <c r="D188" i="31"/>
  <c r="D190" i="31"/>
  <c r="D192" i="31"/>
  <c r="D194" i="31"/>
  <c r="D196" i="31"/>
  <c r="D198" i="31"/>
  <c r="D200" i="31"/>
  <c r="D202" i="31"/>
  <c r="D204" i="31"/>
  <c r="D206" i="31"/>
  <c r="D208" i="31"/>
  <c r="D210" i="31"/>
  <c r="D212" i="31"/>
  <c r="D214" i="31"/>
  <c r="E24" i="326"/>
  <c r="G24" i="326" s="1"/>
  <c r="E146" i="31"/>
  <c r="E145" i="31"/>
  <c r="E144" i="31"/>
  <c r="E143" i="31"/>
  <c r="E142" i="31"/>
  <c r="E141" i="31"/>
  <c r="E140" i="31"/>
  <c r="G146" i="31"/>
  <c r="G145" i="31"/>
  <c r="G144" i="31"/>
  <c r="G143" i="31"/>
  <c r="G142" i="31"/>
  <c r="G141" i="31"/>
  <c r="G140" i="31"/>
  <c r="F146" i="31"/>
  <c r="F145" i="31"/>
  <c r="F144" i="31"/>
  <c r="F143" i="31"/>
  <c r="F142" i="31"/>
  <c r="F141" i="31"/>
  <c r="F140" i="31"/>
  <c r="F45" i="397"/>
  <c r="F44" i="397"/>
  <c r="F43" i="397"/>
  <c r="H31" i="397"/>
  <c r="E23" i="397"/>
  <c r="G23" i="397" s="1"/>
  <c r="E22" i="397"/>
  <c r="G22" i="397" s="1"/>
  <c r="E23" i="398"/>
  <c r="G23" i="398" s="1"/>
  <c r="E22" i="398"/>
  <c r="G22" i="398" s="1"/>
  <c r="F45" i="398"/>
  <c r="F44" i="398"/>
  <c r="F43" i="398"/>
  <c r="H31" i="398"/>
  <c r="E12" i="119"/>
  <c r="G12" i="119" s="1"/>
  <c r="E12" i="120"/>
  <c r="G12" i="120" s="1"/>
  <c r="D140" i="31" l="1"/>
  <c r="D142" i="31"/>
  <c r="D144" i="31"/>
  <c r="D146" i="31"/>
  <c r="D141" i="31"/>
  <c r="D143" i="31"/>
  <c r="D145" i="31"/>
  <c r="E135" i="31"/>
  <c r="E134" i="31"/>
  <c r="E133" i="31"/>
  <c r="E132" i="31"/>
  <c r="G135" i="31"/>
  <c r="G134" i="31"/>
  <c r="G133" i="31"/>
  <c r="G132" i="31"/>
  <c r="F135" i="31"/>
  <c r="F134" i="31"/>
  <c r="F133" i="31"/>
  <c r="F132" i="31"/>
  <c r="D133" i="31" l="1"/>
  <c r="D135" i="31"/>
  <c r="D132" i="31"/>
  <c r="D134" i="31"/>
  <c r="F129" i="31"/>
  <c r="F128" i="31"/>
  <c r="F127" i="31"/>
  <c r="F126" i="31"/>
  <c r="F125" i="31"/>
  <c r="F124" i="31"/>
  <c r="F123" i="31"/>
  <c r="F122" i="31"/>
  <c r="F121" i="31"/>
  <c r="F120" i="31"/>
  <c r="F119" i="31"/>
  <c r="F118" i="31"/>
  <c r="F117" i="31"/>
  <c r="F116" i="31"/>
  <c r="F115" i="31"/>
  <c r="F114" i="31"/>
  <c r="F113" i="31"/>
  <c r="F112" i="31"/>
  <c r="F111" i="31"/>
  <c r="F110" i="31"/>
  <c r="F109" i="31"/>
  <c r="F108" i="31"/>
  <c r="F107" i="31"/>
  <c r="F106" i="31"/>
  <c r="F105" i="31"/>
  <c r="F104" i="31"/>
  <c r="F103" i="31"/>
  <c r="F102" i="31"/>
  <c r="F101" i="31"/>
  <c r="F100" i="31"/>
  <c r="F99" i="31"/>
  <c r="F98" i="31"/>
  <c r="F97"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E129" i="31"/>
  <c r="E128" i="31"/>
  <c r="E127" i="31"/>
  <c r="E126" i="31"/>
  <c r="E125" i="31"/>
  <c r="E124" i="31"/>
  <c r="E123" i="31"/>
  <c r="E122" i="31"/>
  <c r="D123" i="31" l="1"/>
  <c r="D125" i="31"/>
  <c r="D127" i="31"/>
  <c r="D129" i="31"/>
  <c r="D122" i="31"/>
  <c r="D124" i="31"/>
  <c r="D126" i="31"/>
  <c r="D128" i="31"/>
  <c r="E121" i="31"/>
  <c r="D121" i="31" s="1"/>
  <c r="E120" i="31"/>
  <c r="D120" i="31" s="1"/>
  <c r="E119" i="31"/>
  <c r="D119" i="31" s="1"/>
  <c r="E118" i="31"/>
  <c r="D118" i="31" s="1"/>
  <c r="E117" i="31"/>
  <c r="D117" i="31" s="1"/>
  <c r="E116" i="31"/>
  <c r="D116" i="31" s="1"/>
  <c r="E115" i="31"/>
  <c r="D115" i="31" s="1"/>
  <c r="E114" i="31"/>
  <c r="D114" i="31" s="1"/>
  <c r="E113" i="31"/>
  <c r="D113" i="31" s="1"/>
  <c r="E112" i="31"/>
  <c r="D112" i="31" s="1"/>
  <c r="E111" i="31"/>
  <c r="D111" i="31" s="1"/>
  <c r="E110" i="31"/>
  <c r="D110" i="31" s="1"/>
  <c r="E109" i="31"/>
  <c r="D109" i="31" s="1"/>
  <c r="E108" i="31"/>
  <c r="D108" i="31" s="1"/>
  <c r="E107" i="31"/>
  <c r="D107" i="31" s="1"/>
  <c r="E106" i="31"/>
  <c r="D106" i="31" s="1"/>
  <c r="E105" i="31"/>
  <c r="D105" i="31" s="1"/>
  <c r="E104" i="31"/>
  <c r="D104" i="31" s="1"/>
  <c r="E103" i="31"/>
  <c r="D103" i="31" s="1"/>
  <c r="E102" i="31"/>
  <c r="D102" i="31" s="1"/>
  <c r="E101" i="31"/>
  <c r="D101" i="31" s="1"/>
  <c r="E100" i="31"/>
  <c r="D100" i="31" s="1"/>
  <c r="E99" i="31"/>
  <c r="D99" i="31" s="1"/>
  <c r="E98" i="31"/>
  <c r="D98" i="31" s="1"/>
  <c r="E97" i="31"/>
  <c r="D97" i="31" s="1"/>
  <c r="E96" i="31"/>
  <c r="G96" i="31"/>
  <c r="F96" i="31"/>
  <c r="D96" i="31" l="1"/>
  <c r="E26" i="31"/>
  <c r="G26" i="31"/>
  <c r="F26" i="31"/>
  <c r="F10" i="31"/>
  <c r="E23" i="253" s="1"/>
  <c r="E10" i="31"/>
  <c r="F3" i="31"/>
  <c r="E3" i="31"/>
  <c r="D3" i="31" l="1"/>
  <c r="E23" i="290" s="1"/>
  <c r="G23" i="290" s="1"/>
  <c r="H25" i="290" s="1"/>
  <c r="D10" i="31"/>
  <c r="D26" i="31"/>
  <c r="E24" i="385" s="1"/>
  <c r="G24" i="385" s="1"/>
  <c r="E23" i="254"/>
  <c r="E22" i="125"/>
  <c r="E22" i="124"/>
  <c r="E23" i="399" l="1"/>
  <c r="G23" i="399" s="1"/>
  <c r="E23" i="324"/>
  <c r="G23" i="324" s="1"/>
  <c r="E23" i="321"/>
  <c r="G23" i="321" s="1"/>
  <c r="E23" i="319"/>
  <c r="G23" i="319" s="1"/>
  <c r="E23" i="320"/>
  <c r="G23" i="320" s="1"/>
  <c r="E24" i="374"/>
  <c r="G24" i="374" s="1"/>
  <c r="E23" i="325"/>
  <c r="G23" i="325" s="1"/>
  <c r="E23" i="326"/>
  <c r="G23" i="326" s="1"/>
  <c r="E23" i="400"/>
  <c r="G23" i="400" s="1"/>
  <c r="E23" i="322"/>
  <c r="G23" i="322" s="1"/>
  <c r="E23" i="327"/>
  <c r="G23" i="327" s="1"/>
  <c r="E21" i="406"/>
  <c r="G21" i="406" s="1"/>
  <c r="H25" i="406" s="1"/>
  <c r="H40" i="406" s="1"/>
  <c r="E21" i="35"/>
  <c r="G43" i="406" l="1"/>
  <c r="G44" i="406"/>
  <c r="G45" i="406"/>
  <c r="I61" i="22"/>
  <c r="I60" i="22"/>
  <c r="E21" i="50"/>
  <c r="E19" i="44"/>
  <c r="H46" i="406" l="1"/>
  <c r="H48" i="406" s="1"/>
  <c r="D14" i="24" s="1"/>
  <c r="E328" i="31"/>
  <c r="D328" i="31" s="1"/>
  <c r="F316" i="31"/>
  <c r="E296" i="31"/>
  <c r="D296" i="31" s="1"/>
  <c r="F287" i="31"/>
  <c r="H14" i="24" l="1"/>
  <c r="F14" i="24"/>
  <c r="F289" i="31"/>
  <c r="F288" i="31"/>
  <c r="F286" i="31"/>
  <c r="F285" i="31"/>
  <c r="F284" i="31"/>
  <c r="F283" i="31"/>
  <c r="F282" i="31"/>
  <c r="F281" i="31"/>
  <c r="E327" i="31"/>
  <c r="D327" i="31" s="1"/>
  <c r="E326" i="31"/>
  <c r="D326" i="31" s="1"/>
  <c r="E325" i="31"/>
  <c r="D325" i="31" s="1"/>
  <c r="F327" i="31"/>
  <c r="F326" i="31"/>
  <c r="F325" i="31"/>
  <c r="E314" i="31"/>
  <c r="E313" i="31"/>
  <c r="E312" i="31"/>
  <c r="E311" i="31"/>
  <c r="E310" i="31"/>
  <c r="E309" i="31"/>
  <c r="E308" i="31"/>
  <c r="E307" i="31"/>
  <c r="E306" i="31"/>
  <c r="E305" i="31"/>
  <c r="E304" i="31"/>
  <c r="E303" i="31"/>
  <c r="E302" i="31"/>
  <c r="E301" i="31"/>
  <c r="E300" i="31"/>
  <c r="F307" i="31"/>
  <c r="F306" i="31"/>
  <c r="F305" i="31"/>
  <c r="F304" i="31"/>
  <c r="F303" i="31"/>
  <c r="F302" i="31"/>
  <c r="F301" i="31"/>
  <c r="F300" i="31"/>
  <c r="F314" i="31"/>
  <c r="D301" i="31" l="1"/>
  <c r="D303" i="31"/>
  <c r="E20" i="409" s="1"/>
  <c r="G20" i="409" s="1"/>
  <c r="H24" i="409" s="1"/>
  <c r="D305" i="31"/>
  <c r="D307" i="31"/>
  <c r="D300" i="31"/>
  <c r="D302" i="31"/>
  <c r="D304" i="31"/>
  <c r="E20" i="410" s="1"/>
  <c r="G20" i="410" s="1"/>
  <c r="H24" i="410" s="1"/>
  <c r="D306" i="31"/>
  <c r="D314" i="31"/>
  <c r="F313" i="31"/>
  <c r="D313" i="31" s="1"/>
  <c r="F312" i="31"/>
  <c r="D312" i="31" s="1"/>
  <c r="F311" i="31"/>
  <c r="D311" i="31" s="1"/>
  <c r="F310" i="31"/>
  <c r="D310" i="31" s="1"/>
  <c r="F309" i="31"/>
  <c r="D309" i="31" s="1"/>
  <c r="F308" i="31"/>
  <c r="D308" i="31" s="1"/>
  <c r="F338" i="31"/>
  <c r="D338" i="31" s="1"/>
  <c r="F337" i="31"/>
  <c r="D337" i="31" s="1"/>
  <c r="F336" i="31"/>
  <c r="D336" i="31" s="1"/>
  <c r="F335" i="31"/>
  <c r="D335" i="31" s="1"/>
  <c r="F334" i="31"/>
  <c r="D334" i="31" s="1"/>
  <c r="F323" i="31"/>
  <c r="F322" i="31"/>
  <c r="F321" i="31"/>
  <c r="F320" i="31"/>
  <c r="F319" i="31"/>
  <c r="F318" i="31"/>
  <c r="F317" i="31"/>
  <c r="G12" i="35" l="1"/>
  <c r="F267" i="31"/>
  <c r="F266" i="31"/>
  <c r="F265" i="31"/>
  <c r="F264" i="31"/>
  <c r="F263" i="31"/>
  <c r="F262" i="31"/>
  <c r="F261" i="31"/>
  <c r="F260" i="31"/>
  <c r="F259" i="31"/>
  <c r="F258" i="31"/>
  <c r="F257" i="31"/>
  <c r="E267" i="31"/>
  <c r="E266" i="31"/>
  <c r="E265" i="31"/>
  <c r="E264" i="31"/>
  <c r="E263" i="31"/>
  <c r="E262" i="31"/>
  <c r="E261" i="31"/>
  <c r="E260" i="31"/>
  <c r="E259" i="31"/>
  <c r="E258" i="31"/>
  <c r="E257" i="31"/>
  <c r="F255" i="31"/>
  <c r="F254" i="31"/>
  <c r="F253" i="31"/>
  <c r="F252" i="31"/>
  <c r="F251" i="31"/>
  <c r="F250" i="31"/>
  <c r="F249" i="31"/>
  <c r="F248" i="31"/>
  <c r="F247" i="31"/>
  <c r="F246" i="31"/>
  <c r="F245" i="31"/>
  <c r="E245" i="31"/>
  <c r="E255" i="31"/>
  <c r="D255" i="31" s="1"/>
  <c r="E254" i="31"/>
  <c r="D254" i="31" s="1"/>
  <c r="E253" i="31"/>
  <c r="D253" i="31" s="1"/>
  <c r="E252" i="31"/>
  <c r="D252" i="31" s="1"/>
  <c r="E251" i="31"/>
  <c r="D251" i="31" s="1"/>
  <c r="E250" i="31"/>
  <c r="D250" i="31" s="1"/>
  <c r="E249" i="31"/>
  <c r="D249" i="31" s="1"/>
  <c r="E248" i="31"/>
  <c r="D248" i="31" s="1"/>
  <c r="E247" i="31"/>
  <c r="D247" i="31" s="1"/>
  <c r="E246" i="31"/>
  <c r="D246" i="31" s="1"/>
  <c r="D245" i="31" l="1"/>
  <c r="D258" i="31"/>
  <c r="E20" i="386" s="1"/>
  <c r="D260" i="31"/>
  <c r="E20" i="388" s="1"/>
  <c r="D262" i="31"/>
  <c r="E20" i="390" s="1"/>
  <c r="D264" i="31"/>
  <c r="E20" i="392" s="1"/>
  <c r="D266" i="31"/>
  <c r="E20" i="394" s="1"/>
  <c r="D257" i="31"/>
  <c r="E20" i="385" s="1"/>
  <c r="D259" i="31"/>
  <c r="E20" i="387" s="1"/>
  <c r="D261" i="31"/>
  <c r="E20" i="389" s="1"/>
  <c r="D263" i="31"/>
  <c r="E20" i="391" s="1"/>
  <c r="D265" i="31"/>
  <c r="E20" i="393" s="1"/>
  <c r="D267" i="31"/>
  <c r="E20" i="395" s="1"/>
  <c r="E25" i="89"/>
  <c r="G25" i="89" s="1"/>
  <c r="E23" i="89"/>
  <c r="G23" i="89" s="1"/>
  <c r="G24" i="89"/>
  <c r="E15" i="89"/>
  <c r="G15" i="89" s="1"/>
  <c r="E25" i="88"/>
  <c r="G25" i="88" s="1"/>
  <c r="E23" i="88"/>
  <c r="E22" i="87"/>
  <c r="E323" i="31" l="1"/>
  <c r="D323" i="31" s="1"/>
  <c r="E322" i="31"/>
  <c r="D322" i="31" s="1"/>
  <c r="E321" i="31"/>
  <c r="D321" i="31" s="1"/>
  <c r="E320" i="31"/>
  <c r="D320" i="31" s="1"/>
  <c r="E319" i="31"/>
  <c r="D319" i="31" s="1"/>
  <c r="E318" i="31"/>
  <c r="D318" i="31" s="1"/>
  <c r="E317" i="31"/>
  <c r="D317" i="31" s="1"/>
  <c r="E316" i="31"/>
  <c r="D316" i="31" s="1"/>
  <c r="G269" i="31"/>
  <c r="F269" i="31"/>
  <c r="E269" i="31"/>
  <c r="G25" i="31"/>
  <c r="G24" i="31"/>
  <c r="F25" i="31"/>
  <c r="F24" i="31"/>
  <c r="E25" i="31"/>
  <c r="E24" i="31"/>
  <c r="G42" i="31"/>
  <c r="F42" i="31"/>
  <c r="E42" i="31"/>
  <c r="G166" i="31"/>
  <c r="F166" i="31"/>
  <c r="E166" i="31"/>
  <c r="E298" i="31"/>
  <c r="D298" i="31" s="1"/>
  <c r="E297" i="31"/>
  <c r="D297" i="31" s="1"/>
  <c r="E295" i="31"/>
  <c r="D295" i="31" s="1"/>
  <c r="E294" i="31"/>
  <c r="D294" i="31" s="1"/>
  <c r="E292" i="31"/>
  <c r="D292" i="31" s="1"/>
  <c r="E291" i="31"/>
  <c r="D291" i="31" s="1"/>
  <c r="E289" i="31"/>
  <c r="D289" i="31" s="1"/>
  <c r="E288" i="31"/>
  <c r="D288" i="31" s="1"/>
  <c r="E287" i="31"/>
  <c r="D287" i="31" s="1"/>
  <c r="E286" i="31"/>
  <c r="D286" i="31" s="1"/>
  <c r="E285" i="31"/>
  <c r="D285" i="31" s="1"/>
  <c r="E284" i="31"/>
  <c r="D284" i="31" s="1"/>
  <c r="E283" i="31"/>
  <c r="D283" i="31" s="1"/>
  <c r="E282" i="31"/>
  <c r="D282" i="31" s="1"/>
  <c r="E281" i="31"/>
  <c r="D281" i="31" s="1"/>
  <c r="D25" i="31" l="1"/>
  <c r="D24" i="31"/>
  <c r="D42" i="31"/>
  <c r="E23" i="323" s="1"/>
  <c r="G23" i="323" s="1"/>
  <c r="E22" i="393" l="1"/>
  <c r="G22" i="393" s="1"/>
  <c r="E22" i="392"/>
  <c r="G22" i="392" s="1"/>
  <c r="E22" i="391"/>
  <c r="G22" i="391" s="1"/>
  <c r="E23" i="386"/>
  <c r="G23" i="386" s="1"/>
  <c r="E22" i="387"/>
  <c r="G22" i="387" s="1"/>
  <c r="E22" i="384"/>
  <c r="G22" i="384" s="1"/>
  <c r="E22" i="383"/>
  <c r="G22" i="383" s="1"/>
  <c r="E22" i="382"/>
  <c r="G22" i="382" s="1"/>
  <c r="E22" i="381"/>
  <c r="G22" i="381" s="1"/>
  <c r="E22" i="380"/>
  <c r="G22" i="380" s="1"/>
  <c r="E22" i="395"/>
  <c r="G22" i="395" s="1"/>
  <c r="E22" i="394"/>
  <c r="G22" i="394" s="1"/>
  <c r="E22" i="390"/>
  <c r="G22" i="390" s="1"/>
  <c r="E22" i="389"/>
  <c r="G22" i="389" s="1"/>
  <c r="E22" i="388"/>
  <c r="G22" i="388" s="1"/>
  <c r="E23" i="385"/>
  <c r="G23" i="385" s="1"/>
  <c r="E22" i="275"/>
  <c r="G22" i="275" s="1"/>
  <c r="E22" i="273"/>
  <c r="G22" i="273" s="1"/>
  <c r="E22" i="271"/>
  <c r="G22" i="271" s="1"/>
  <c r="E22" i="274"/>
  <c r="G22" i="274" s="1"/>
  <c r="E22" i="272"/>
  <c r="G22" i="272" s="1"/>
  <c r="E22" i="270"/>
  <c r="G22" i="270" s="1"/>
  <c r="E22" i="269"/>
  <c r="G22" i="269" s="1"/>
  <c r="E22" i="268"/>
  <c r="G22" i="268" s="1"/>
  <c r="E22" i="379"/>
  <c r="G22" i="379" s="1"/>
  <c r="E22" i="377"/>
  <c r="G22" i="377" s="1"/>
  <c r="E22" i="378"/>
  <c r="G22" i="378" s="1"/>
  <c r="E23" i="375"/>
  <c r="G23" i="375" s="1"/>
  <c r="E23" i="374"/>
  <c r="G23" i="374" s="1"/>
  <c r="E22" i="376"/>
  <c r="G22" i="376" s="1"/>
  <c r="E22" i="326"/>
  <c r="G22" i="326" s="1"/>
  <c r="E22" i="324"/>
  <c r="G22" i="324" s="1"/>
  <c r="E22" i="321"/>
  <c r="G22" i="321" s="1"/>
  <c r="E22" i="399"/>
  <c r="G22" i="399" s="1"/>
  <c r="E22" i="319"/>
  <c r="E22" i="327"/>
  <c r="G22" i="327" s="1"/>
  <c r="E22" i="325"/>
  <c r="G22" i="325" s="1"/>
  <c r="E22" i="322"/>
  <c r="G22" i="322" s="1"/>
  <c r="E22" i="320"/>
  <c r="G22" i="320" s="1"/>
  <c r="E22" i="400"/>
  <c r="G22" i="400" s="1"/>
  <c r="E20" i="374"/>
  <c r="G20" i="374" s="1"/>
  <c r="E21" i="374" s="1"/>
  <c r="G21" i="374" s="1"/>
  <c r="L118" i="13" l="1"/>
  <c r="E23" i="92" l="1"/>
  <c r="G23" i="92" s="1"/>
  <c r="G22" i="92"/>
  <c r="E26" i="88" l="1"/>
  <c r="G26" i="88" s="1"/>
  <c r="G24" i="88"/>
  <c r="G23" i="88"/>
  <c r="E24" i="87"/>
  <c r="G24" i="87" s="1"/>
  <c r="G23" i="87"/>
  <c r="G22" i="87"/>
  <c r="L126" i="13" l="1"/>
  <c r="L125" i="13"/>
  <c r="L124" i="13"/>
  <c r="I118" i="13" l="1"/>
  <c r="F118" i="13"/>
  <c r="H118" i="13"/>
  <c r="C14" i="13"/>
  <c r="D15" i="13"/>
  <c r="D16" i="13"/>
  <c r="D17" i="13"/>
  <c r="D18" i="13"/>
  <c r="D19" i="13"/>
  <c r="D20" i="13"/>
  <c r="D14" i="13"/>
  <c r="D12" i="13"/>
  <c r="D11" i="13"/>
  <c r="D10" i="13"/>
  <c r="D9" i="13"/>
  <c r="D8" i="13"/>
  <c r="D7" i="13"/>
  <c r="D6" i="13"/>
  <c r="D5" i="13"/>
  <c r="D4" i="13"/>
  <c r="M121" i="13" l="1"/>
  <c r="E21" i="97"/>
  <c r="G21" i="97" s="1"/>
  <c r="E22" i="94"/>
  <c r="G22" i="94" s="1"/>
  <c r="E21" i="404"/>
  <c r="G21" i="404" s="1"/>
  <c r="E22" i="89"/>
  <c r="G22" i="89" s="1"/>
  <c r="E22" i="88"/>
  <c r="G22" i="88" s="1"/>
  <c r="E21" i="403"/>
  <c r="E21" i="96"/>
  <c r="G21" i="96" s="1"/>
  <c r="E21" i="95"/>
  <c r="G21" i="95" s="1"/>
  <c r="E20" i="92"/>
  <c r="G20" i="92" s="1"/>
  <c r="E21" i="87"/>
  <c r="G21" i="87" s="1"/>
  <c r="G25" i="87" s="1"/>
  <c r="H26" i="87" s="1"/>
  <c r="E21" i="402"/>
  <c r="E21" i="401"/>
  <c r="G21" i="401" s="1"/>
  <c r="G21" i="402"/>
  <c r="G21" i="403"/>
  <c r="E21" i="397"/>
  <c r="G21" i="397" s="1"/>
  <c r="E21" i="398"/>
  <c r="G21" i="398" s="1"/>
  <c r="M135" i="13"/>
  <c r="I50" i="22"/>
  <c r="C49" i="22" s="1"/>
  <c r="F3" i="22"/>
  <c r="D5" i="22"/>
  <c r="D7" i="22" s="1"/>
  <c r="C34" i="413" l="1"/>
  <c r="C34" i="412"/>
  <c r="C34" i="414"/>
  <c r="C34" i="411"/>
  <c r="C34" i="390"/>
  <c r="C35" i="355"/>
  <c r="C35" i="375"/>
  <c r="C34" i="377"/>
  <c r="C35" i="374"/>
  <c r="C35" i="353"/>
  <c r="C34" i="352"/>
  <c r="C34" i="268"/>
  <c r="C33" i="259"/>
  <c r="C33" i="410"/>
  <c r="C34" i="408"/>
  <c r="C33" i="409"/>
  <c r="C34" i="407"/>
  <c r="C34" i="302"/>
  <c r="C34" i="301"/>
  <c r="C34" i="300"/>
  <c r="C34" i="299"/>
  <c r="C34" i="58"/>
  <c r="C35" i="244"/>
  <c r="C34" i="57"/>
  <c r="C34" i="152"/>
  <c r="C34" i="142"/>
  <c r="C33" i="160"/>
  <c r="C34" i="134"/>
  <c r="C34" i="68"/>
  <c r="C34" i="60"/>
  <c r="C34" i="52"/>
  <c r="C34" i="51"/>
  <c r="C34" i="298"/>
  <c r="C34" i="254"/>
  <c r="C36" i="253"/>
  <c r="G24" i="398"/>
  <c r="H25" i="398" s="1"/>
  <c r="C36" i="98"/>
  <c r="C38" i="402"/>
  <c r="C36" i="96"/>
  <c r="C38" i="401"/>
  <c r="C38" i="95"/>
  <c r="C38" i="94"/>
  <c r="C36" i="97"/>
  <c r="C38" i="404"/>
  <c r="C38" i="88"/>
  <c r="C36" i="92"/>
  <c r="C38" i="89"/>
  <c r="C38" i="403"/>
  <c r="C38" i="87"/>
  <c r="C36" i="252"/>
  <c r="C35" i="99"/>
  <c r="C35" i="251"/>
  <c r="C34" i="45"/>
  <c r="C34" i="46"/>
  <c r="C33" i="40"/>
  <c r="C34" i="288"/>
  <c r="G24" i="397"/>
  <c r="H25" i="397" s="1"/>
  <c r="G25" i="401"/>
  <c r="H26" i="401" s="1"/>
  <c r="G25" i="403"/>
  <c r="H26" i="403" s="1"/>
  <c r="G25" i="402"/>
  <c r="H26" i="402" s="1"/>
  <c r="G25" i="96"/>
  <c r="H26" i="96" s="1"/>
  <c r="M133" i="13"/>
  <c r="G25" i="97"/>
  <c r="H26" i="97" s="1"/>
  <c r="G26" i="94"/>
  <c r="H28" i="94" s="1"/>
  <c r="G27" i="89"/>
  <c r="H28" i="89" s="1"/>
  <c r="G27" i="88"/>
  <c r="H28" i="88" s="1"/>
  <c r="G25" i="404"/>
  <c r="H26" i="404" s="1"/>
  <c r="C34" i="290"/>
  <c r="C34" i="133"/>
  <c r="C34" i="151"/>
  <c r="C34" i="303"/>
  <c r="C34" i="304"/>
  <c r="C34" i="399"/>
  <c r="C34" i="319"/>
  <c r="C34" i="320"/>
  <c r="C34" i="400"/>
  <c r="C34" i="37"/>
  <c r="C36" i="291"/>
  <c r="C34" i="294"/>
  <c r="C34" i="293"/>
  <c r="C34" i="292"/>
  <c r="C34" i="125"/>
  <c r="D17" i="22"/>
  <c r="D20" i="22"/>
  <c r="F5" i="22"/>
  <c r="C35" i="397"/>
  <c r="C35" i="398"/>
  <c r="M134" i="13"/>
  <c r="E22" i="250" l="1"/>
  <c r="G22" i="250" s="1"/>
  <c r="E21" i="258"/>
  <c r="E21" i="256"/>
  <c r="E21" i="257"/>
  <c r="E21" i="255"/>
  <c r="E21" i="254"/>
  <c r="E21" i="253"/>
  <c r="E21" i="251"/>
  <c r="E20" i="259"/>
  <c r="E22" i="252"/>
  <c r="E21" i="252"/>
  <c r="E20" i="251"/>
  <c r="E21" i="262"/>
  <c r="G21" i="262" s="1"/>
  <c r="E21" i="261"/>
  <c r="E21" i="260"/>
  <c r="E20" i="123"/>
  <c r="E25" i="252"/>
  <c r="E24" i="251"/>
  <c r="E21" i="249"/>
  <c r="E21" i="244"/>
  <c r="E21" i="107"/>
  <c r="E21" i="106"/>
  <c r="E21" i="99"/>
  <c r="E21" i="98"/>
  <c r="E22" i="247"/>
  <c r="E21" i="245"/>
  <c r="E22" i="246"/>
  <c r="E20" i="22"/>
  <c r="F20" i="22"/>
  <c r="F17" i="22"/>
  <c r="E17" i="22"/>
  <c r="D18" i="22"/>
  <c r="D39" i="22" s="1"/>
  <c r="E22" i="291"/>
  <c r="E21" i="287"/>
  <c r="E21" i="286"/>
  <c r="E21" i="285"/>
  <c r="E21" i="284"/>
  <c r="E21" i="283"/>
  <c r="E21" i="282"/>
  <c r="E21" i="281"/>
  <c r="E21" i="280"/>
  <c r="E21" i="279"/>
  <c r="E21" i="278"/>
  <c r="E21" i="277"/>
  <c r="E21" i="276"/>
  <c r="G22" i="291" l="1"/>
  <c r="H27" i="291" s="1"/>
  <c r="F18" i="22"/>
  <c r="F39" i="22" s="1"/>
  <c r="G39" i="22" s="1"/>
  <c r="E18" i="22"/>
  <c r="E21" i="275"/>
  <c r="E21" i="274"/>
  <c r="E21" i="273"/>
  <c r="E21" i="272"/>
  <c r="E21" i="271"/>
  <c r="E21" i="270"/>
  <c r="E22" i="323" l="1"/>
  <c r="G22" i="323" s="1"/>
  <c r="E23" i="395" l="1"/>
  <c r="G23" i="395" s="1"/>
  <c r="E23" i="393"/>
  <c r="G23" i="393" s="1"/>
  <c r="E23" i="391"/>
  <c r="G23" i="391" s="1"/>
  <c r="E23" i="384"/>
  <c r="G23" i="384" s="1"/>
  <c r="E23" i="394"/>
  <c r="G23" i="394" s="1"/>
  <c r="E23" i="392"/>
  <c r="G23" i="392" s="1"/>
  <c r="E23" i="390"/>
  <c r="G23" i="390" s="1"/>
  <c r="E23" i="389"/>
  <c r="G23" i="389" s="1"/>
  <c r="E23" i="388"/>
  <c r="G23" i="388" s="1"/>
  <c r="E23" i="387"/>
  <c r="G23" i="387" s="1"/>
  <c r="E23" i="383"/>
  <c r="G23" i="383" s="1"/>
  <c r="E23" i="382"/>
  <c r="G23" i="382" s="1"/>
  <c r="E23" i="381"/>
  <c r="G23" i="381" s="1"/>
  <c r="E23" i="379"/>
  <c r="G23" i="379" s="1"/>
  <c r="E23" i="378"/>
  <c r="G23" i="378" s="1"/>
  <c r="E23" i="376"/>
  <c r="G23" i="376" s="1"/>
  <c r="E23" i="380"/>
  <c r="G23" i="380" s="1"/>
  <c r="E23" i="377"/>
  <c r="G23" i="377" s="1"/>
  <c r="E22" i="385"/>
  <c r="G22" i="385" s="1"/>
  <c r="E22" i="386"/>
  <c r="G22" i="386" s="1"/>
  <c r="E22" i="374"/>
  <c r="G22" i="374" s="1"/>
  <c r="E22" i="375"/>
  <c r="G22" i="375" s="1"/>
  <c r="E21" i="327"/>
  <c r="G21" i="327" s="1"/>
  <c r="E21" i="325"/>
  <c r="G21" i="325" s="1"/>
  <c r="E21" i="322"/>
  <c r="G21" i="322" s="1"/>
  <c r="E21" i="320"/>
  <c r="G21" i="320" s="1"/>
  <c r="E21" i="400"/>
  <c r="G21" i="400" s="1"/>
  <c r="H24" i="400" s="1"/>
  <c r="E21" i="326"/>
  <c r="G21" i="326" s="1"/>
  <c r="E21" i="324"/>
  <c r="G21" i="324" s="1"/>
  <c r="E21" i="321"/>
  <c r="G21" i="321" s="1"/>
  <c r="E21" i="399"/>
  <c r="G21" i="399" s="1"/>
  <c r="H24" i="399" s="1"/>
  <c r="E21" i="319"/>
  <c r="G47" i="22"/>
  <c r="G48" i="22" s="1"/>
  <c r="H56" i="22" l="1"/>
  <c r="I56" i="22" s="1"/>
  <c r="C55" i="22" s="1"/>
  <c r="H54" i="22"/>
  <c r="I54" i="22" s="1"/>
  <c r="C53" i="22" s="1"/>
  <c r="H55" i="22"/>
  <c r="I55" i="22" s="1"/>
  <c r="C54" i="22" s="1"/>
  <c r="H53" i="22"/>
  <c r="I53" i="22" s="1"/>
  <c r="C52" i="22" l="1"/>
  <c r="C35" i="35" s="1"/>
  <c r="I52" i="22"/>
  <c r="C51" i="22" s="1"/>
  <c r="I51" i="22"/>
  <c r="C50" i="22" s="1"/>
  <c r="C35" i="412" l="1"/>
  <c r="C35" i="414"/>
  <c r="C35" i="413"/>
  <c r="C34" i="410"/>
  <c r="C35" i="411"/>
  <c r="C35" i="408"/>
  <c r="C34" i="409"/>
  <c r="C35" i="407"/>
  <c r="C35" i="302"/>
  <c r="C35" i="301"/>
  <c r="C35" i="300"/>
  <c r="C35" i="299"/>
  <c r="C35" i="296"/>
  <c r="E35" i="296" s="1"/>
  <c r="G35" i="296" s="1"/>
  <c r="C35" i="51"/>
  <c r="C35" i="52"/>
  <c r="C37" i="87"/>
  <c r="C35" i="60"/>
  <c r="C35" i="68"/>
  <c r="C37" i="96"/>
  <c r="C39" i="402"/>
  <c r="C37" i="89"/>
  <c r="C37" i="88"/>
  <c r="C37" i="403"/>
  <c r="C37" i="404"/>
  <c r="C37" i="401"/>
  <c r="C37" i="402"/>
  <c r="C33" i="399"/>
  <c r="C33" i="400"/>
  <c r="C35" i="293"/>
  <c r="C35" i="294"/>
  <c r="C34" i="397"/>
  <c r="C34" i="398"/>
  <c r="C35" i="46"/>
  <c r="C35" i="45"/>
  <c r="C34" i="395"/>
  <c r="C33" i="395"/>
  <c r="C34" i="394"/>
  <c r="C33" i="394"/>
  <c r="C34" i="393"/>
  <c r="C33" i="393"/>
  <c r="C34" i="392"/>
  <c r="C33" i="392"/>
  <c r="C34" i="391"/>
  <c r="C33" i="391"/>
  <c r="C33" i="390"/>
  <c r="C34" i="389"/>
  <c r="C33" i="389"/>
  <c r="C34" i="388"/>
  <c r="C33" i="388"/>
  <c r="C34" i="387"/>
  <c r="C33" i="387"/>
  <c r="C34" i="386"/>
  <c r="C33" i="386"/>
  <c r="C35" i="385"/>
  <c r="C34" i="385"/>
  <c r="C34" i="384"/>
  <c r="C33" i="384"/>
  <c r="C34" i="383"/>
  <c r="C33" i="383"/>
  <c r="C34" i="382"/>
  <c r="C33" i="382"/>
  <c r="C34" i="381"/>
  <c r="C33" i="381"/>
  <c r="C34" i="380"/>
  <c r="C33" i="380"/>
  <c r="C34" i="379"/>
  <c r="C33" i="379"/>
  <c r="C34" i="378"/>
  <c r="C33" i="378"/>
  <c r="C33" i="377"/>
  <c r="C35" i="376"/>
  <c r="C34" i="376"/>
  <c r="C34" i="375"/>
  <c r="C34" i="374"/>
  <c r="C35" i="373"/>
  <c r="C34" i="373"/>
  <c r="C35" i="372"/>
  <c r="C34" i="372"/>
  <c r="C35" i="371"/>
  <c r="C34" i="371"/>
  <c r="C35" i="370"/>
  <c r="C34" i="370"/>
  <c r="C35" i="369"/>
  <c r="C34" i="369"/>
  <c r="C35" i="368"/>
  <c r="C34" i="368"/>
  <c r="C35" i="367"/>
  <c r="C34" i="367"/>
  <c r="C35" i="366"/>
  <c r="C34" i="366"/>
  <c r="C35" i="365"/>
  <c r="C34" i="365"/>
  <c r="C35" i="364"/>
  <c r="C34" i="364"/>
  <c r="C35" i="363"/>
  <c r="C34" i="363"/>
  <c r="C35" i="362"/>
  <c r="C34" i="362"/>
  <c r="C35" i="361"/>
  <c r="C34" i="361"/>
  <c r="C35" i="360"/>
  <c r="C34" i="360"/>
  <c r="C35" i="359"/>
  <c r="C34" i="359"/>
  <c r="C35" i="358"/>
  <c r="C34" i="358"/>
  <c r="C35" i="357"/>
  <c r="C34" i="357"/>
  <c r="C35" i="356"/>
  <c r="C34" i="356"/>
  <c r="C34" i="355"/>
  <c r="C34" i="354"/>
  <c r="C33" i="354"/>
  <c r="C34" i="353"/>
  <c r="C33" i="352"/>
  <c r="C35" i="351"/>
  <c r="C34" i="351"/>
  <c r="C35" i="350"/>
  <c r="C34" i="350"/>
  <c r="C35" i="349"/>
  <c r="C34" i="349"/>
  <c r="C35" i="348"/>
  <c r="C34" i="348"/>
  <c r="C35" i="347"/>
  <c r="C34" i="347"/>
  <c r="C35" i="346"/>
  <c r="C34" i="346"/>
  <c r="C35" i="345"/>
  <c r="C34" i="345"/>
  <c r="E21" i="345"/>
  <c r="C35" i="344"/>
  <c r="C34" i="344"/>
  <c r="E21" i="344"/>
  <c r="C35" i="343"/>
  <c r="C34" i="343"/>
  <c r="C35" i="341"/>
  <c r="C35" i="342"/>
  <c r="C34" i="342"/>
  <c r="E21" i="342"/>
  <c r="C34" i="341"/>
  <c r="E21" i="341"/>
  <c r="E21" i="340"/>
  <c r="C35" i="339"/>
  <c r="C34" i="339"/>
  <c r="E21" i="339"/>
  <c r="G20" i="395" l="1"/>
  <c r="E21" i="395" s="1"/>
  <c r="G21" i="395" s="1"/>
  <c r="H30" i="395"/>
  <c r="G20" i="394"/>
  <c r="E21" i="394" s="1"/>
  <c r="G21" i="394" s="1"/>
  <c r="H30" i="394"/>
  <c r="G20" i="393"/>
  <c r="E21" i="393" s="1"/>
  <c r="G21" i="393" s="1"/>
  <c r="H30" i="393"/>
  <c r="G20" i="392"/>
  <c r="E21" i="392" s="1"/>
  <c r="G21" i="392" s="1"/>
  <c r="H30" i="392"/>
  <c r="G20" i="391"/>
  <c r="E21" i="391" s="1"/>
  <c r="G21" i="391" s="1"/>
  <c r="H30" i="391"/>
  <c r="G20" i="390"/>
  <c r="E21" i="390" s="1"/>
  <c r="G21" i="390" s="1"/>
  <c r="H30" i="390"/>
  <c r="H30" i="389"/>
  <c r="G20" i="389"/>
  <c r="E21" i="389" s="1"/>
  <c r="G21" i="389" s="1"/>
  <c r="G20" i="388"/>
  <c r="E21" i="388" s="1"/>
  <c r="G21" i="388" s="1"/>
  <c r="H30" i="388"/>
  <c r="G20" i="387"/>
  <c r="E21" i="387" s="1"/>
  <c r="G21" i="387" s="1"/>
  <c r="H30" i="387"/>
  <c r="G20" i="386"/>
  <c r="E21" i="386" s="1"/>
  <c r="G21" i="386" s="1"/>
  <c r="H30" i="386"/>
  <c r="H31" i="385"/>
  <c r="G20" i="385"/>
  <c r="E21" i="385" s="1"/>
  <c r="G21" i="385" s="1"/>
  <c r="E20" i="384"/>
  <c r="G20" i="384" s="1"/>
  <c r="E21" i="384" s="1"/>
  <c r="G21" i="384" s="1"/>
  <c r="H30" i="384"/>
  <c r="E20" i="383"/>
  <c r="G20" i="383" s="1"/>
  <c r="E21" i="383" s="1"/>
  <c r="G21" i="383" s="1"/>
  <c r="H30" i="383"/>
  <c r="H30" i="382"/>
  <c r="E20" i="382"/>
  <c r="G20" i="382" s="1"/>
  <c r="E21" i="382" s="1"/>
  <c r="G21" i="382" s="1"/>
  <c r="E20" i="381"/>
  <c r="G20" i="381" s="1"/>
  <c r="E21" i="381" s="1"/>
  <c r="G21" i="381" s="1"/>
  <c r="H30" i="381"/>
  <c r="E20" i="380"/>
  <c r="G20" i="380" s="1"/>
  <c r="E21" i="380" s="1"/>
  <c r="G21" i="380" s="1"/>
  <c r="H30" i="380"/>
  <c r="E20" i="379"/>
  <c r="G20" i="379" s="1"/>
  <c r="H30" i="379"/>
  <c r="E20" i="378"/>
  <c r="G20" i="378" s="1"/>
  <c r="E21" i="378" s="1"/>
  <c r="G21" i="378" s="1"/>
  <c r="H30" i="378"/>
  <c r="H30" i="377"/>
  <c r="E20" i="377"/>
  <c r="G20" i="377" s="1"/>
  <c r="E21" i="377" s="1"/>
  <c r="G21" i="377" s="1"/>
  <c r="H31" i="376"/>
  <c r="E20" i="376"/>
  <c r="G20" i="376" s="1"/>
  <c r="E20" i="375"/>
  <c r="G20" i="375" s="1"/>
  <c r="E21" i="375" l="1"/>
  <c r="G21" i="375" s="1"/>
  <c r="H25" i="375" s="1"/>
  <c r="E21" i="376"/>
  <c r="G21" i="376" s="1"/>
  <c r="H25" i="376" s="1"/>
  <c r="E21" i="379"/>
  <c r="G21" i="379" s="1"/>
  <c r="H24" i="379" s="1"/>
  <c r="H24" i="391"/>
  <c r="H24" i="392"/>
  <c r="H24" i="395"/>
  <c r="H24" i="388"/>
  <c r="H24" i="394"/>
  <c r="H24" i="393"/>
  <c r="H24" i="390"/>
  <c r="H24" i="389"/>
  <c r="H24" i="387"/>
  <c r="H24" i="386"/>
  <c r="H25" i="385"/>
  <c r="H24" i="384"/>
  <c r="H24" i="383"/>
  <c r="H24" i="382"/>
  <c r="H24" i="381"/>
  <c r="H24" i="380"/>
  <c r="H24" i="378"/>
  <c r="H24" i="377"/>
  <c r="H31" i="375" l="1"/>
  <c r="H31" i="374" l="1"/>
  <c r="H25" i="374"/>
  <c r="H31" i="373"/>
  <c r="H25" i="373"/>
  <c r="H31" i="372"/>
  <c r="H25" i="372"/>
  <c r="H31" i="371"/>
  <c r="H25" i="371"/>
  <c r="H31" i="370"/>
  <c r="H25" i="370"/>
  <c r="H31" i="369"/>
  <c r="H25" i="369"/>
  <c r="H31" i="368"/>
  <c r="H25" i="368"/>
  <c r="H31" i="367"/>
  <c r="H25" i="367"/>
  <c r="H31" i="366"/>
  <c r="H25" i="366"/>
  <c r="H31" i="365"/>
  <c r="H25" i="365"/>
  <c r="H31" i="364" l="1"/>
  <c r="H25" i="364"/>
  <c r="H31" i="363"/>
  <c r="H25" i="363"/>
  <c r="H31" i="362"/>
  <c r="H25" i="362"/>
  <c r="H31" i="361"/>
  <c r="H25" i="361"/>
  <c r="H31" i="360"/>
  <c r="H25" i="360"/>
  <c r="H31" i="359"/>
  <c r="H25" i="359"/>
  <c r="H31" i="358"/>
  <c r="H25" i="358"/>
  <c r="H31" i="357"/>
  <c r="H25" i="357"/>
  <c r="H31" i="356"/>
  <c r="H25" i="356"/>
  <c r="H31" i="355"/>
  <c r="H25" i="355"/>
  <c r="H30" i="354"/>
  <c r="H24" i="354"/>
  <c r="H31" i="353"/>
  <c r="H25" i="353"/>
  <c r="H30" i="352"/>
  <c r="H24" i="352"/>
  <c r="H31" i="351"/>
  <c r="G21" i="351"/>
  <c r="H25" i="351" s="1"/>
  <c r="H31" i="350"/>
  <c r="G21" i="350"/>
  <c r="H25" i="350" s="1"/>
  <c r="H31" i="349"/>
  <c r="G21" i="349"/>
  <c r="H25" i="349" s="1"/>
  <c r="H31" i="348"/>
  <c r="G21" i="348"/>
  <c r="H25" i="348" s="1"/>
  <c r="H31" i="347"/>
  <c r="G21" i="347"/>
  <c r="H25" i="347" s="1"/>
  <c r="H31" i="346"/>
  <c r="G21" i="346"/>
  <c r="H25" i="346" s="1"/>
  <c r="H31" i="345"/>
  <c r="G21" i="345"/>
  <c r="H25" i="345" s="1"/>
  <c r="H31" i="344"/>
  <c r="G21" i="344"/>
  <c r="H25" i="344" s="1"/>
  <c r="H31" i="343"/>
  <c r="G21" i="343"/>
  <c r="H25" i="343" s="1"/>
  <c r="H31" i="342"/>
  <c r="G21" i="342"/>
  <c r="H25" i="342" s="1"/>
  <c r="H31" i="341"/>
  <c r="G21" i="341"/>
  <c r="H25" i="341" s="1"/>
  <c r="H31" i="340"/>
  <c r="G21" i="340"/>
  <c r="H25" i="340" s="1"/>
  <c r="H31" i="339"/>
  <c r="G21" i="339"/>
  <c r="H25" i="339" s="1"/>
  <c r="E35" i="351" l="1"/>
  <c r="G35" i="351" s="1"/>
  <c r="E34" i="351"/>
  <c r="G34" i="351" s="1"/>
  <c r="E35" i="350"/>
  <c r="G35" i="350" s="1"/>
  <c r="E34" i="350"/>
  <c r="G34" i="350" s="1"/>
  <c r="E35" i="340"/>
  <c r="G35" i="340" s="1"/>
  <c r="E34" i="340"/>
  <c r="G34" i="340" s="1"/>
  <c r="H38" i="351" l="1"/>
  <c r="H38" i="350"/>
  <c r="H38" i="340"/>
  <c r="G12" i="350" l="1"/>
  <c r="H18" i="350" s="1"/>
  <c r="H40" i="350" s="1"/>
  <c r="G12" i="340"/>
  <c r="H18" i="340" s="1"/>
  <c r="H40" i="340" s="1"/>
  <c r="G12" i="351"/>
  <c r="H18" i="351" s="1"/>
  <c r="H40" i="351" s="1"/>
  <c r="G45" i="340" l="1"/>
  <c r="G44" i="340"/>
  <c r="G43" i="340"/>
  <c r="G45" i="351"/>
  <c r="G44" i="351"/>
  <c r="G43" i="351"/>
  <c r="G43" i="350"/>
  <c r="G44" i="350"/>
  <c r="G45" i="350"/>
  <c r="H46" i="340"/>
  <c r="H48" i="340" s="1"/>
  <c r="D365" i="24" s="1"/>
  <c r="H46" i="351" l="1"/>
  <c r="H48" i="351" s="1"/>
  <c r="D376" i="24" s="1"/>
  <c r="H376" i="24" s="1"/>
  <c r="H46" i="350"/>
  <c r="H48" i="350" s="1"/>
  <c r="D375" i="24" s="1"/>
  <c r="H375" i="24" s="1"/>
  <c r="H365" i="24"/>
  <c r="F365" i="24"/>
  <c r="E21" i="338"/>
  <c r="G21" i="338" s="1"/>
  <c r="H25" i="338" s="1"/>
  <c r="F45" i="338"/>
  <c r="F44" i="338"/>
  <c r="F43" i="338"/>
  <c r="C35" i="338"/>
  <c r="C34" i="338"/>
  <c r="H31" i="338"/>
  <c r="G21" i="337"/>
  <c r="H25" i="337" s="1"/>
  <c r="F45" i="337"/>
  <c r="F44" i="337"/>
  <c r="F43" i="337"/>
  <c r="C35" i="337"/>
  <c r="C34" i="337"/>
  <c r="H31" i="337"/>
  <c r="E21" i="336"/>
  <c r="G21" i="336" s="1"/>
  <c r="H25" i="336" s="1"/>
  <c r="F45" i="336"/>
  <c r="F44" i="336"/>
  <c r="F43" i="336"/>
  <c r="C35" i="336"/>
  <c r="C34" i="336"/>
  <c r="H31" i="336"/>
  <c r="E20" i="335"/>
  <c r="G20" i="335" s="1"/>
  <c r="H24" i="335" s="1"/>
  <c r="F44" i="335"/>
  <c r="F43" i="335"/>
  <c r="F42" i="335"/>
  <c r="C34" i="335"/>
  <c r="C33" i="335"/>
  <c r="H30" i="335"/>
  <c r="G21" i="334"/>
  <c r="H25" i="334" s="1"/>
  <c r="F45" i="334"/>
  <c r="F44" i="334"/>
  <c r="F43" i="334"/>
  <c r="C35" i="334"/>
  <c r="C34" i="334"/>
  <c r="H31" i="334"/>
  <c r="E21" i="333"/>
  <c r="G21" i="333" s="1"/>
  <c r="H25" i="333" s="1"/>
  <c r="F45" i="333"/>
  <c r="F44" i="333"/>
  <c r="F43" i="333"/>
  <c r="C35" i="333"/>
  <c r="C34" i="333"/>
  <c r="H31" i="333"/>
  <c r="E21" i="332"/>
  <c r="G21" i="332" s="1"/>
  <c r="H25" i="332" s="1"/>
  <c r="F45" i="332"/>
  <c r="F44" i="332"/>
  <c r="F43" i="332"/>
  <c r="C35" i="332"/>
  <c r="C34" i="332"/>
  <c r="H31" i="332"/>
  <c r="E20" i="331"/>
  <c r="G20" i="331" s="1"/>
  <c r="H24" i="331" s="1"/>
  <c r="F44" i="331"/>
  <c r="F43" i="331"/>
  <c r="F42" i="331"/>
  <c r="C33" i="331"/>
  <c r="H30" i="331"/>
  <c r="E20" i="330"/>
  <c r="G20" i="330" s="1"/>
  <c r="H24" i="330" s="1"/>
  <c r="F44" i="330"/>
  <c r="F43" i="330"/>
  <c r="F42" i="330"/>
  <c r="C33" i="330"/>
  <c r="H30" i="330"/>
  <c r="E21" i="329"/>
  <c r="G21" i="329" s="1"/>
  <c r="H25" i="329" s="1"/>
  <c r="F45" i="329"/>
  <c r="F44" i="329"/>
  <c r="F43" i="329"/>
  <c r="C35" i="329"/>
  <c r="C34" i="329"/>
  <c r="H31" i="329"/>
  <c r="E21" i="328"/>
  <c r="G21" i="328" s="1"/>
  <c r="H25" i="328" s="1"/>
  <c r="F45" i="328"/>
  <c r="F44" i="328"/>
  <c r="F43" i="328"/>
  <c r="C35" i="328"/>
  <c r="C34" i="328"/>
  <c r="H31" i="328"/>
  <c r="E20" i="327"/>
  <c r="G20" i="327" s="1"/>
  <c r="H26" i="327" s="1"/>
  <c r="F46" i="327"/>
  <c r="F45" i="327"/>
  <c r="F44" i="327"/>
  <c r="C35" i="327"/>
  <c r="H32" i="327"/>
  <c r="E20" i="326"/>
  <c r="G20" i="326" s="1"/>
  <c r="H26" i="326" s="1"/>
  <c r="F46" i="326"/>
  <c r="F45" i="326"/>
  <c r="F44" i="326"/>
  <c r="C35" i="326"/>
  <c r="H32" i="326"/>
  <c r="F376" i="24" l="1"/>
  <c r="F375" i="24"/>
  <c r="E20" i="325"/>
  <c r="G20" i="325" s="1"/>
  <c r="H26" i="325" s="1"/>
  <c r="E20" i="324"/>
  <c r="G20" i="324" s="1"/>
  <c r="H26" i="324" s="1"/>
  <c r="G21" i="323"/>
  <c r="F46" i="325"/>
  <c r="F45" i="325"/>
  <c r="F44" i="325"/>
  <c r="C35" i="325"/>
  <c r="H32" i="325"/>
  <c r="F46" i="324"/>
  <c r="F45" i="324"/>
  <c r="F44" i="324"/>
  <c r="C35" i="324"/>
  <c r="H32" i="324"/>
  <c r="F45" i="323"/>
  <c r="F44" i="323"/>
  <c r="F43" i="323"/>
  <c r="C34" i="323"/>
  <c r="H31" i="323"/>
  <c r="E20" i="322"/>
  <c r="G20" i="322" s="1"/>
  <c r="F44" i="322"/>
  <c r="F43" i="322"/>
  <c r="F42" i="322"/>
  <c r="C33" i="322"/>
  <c r="H30" i="322"/>
  <c r="E20" i="321"/>
  <c r="G20" i="321" s="1"/>
  <c r="F44" i="321"/>
  <c r="F43" i="321"/>
  <c r="F42" i="321"/>
  <c r="C33" i="321"/>
  <c r="H30" i="321"/>
  <c r="F44" i="320"/>
  <c r="F43" i="320"/>
  <c r="F42" i="320"/>
  <c r="C33" i="320"/>
  <c r="H30" i="320"/>
  <c r="G20" i="320"/>
  <c r="G22" i="319"/>
  <c r="G21" i="319"/>
  <c r="G20" i="319"/>
  <c r="F44" i="319"/>
  <c r="F43" i="319"/>
  <c r="F42" i="319"/>
  <c r="C33" i="319"/>
  <c r="H30" i="319"/>
  <c r="F45" i="318"/>
  <c r="F44" i="318"/>
  <c r="F43" i="318"/>
  <c r="C35" i="318"/>
  <c r="C34" i="318"/>
  <c r="H31" i="318"/>
  <c r="H25" i="318"/>
  <c r="F45" i="317"/>
  <c r="F44" i="317"/>
  <c r="F43" i="317"/>
  <c r="C35" i="317"/>
  <c r="C34" i="317"/>
  <c r="H31" i="317"/>
  <c r="H25" i="317"/>
  <c r="F45" i="316"/>
  <c r="F44" i="316"/>
  <c r="F43" i="316"/>
  <c r="C35" i="316"/>
  <c r="C34" i="316"/>
  <c r="H31" i="316"/>
  <c r="H25" i="316"/>
  <c r="C35" i="314"/>
  <c r="C35" i="313"/>
  <c r="C35" i="312"/>
  <c r="C35" i="311"/>
  <c r="C35" i="310"/>
  <c r="C35" i="309"/>
  <c r="C35" i="308"/>
  <c r="C35" i="307"/>
  <c r="C35" i="306"/>
  <c r="C35" i="315"/>
  <c r="F45" i="315"/>
  <c r="F44" i="315"/>
  <c r="F43" i="315"/>
  <c r="C34" i="315"/>
  <c r="H31" i="315"/>
  <c r="H25" i="315"/>
  <c r="F45" i="314"/>
  <c r="F44" i="314"/>
  <c r="F43" i="314"/>
  <c r="C34" i="314"/>
  <c r="H31" i="314"/>
  <c r="H25" i="314"/>
  <c r="F45" i="313"/>
  <c r="F44" i="313"/>
  <c r="F43" i="313"/>
  <c r="C34" i="313"/>
  <c r="H31" i="313"/>
  <c r="H25" i="313"/>
  <c r="F45" i="312"/>
  <c r="F44" i="312"/>
  <c r="F43" i="312"/>
  <c r="C34" i="312"/>
  <c r="H31" i="312"/>
  <c r="H25" i="312"/>
  <c r="F45" i="311"/>
  <c r="F44" i="311"/>
  <c r="F43" i="311"/>
  <c r="C34" i="311"/>
  <c r="H31" i="311"/>
  <c r="H25" i="311"/>
  <c r="F45" i="310"/>
  <c r="F44" i="310"/>
  <c r="F43" i="310"/>
  <c r="C34" i="310"/>
  <c r="H31" i="310"/>
  <c r="H25" i="310"/>
  <c r="F45" i="309"/>
  <c r="F44" i="309"/>
  <c r="F43" i="309"/>
  <c r="C34" i="309"/>
  <c r="H31" i="309"/>
  <c r="H25" i="309"/>
  <c r="F45" i="308"/>
  <c r="F44" i="308"/>
  <c r="F43" i="308"/>
  <c r="C34" i="308"/>
  <c r="H31" i="308"/>
  <c r="H25" i="308"/>
  <c r="F45" i="307"/>
  <c r="F44" i="307"/>
  <c r="F43" i="307"/>
  <c r="C34" i="307"/>
  <c r="H31" i="307"/>
  <c r="H25" i="307"/>
  <c r="F45" i="306"/>
  <c r="F44" i="306"/>
  <c r="F43" i="306"/>
  <c r="C34" i="306"/>
  <c r="H31" i="306"/>
  <c r="H25" i="306"/>
  <c r="F45" i="305"/>
  <c r="F44" i="305"/>
  <c r="F43" i="305"/>
  <c r="C34" i="305"/>
  <c r="H31" i="305"/>
  <c r="H25" i="305"/>
  <c r="F44" i="304"/>
  <c r="F43" i="304"/>
  <c r="F42" i="304"/>
  <c r="C33" i="304"/>
  <c r="H30" i="304"/>
  <c r="H24" i="304"/>
  <c r="C33" i="303"/>
  <c r="H24" i="319" l="1"/>
  <c r="H25" i="323"/>
  <c r="H24" i="322"/>
  <c r="H24" i="321"/>
  <c r="H24" i="320"/>
  <c r="F44" i="303" l="1"/>
  <c r="F43" i="303"/>
  <c r="F42" i="303"/>
  <c r="H30" i="303"/>
  <c r="H24" i="303" l="1"/>
  <c r="G21" i="298" l="1"/>
  <c r="H25" i="298" s="1"/>
  <c r="G20" i="297"/>
  <c r="H24" i="297" s="1"/>
  <c r="C36" i="295"/>
  <c r="G23" i="295"/>
  <c r="G22" i="295"/>
  <c r="G22" i="294"/>
  <c r="G21" i="294"/>
  <c r="G21" i="293"/>
  <c r="H31" i="292"/>
  <c r="G21" i="292"/>
  <c r="H25" i="292" s="1"/>
  <c r="F45" i="302"/>
  <c r="F44" i="302"/>
  <c r="F43" i="302"/>
  <c r="H31" i="302"/>
  <c r="F45" i="301"/>
  <c r="F44" i="301"/>
  <c r="F43" i="301"/>
  <c r="H31" i="301"/>
  <c r="H25" i="301"/>
  <c r="F45" i="300"/>
  <c r="F44" i="300"/>
  <c r="F43" i="300"/>
  <c r="H31" i="300"/>
  <c r="H25" i="300"/>
  <c r="F45" i="299"/>
  <c r="F44" i="299"/>
  <c r="F43" i="299"/>
  <c r="H31" i="299"/>
  <c r="F45" i="298"/>
  <c r="F44" i="298"/>
  <c r="F43" i="298"/>
  <c r="H31" i="298"/>
  <c r="F44" i="297"/>
  <c r="F43" i="297"/>
  <c r="F42" i="297"/>
  <c r="C33" i="297"/>
  <c r="H30" i="297"/>
  <c r="F45" i="296"/>
  <c r="F44" i="296"/>
  <c r="F43" i="296"/>
  <c r="C34" i="296"/>
  <c r="H31" i="296"/>
  <c r="H25" i="296"/>
  <c r="F46" i="295"/>
  <c r="F45" i="295"/>
  <c r="F44" i="295"/>
  <c r="C35" i="295"/>
  <c r="H32" i="295"/>
  <c r="F45" i="294"/>
  <c r="F44" i="294"/>
  <c r="F43" i="294"/>
  <c r="H31" i="294"/>
  <c r="F45" i="293"/>
  <c r="F44" i="293"/>
  <c r="F43" i="293"/>
  <c r="H31" i="293"/>
  <c r="F45" i="292"/>
  <c r="F44" i="292"/>
  <c r="F43" i="292"/>
  <c r="C35" i="292"/>
  <c r="F47" i="291"/>
  <c r="F46" i="291"/>
  <c r="F45" i="291"/>
  <c r="H33" i="291"/>
  <c r="F45" i="290"/>
  <c r="F44" i="290"/>
  <c r="F43" i="290"/>
  <c r="C35" i="290"/>
  <c r="H31" i="290"/>
  <c r="F45" i="289"/>
  <c r="F44" i="289"/>
  <c r="F43" i="289"/>
  <c r="C35" i="289"/>
  <c r="C34" i="289"/>
  <c r="H31" i="289"/>
  <c r="H25" i="289"/>
  <c r="F45" i="288"/>
  <c r="F44" i="288"/>
  <c r="F43" i="288"/>
  <c r="C35" i="288"/>
  <c r="H31" i="288"/>
  <c r="H25" i="288"/>
  <c r="G21" i="287"/>
  <c r="H25" i="287" s="1"/>
  <c r="F45" i="287"/>
  <c r="F44" i="287"/>
  <c r="F43" i="287"/>
  <c r="C35" i="287"/>
  <c r="C34" i="287"/>
  <c r="H31" i="287"/>
  <c r="G21" i="286"/>
  <c r="H25" i="286" s="1"/>
  <c r="F45" i="286"/>
  <c r="F44" i="286"/>
  <c r="F43" i="286"/>
  <c r="C35" i="286"/>
  <c r="C34" i="286"/>
  <c r="H31" i="286"/>
  <c r="G21" i="285"/>
  <c r="H25" i="285" s="1"/>
  <c r="F45" i="285"/>
  <c r="F44" i="285"/>
  <c r="F43" i="285"/>
  <c r="C35" i="285"/>
  <c r="C34" i="285"/>
  <c r="H31" i="285"/>
  <c r="G21" i="284"/>
  <c r="H25" i="284" s="1"/>
  <c r="F45" i="284"/>
  <c r="F44" i="284"/>
  <c r="F43" i="284"/>
  <c r="C35" i="284"/>
  <c r="C34" i="284"/>
  <c r="H31" i="284"/>
  <c r="G21" i="283"/>
  <c r="H25" i="283" s="1"/>
  <c r="F45" i="283"/>
  <c r="F44" i="283"/>
  <c r="F43" i="283"/>
  <c r="C35" i="283"/>
  <c r="C34" i="283"/>
  <c r="H31" i="283"/>
  <c r="G21" i="282"/>
  <c r="H25" i="282" s="1"/>
  <c r="F45" i="282"/>
  <c r="F44" i="282"/>
  <c r="F43" i="282"/>
  <c r="C35" i="282"/>
  <c r="C34" i="282"/>
  <c r="H31" i="282"/>
  <c r="G21" i="281"/>
  <c r="H25" i="281" s="1"/>
  <c r="F45" i="281"/>
  <c r="F44" i="281"/>
  <c r="F43" i="281"/>
  <c r="C35" i="281"/>
  <c r="C34" i="281"/>
  <c r="H31" i="281"/>
  <c r="G21" i="280"/>
  <c r="H25" i="280" s="1"/>
  <c r="F45" i="280"/>
  <c r="F44" i="280"/>
  <c r="F43" i="280"/>
  <c r="C35" i="280"/>
  <c r="C34" i="280"/>
  <c r="H31" i="280"/>
  <c r="G21" i="279"/>
  <c r="H25" i="279" s="1"/>
  <c r="F45" i="279"/>
  <c r="F44" i="279"/>
  <c r="F43" i="279"/>
  <c r="C35" i="279"/>
  <c r="C34" i="279"/>
  <c r="H31" i="279"/>
  <c r="G21" i="278"/>
  <c r="H25" i="278" s="1"/>
  <c r="F45" i="278"/>
  <c r="F44" i="278"/>
  <c r="F43" i="278"/>
  <c r="C35" i="278"/>
  <c r="C34" i="278"/>
  <c r="H31" i="278"/>
  <c r="G21" i="277"/>
  <c r="H25" i="277" s="1"/>
  <c r="F45" i="277"/>
  <c r="F44" i="277"/>
  <c r="F43" i="277"/>
  <c r="C35" i="277"/>
  <c r="C34" i="277"/>
  <c r="H31" i="277"/>
  <c r="G21" i="276"/>
  <c r="H25" i="276" s="1"/>
  <c r="F45" i="276"/>
  <c r="F44" i="276"/>
  <c r="F43" i="276"/>
  <c r="C35" i="276"/>
  <c r="C34" i="276"/>
  <c r="H31" i="276"/>
  <c r="F45" i="275"/>
  <c r="F44" i="275"/>
  <c r="F43" i="275"/>
  <c r="C35" i="275"/>
  <c r="C34" i="275"/>
  <c r="H31" i="275"/>
  <c r="G21" i="274"/>
  <c r="H25" i="274" s="1"/>
  <c r="F45" i="274"/>
  <c r="F44" i="274"/>
  <c r="F43" i="274"/>
  <c r="C35" i="274"/>
  <c r="C34" i="274"/>
  <c r="H31" i="274"/>
  <c r="G21" i="273"/>
  <c r="H25" i="273" s="1"/>
  <c r="F45" i="273"/>
  <c r="F44" i="273"/>
  <c r="F43" i="273"/>
  <c r="C35" i="273"/>
  <c r="C34" i="273"/>
  <c r="H31" i="273"/>
  <c r="G21" i="272"/>
  <c r="H25" i="272" s="1"/>
  <c r="F45" i="272"/>
  <c r="F44" i="272"/>
  <c r="F43" i="272"/>
  <c r="C35" i="272"/>
  <c r="C34" i="272"/>
  <c r="H31" i="272"/>
  <c r="G21" i="271"/>
  <c r="H25" i="271" s="1"/>
  <c r="F45" i="271"/>
  <c r="F44" i="271"/>
  <c r="F43" i="271"/>
  <c r="C35" i="271"/>
  <c r="C34" i="271"/>
  <c r="H31" i="271"/>
  <c r="G21" i="270"/>
  <c r="H25" i="270" s="1"/>
  <c r="F45" i="270"/>
  <c r="F44" i="270"/>
  <c r="F43" i="270"/>
  <c r="C35" i="270"/>
  <c r="C34" i="270"/>
  <c r="H31" i="270"/>
  <c r="C34" i="269"/>
  <c r="E21" i="269"/>
  <c r="G21" i="269" s="1"/>
  <c r="H25" i="269" s="1"/>
  <c r="F45" i="269"/>
  <c r="F44" i="269"/>
  <c r="F43" i="269"/>
  <c r="C35" i="269"/>
  <c r="H31" i="269"/>
  <c r="H25" i="294" l="1"/>
  <c r="H26" i="295"/>
  <c r="E21" i="268"/>
  <c r="G21" i="268" s="1"/>
  <c r="H25" i="268" s="1"/>
  <c r="F45" i="268"/>
  <c r="F44" i="268"/>
  <c r="F43" i="268"/>
  <c r="C35" i="268"/>
  <c r="H31" i="268"/>
  <c r="C35" i="267"/>
  <c r="G21" i="267"/>
  <c r="H25" i="267" s="1"/>
  <c r="F45" i="267"/>
  <c r="F44" i="267"/>
  <c r="F43" i="267"/>
  <c r="C34" i="267"/>
  <c r="H31" i="267"/>
  <c r="C34" i="266"/>
  <c r="G21" i="266"/>
  <c r="F45" i="266" l="1"/>
  <c r="F44" i="266"/>
  <c r="F43" i="266"/>
  <c r="H31" i="266"/>
  <c r="H25" i="266"/>
  <c r="G21" i="264"/>
  <c r="F45" i="264"/>
  <c r="F44" i="264"/>
  <c r="F43" i="264"/>
  <c r="C34" i="264"/>
  <c r="H31" i="264"/>
  <c r="G22" i="264"/>
  <c r="F45" i="262"/>
  <c r="F44" i="262"/>
  <c r="F43" i="262"/>
  <c r="C35" i="262"/>
  <c r="C34" i="262"/>
  <c r="H31" i="262"/>
  <c r="E22" i="262"/>
  <c r="G22" i="262" s="1"/>
  <c r="H25" i="262" s="1"/>
  <c r="E22" i="261"/>
  <c r="G22" i="261" s="1"/>
  <c r="H25" i="261" s="1"/>
  <c r="F45" i="261"/>
  <c r="F44" i="261"/>
  <c r="F43" i="261"/>
  <c r="C35" i="261"/>
  <c r="C34" i="261"/>
  <c r="H31" i="261"/>
  <c r="C34" i="260"/>
  <c r="F45" i="260"/>
  <c r="F44" i="260"/>
  <c r="F43" i="260"/>
  <c r="C35" i="260"/>
  <c r="H31" i="260"/>
  <c r="H25" i="260"/>
  <c r="F44" i="259"/>
  <c r="F43" i="259"/>
  <c r="F42" i="259"/>
  <c r="C34" i="259"/>
  <c r="H30" i="259"/>
  <c r="E22" i="258"/>
  <c r="G22" i="258" s="1"/>
  <c r="G14" i="258"/>
  <c r="E12" i="258"/>
  <c r="G12" i="258" s="1"/>
  <c r="F45" i="258"/>
  <c r="F44" i="258"/>
  <c r="F43" i="258"/>
  <c r="C35" i="258"/>
  <c r="C34" i="258"/>
  <c r="H31" i="258"/>
  <c r="C34" i="257"/>
  <c r="G12" i="257"/>
  <c r="F45" i="257"/>
  <c r="F44" i="257"/>
  <c r="F43" i="257"/>
  <c r="C35" i="257"/>
  <c r="H31" i="257"/>
  <c r="E22" i="256"/>
  <c r="G22" i="256" s="1"/>
  <c r="F45" i="256"/>
  <c r="F44" i="256"/>
  <c r="F43" i="256"/>
  <c r="C35" i="256"/>
  <c r="C34" i="256"/>
  <c r="H31" i="256"/>
  <c r="E22" i="255"/>
  <c r="G22" i="255" s="1"/>
  <c r="F45" i="255"/>
  <c r="F44" i="255"/>
  <c r="F43" i="255"/>
  <c r="C35" i="255"/>
  <c r="C34" i="255"/>
  <c r="H31" i="255"/>
  <c r="E24" i="254"/>
  <c r="G24" i="254" s="1"/>
  <c r="F45" i="254"/>
  <c r="F44" i="254"/>
  <c r="F43" i="254"/>
  <c r="C35" i="254"/>
  <c r="H31" i="254"/>
  <c r="E22" i="254"/>
  <c r="G22" i="254" s="1"/>
  <c r="E26" i="253"/>
  <c r="G26" i="253" s="1"/>
  <c r="E22" i="253"/>
  <c r="G22" i="253" s="1"/>
  <c r="F47" i="253"/>
  <c r="F46" i="253"/>
  <c r="F45" i="253"/>
  <c r="C37" i="253"/>
  <c r="H33" i="253"/>
  <c r="F47" i="252"/>
  <c r="F46" i="252"/>
  <c r="F45" i="252"/>
  <c r="C37" i="252"/>
  <c r="H33" i="252"/>
  <c r="C36" i="251"/>
  <c r="G25" i="251"/>
  <c r="E23" i="251"/>
  <c r="G23" i="251" s="1"/>
  <c r="F46" i="251"/>
  <c r="F45" i="251"/>
  <c r="F44" i="251"/>
  <c r="H32" i="251"/>
  <c r="G21" i="250"/>
  <c r="F45" i="250"/>
  <c r="F44" i="250"/>
  <c r="F43" i="250"/>
  <c r="C34" i="250"/>
  <c r="H31" i="250"/>
  <c r="G22" i="249"/>
  <c r="G21" i="249"/>
  <c r="F45" i="249"/>
  <c r="F44" i="249"/>
  <c r="F43" i="249"/>
  <c r="C34" i="249"/>
  <c r="H31" i="249"/>
  <c r="G21" i="248"/>
  <c r="F45" i="248"/>
  <c r="F44" i="248"/>
  <c r="F43" i="248"/>
  <c r="C34" i="248"/>
  <c r="H31" i="248"/>
  <c r="F45" i="247"/>
  <c r="F44" i="247"/>
  <c r="F43" i="247"/>
  <c r="C35" i="247"/>
  <c r="C34" i="247"/>
  <c r="H31" i="247"/>
  <c r="G22" i="247"/>
  <c r="E21" i="247"/>
  <c r="G21" i="247" s="1"/>
  <c r="E21" i="246"/>
  <c r="G21" i="246" s="1"/>
  <c r="F45" i="246"/>
  <c r="F44" i="246"/>
  <c r="F43" i="246"/>
  <c r="C35" i="246"/>
  <c r="C34" i="246"/>
  <c r="H31" i="246"/>
  <c r="F45" i="245"/>
  <c r="F44" i="245"/>
  <c r="F43" i="245"/>
  <c r="C35" i="245"/>
  <c r="C34" i="245"/>
  <c r="H31" i="245"/>
  <c r="H25" i="250" l="1"/>
  <c r="H25" i="249"/>
  <c r="H25" i="248"/>
  <c r="H25" i="247"/>
  <c r="G20" i="259" l="1"/>
  <c r="H24" i="259" s="1"/>
  <c r="H25" i="264" l="1"/>
  <c r="G21" i="257"/>
  <c r="H25" i="257" s="1"/>
  <c r="G21" i="258"/>
  <c r="H25" i="258" s="1"/>
  <c r="G21" i="256"/>
  <c r="H25" i="256" s="1"/>
  <c r="F46" i="244" l="1"/>
  <c r="F45" i="244"/>
  <c r="F44" i="244"/>
  <c r="C36" i="244"/>
  <c r="H32" i="244"/>
  <c r="E21" i="241" l="1"/>
  <c r="G21" i="241" s="1"/>
  <c r="H25" i="241" s="1"/>
  <c r="F45" i="241"/>
  <c r="F44" i="241"/>
  <c r="F43" i="241"/>
  <c r="C35" i="241"/>
  <c r="C34" i="241"/>
  <c r="H31" i="241"/>
  <c r="E12" i="241"/>
  <c r="G12" i="241" s="1"/>
  <c r="E21" i="240"/>
  <c r="G21" i="240" s="1"/>
  <c r="H25" i="240" s="1"/>
  <c r="F45" i="240"/>
  <c r="F44" i="240"/>
  <c r="F43" i="240"/>
  <c r="C35" i="240"/>
  <c r="C34" i="240"/>
  <c r="H31" i="240"/>
  <c r="E12" i="240"/>
  <c r="G12" i="240" s="1"/>
  <c r="E21" i="239"/>
  <c r="G21" i="239" s="1"/>
  <c r="H25" i="239" s="1"/>
  <c r="F45" i="239"/>
  <c r="F44" i="239"/>
  <c r="F43" i="239"/>
  <c r="C35" i="239"/>
  <c r="C34" i="239"/>
  <c r="H31" i="239"/>
  <c r="E12" i="239"/>
  <c r="G12" i="239" s="1"/>
  <c r="E21" i="238"/>
  <c r="G21" i="238" s="1"/>
  <c r="H25" i="238" s="1"/>
  <c r="F45" i="238"/>
  <c r="F44" i="238"/>
  <c r="F43" i="238"/>
  <c r="C35" i="238"/>
  <c r="C34" i="238"/>
  <c r="H31" i="238"/>
  <c r="E12" i="238"/>
  <c r="G12" i="238" s="1"/>
  <c r="E21" i="237" l="1"/>
  <c r="G21" i="237" s="1"/>
  <c r="H25" i="237" s="1"/>
  <c r="E12" i="237"/>
  <c r="G12" i="237" s="1"/>
  <c r="F45" i="237"/>
  <c r="F44" i="237"/>
  <c r="F43" i="237"/>
  <c r="C35" i="237"/>
  <c r="C34" i="237"/>
  <c r="H31" i="237"/>
  <c r="E21" i="236"/>
  <c r="G21" i="236" s="1"/>
  <c r="H25" i="236" s="1"/>
  <c r="F45" i="236"/>
  <c r="F44" i="236"/>
  <c r="F43" i="236"/>
  <c r="C35" i="236"/>
  <c r="C34" i="236"/>
  <c r="H31" i="236"/>
  <c r="E21" i="235"/>
  <c r="G21" i="235" s="1"/>
  <c r="H25" i="235" s="1"/>
  <c r="F45" i="235"/>
  <c r="F44" i="235"/>
  <c r="F43" i="235"/>
  <c r="C35" i="235"/>
  <c r="C34" i="235"/>
  <c r="H31" i="235"/>
  <c r="E21" i="232"/>
  <c r="G21" i="232" s="1"/>
  <c r="H25" i="232" s="1"/>
  <c r="F45" i="232"/>
  <c r="F44" i="232"/>
  <c r="F43" i="232"/>
  <c r="C35" i="232"/>
  <c r="C34" i="232"/>
  <c r="H31" i="232"/>
  <c r="E12" i="232"/>
  <c r="G12" i="232" s="1"/>
  <c r="E21" i="231"/>
  <c r="G21" i="231" s="1"/>
  <c r="H25" i="231" s="1"/>
  <c r="F45" i="231"/>
  <c r="F44" i="231"/>
  <c r="F43" i="231"/>
  <c r="C35" i="231"/>
  <c r="C34" i="231"/>
  <c r="H31" i="231"/>
  <c r="E12" i="231"/>
  <c r="G12" i="231" s="1"/>
  <c r="E21" i="230"/>
  <c r="G21" i="230" s="1"/>
  <c r="H25" i="230" s="1"/>
  <c r="F45" i="230"/>
  <c r="F44" i="230"/>
  <c r="F43" i="230"/>
  <c r="C35" i="230"/>
  <c r="C34" i="230"/>
  <c r="H31" i="230"/>
  <c r="E12" i="230"/>
  <c r="G12" i="230" s="1"/>
  <c r="E21" i="229"/>
  <c r="G21" i="229" s="1"/>
  <c r="H25" i="229" s="1"/>
  <c r="F45" i="229"/>
  <c r="F44" i="229"/>
  <c r="F43" i="229"/>
  <c r="C35" i="229"/>
  <c r="C34" i="229"/>
  <c r="H31" i="229"/>
  <c r="E12" i="229"/>
  <c r="G12" i="229" s="1"/>
  <c r="E21" i="227"/>
  <c r="G21" i="227" s="1"/>
  <c r="H25" i="227" s="1"/>
  <c r="E12" i="227"/>
  <c r="G12" i="227" s="1"/>
  <c r="E20" i="228"/>
  <c r="G20" i="228" s="1"/>
  <c r="H24" i="228" s="1"/>
  <c r="F44" i="228"/>
  <c r="F43" i="228"/>
  <c r="F42" i="228"/>
  <c r="C34" i="228"/>
  <c r="C33" i="228"/>
  <c r="H30" i="228"/>
  <c r="F45" i="227"/>
  <c r="F44" i="227"/>
  <c r="F43" i="227"/>
  <c r="C35" i="227"/>
  <c r="C34" i="227"/>
  <c r="H31" i="227"/>
  <c r="E20" i="226"/>
  <c r="G20" i="226" s="1"/>
  <c r="H24" i="226" s="1"/>
  <c r="F44" i="226"/>
  <c r="F43" i="226"/>
  <c r="F42" i="226"/>
  <c r="C34" i="226"/>
  <c r="C33" i="226"/>
  <c r="H30" i="226"/>
  <c r="E20" i="225"/>
  <c r="G20" i="225" s="1"/>
  <c r="H24" i="225" s="1"/>
  <c r="F44" i="225"/>
  <c r="F43" i="225"/>
  <c r="F42" i="225"/>
  <c r="C34" i="225"/>
  <c r="C33" i="225"/>
  <c r="H30" i="225"/>
  <c r="E20" i="224"/>
  <c r="G20" i="224" s="1"/>
  <c r="H24" i="224" s="1"/>
  <c r="F44" i="224"/>
  <c r="F43" i="224"/>
  <c r="F42" i="224"/>
  <c r="C34" i="224"/>
  <c r="C33" i="224"/>
  <c r="H30" i="224"/>
  <c r="C33" i="223"/>
  <c r="E20" i="223"/>
  <c r="G20" i="223" s="1"/>
  <c r="H24" i="223" s="1"/>
  <c r="F44" i="223"/>
  <c r="F43" i="223"/>
  <c r="F42" i="223"/>
  <c r="C34" i="223"/>
  <c r="H30" i="223"/>
  <c r="E20" i="222"/>
  <c r="G20" i="222" s="1"/>
  <c r="H24" i="222" s="1"/>
  <c r="F44" i="222"/>
  <c r="F43" i="222"/>
  <c r="F42" i="222"/>
  <c r="C34" i="222"/>
  <c r="C33" i="222"/>
  <c r="H30" i="222"/>
  <c r="E20" i="221"/>
  <c r="G20" i="221" s="1"/>
  <c r="H24" i="221" s="1"/>
  <c r="F44" i="221"/>
  <c r="F43" i="221"/>
  <c r="F42" i="221"/>
  <c r="C34" i="221"/>
  <c r="C33" i="221"/>
  <c r="H30" i="221"/>
  <c r="C33" i="220"/>
  <c r="E20" i="220"/>
  <c r="G20" i="220" s="1"/>
  <c r="H24" i="220" s="1"/>
  <c r="F44" i="220"/>
  <c r="F43" i="220"/>
  <c r="F42" i="220"/>
  <c r="C34" i="220"/>
  <c r="H30" i="220"/>
  <c r="E20" i="219"/>
  <c r="G20" i="219" s="1"/>
  <c r="H24" i="219" s="1"/>
  <c r="F44" i="219"/>
  <c r="F43" i="219"/>
  <c r="F42" i="219"/>
  <c r="C34" i="219"/>
  <c r="C33" i="219"/>
  <c r="H30" i="219"/>
  <c r="E20" i="218"/>
  <c r="G20" i="218" s="1"/>
  <c r="H24" i="218" s="1"/>
  <c r="F44" i="218"/>
  <c r="F43" i="218"/>
  <c r="F42" i="218"/>
  <c r="C34" i="218"/>
  <c r="C33" i="218"/>
  <c r="H30" i="218"/>
  <c r="C33" i="217"/>
  <c r="E20" i="217"/>
  <c r="G20" i="217" s="1"/>
  <c r="H24" i="217" s="1"/>
  <c r="F44" i="217"/>
  <c r="F43" i="217"/>
  <c r="F42" i="217"/>
  <c r="C34" i="217"/>
  <c r="H30" i="217"/>
  <c r="E20" i="216"/>
  <c r="G20" i="216" s="1"/>
  <c r="H24" i="216" s="1"/>
  <c r="F44" i="216"/>
  <c r="F43" i="216"/>
  <c r="F42" i="216"/>
  <c r="C34" i="216"/>
  <c r="C33" i="216"/>
  <c r="H30" i="216"/>
  <c r="E20" i="215"/>
  <c r="G20" i="215" s="1"/>
  <c r="H24" i="215" s="1"/>
  <c r="F44" i="215"/>
  <c r="F43" i="215"/>
  <c r="F42" i="215"/>
  <c r="C34" i="215"/>
  <c r="C33" i="215"/>
  <c r="H30" i="215"/>
  <c r="E20" i="214"/>
  <c r="G20" i="214" s="1"/>
  <c r="H24" i="214" s="1"/>
  <c r="F44" i="214"/>
  <c r="F43" i="214"/>
  <c r="F42" i="214"/>
  <c r="C34" i="214"/>
  <c r="C33" i="214"/>
  <c r="H30" i="214"/>
  <c r="C33" i="213"/>
  <c r="E20" i="213" l="1"/>
  <c r="G20" i="213" s="1"/>
  <c r="H24" i="213" s="1"/>
  <c r="F44" i="213"/>
  <c r="F43" i="213"/>
  <c r="F42" i="213"/>
  <c r="C34" i="213"/>
  <c r="H30" i="213"/>
  <c r="F45" i="212"/>
  <c r="F44" i="212"/>
  <c r="F43" i="212"/>
  <c r="C35" i="212"/>
  <c r="C34" i="212"/>
  <c r="H31" i="212"/>
  <c r="H25" i="212"/>
  <c r="E12" i="212"/>
  <c r="G12" i="212" s="1"/>
  <c r="F45" i="211"/>
  <c r="F44" i="211"/>
  <c r="F43" i="211"/>
  <c r="C35" i="211"/>
  <c r="C34" i="211"/>
  <c r="H31" i="211"/>
  <c r="H25" i="211"/>
  <c r="E12" i="211"/>
  <c r="G12" i="211" s="1"/>
  <c r="E12" i="210"/>
  <c r="G12" i="210" s="1"/>
  <c r="F45" i="210"/>
  <c r="F44" i="210"/>
  <c r="F43" i="210"/>
  <c r="C35" i="210"/>
  <c r="C34" i="210"/>
  <c r="H31" i="210"/>
  <c r="H25" i="210"/>
  <c r="F45" i="209"/>
  <c r="F44" i="209"/>
  <c r="F43" i="209"/>
  <c r="C35" i="209"/>
  <c r="C34" i="209"/>
  <c r="H31" i="209"/>
  <c r="H25" i="209"/>
  <c r="F45" i="208"/>
  <c r="F44" i="208"/>
  <c r="F43" i="208"/>
  <c r="C35" i="208"/>
  <c r="C34" i="208"/>
  <c r="H31" i="208"/>
  <c r="H25" i="208"/>
  <c r="F45" i="207"/>
  <c r="F44" i="207"/>
  <c r="F43" i="207"/>
  <c r="C35" i="207"/>
  <c r="C34" i="207"/>
  <c r="H31" i="207"/>
  <c r="H25" i="207"/>
  <c r="F45" i="206"/>
  <c r="F44" i="206"/>
  <c r="F43" i="206"/>
  <c r="C35" i="206"/>
  <c r="C34" i="206"/>
  <c r="H31" i="206"/>
  <c r="H25" i="206"/>
  <c r="C34" i="205"/>
  <c r="F45" i="205"/>
  <c r="F44" i="205"/>
  <c r="F43" i="205"/>
  <c r="C35" i="205"/>
  <c r="H31" i="205"/>
  <c r="H25" i="205"/>
  <c r="F45" i="204"/>
  <c r="F44" i="204"/>
  <c r="F43" i="204"/>
  <c r="C35" i="204"/>
  <c r="C34" i="204"/>
  <c r="H31" i="204"/>
  <c r="H25" i="204"/>
  <c r="F45" i="203"/>
  <c r="F44" i="203"/>
  <c r="F43" i="203"/>
  <c r="C35" i="203"/>
  <c r="C34" i="203"/>
  <c r="H31" i="203"/>
  <c r="H25" i="203"/>
  <c r="C34" i="202"/>
  <c r="F45" i="202"/>
  <c r="F44" i="202"/>
  <c r="F43" i="202"/>
  <c r="C35" i="202"/>
  <c r="H31" i="202"/>
  <c r="H25" i="202"/>
  <c r="F45" i="201"/>
  <c r="F44" i="201"/>
  <c r="F43" i="201"/>
  <c r="C35" i="201"/>
  <c r="C34" i="201"/>
  <c r="H31" i="201"/>
  <c r="H25" i="201"/>
  <c r="E12" i="201"/>
  <c r="G12" i="201" s="1"/>
  <c r="F45" i="200"/>
  <c r="F44" i="200"/>
  <c r="F43" i="200"/>
  <c r="C35" i="200"/>
  <c r="C34" i="200"/>
  <c r="H31" i="200"/>
  <c r="H25" i="200"/>
  <c r="E12" i="200"/>
  <c r="G12" i="200" s="1"/>
  <c r="E12" i="199"/>
  <c r="G12" i="199" s="1"/>
  <c r="F45" i="199"/>
  <c r="F44" i="199"/>
  <c r="F43" i="199"/>
  <c r="C35" i="199"/>
  <c r="C34" i="199"/>
  <c r="H31" i="199"/>
  <c r="H25" i="199"/>
  <c r="F45" i="198"/>
  <c r="F44" i="198"/>
  <c r="F43" i="198"/>
  <c r="C35" i="198"/>
  <c r="C34" i="198"/>
  <c r="H31" i="198"/>
  <c r="H25" i="198"/>
  <c r="F45" i="197"/>
  <c r="F44" i="197"/>
  <c r="F43" i="197"/>
  <c r="C35" i="197"/>
  <c r="C34" i="197"/>
  <c r="H31" i="197"/>
  <c r="H25" i="197"/>
  <c r="F45" i="196"/>
  <c r="F44" i="196"/>
  <c r="F43" i="196"/>
  <c r="C35" i="196"/>
  <c r="C34" i="196"/>
  <c r="H31" i="196"/>
  <c r="H25" i="196"/>
  <c r="F45" i="195"/>
  <c r="F44" i="195"/>
  <c r="F43" i="195"/>
  <c r="C35" i="195"/>
  <c r="C34" i="195"/>
  <c r="H31" i="195"/>
  <c r="H25" i="195"/>
  <c r="C34" i="194"/>
  <c r="F45" i="194"/>
  <c r="F44" i="194"/>
  <c r="F43" i="194"/>
  <c r="C35" i="194"/>
  <c r="H31" i="194"/>
  <c r="H25" i="194"/>
  <c r="F45" i="193"/>
  <c r="F44" i="193"/>
  <c r="F43" i="193"/>
  <c r="C35" i="193"/>
  <c r="C34" i="193"/>
  <c r="H31" i="193"/>
  <c r="G21" i="193"/>
  <c r="H25" i="193" s="1"/>
  <c r="H25" i="191"/>
  <c r="F45" i="192"/>
  <c r="F44" i="192"/>
  <c r="F43" i="192"/>
  <c r="C35" i="192"/>
  <c r="C34" i="192"/>
  <c r="H31" i="192"/>
  <c r="H25" i="192"/>
  <c r="C34" i="191"/>
  <c r="C34" i="190"/>
  <c r="F45" i="191"/>
  <c r="F44" i="191"/>
  <c r="F43" i="191"/>
  <c r="C35" i="191"/>
  <c r="H31" i="191"/>
  <c r="F45" i="190"/>
  <c r="F44" i="190"/>
  <c r="F43" i="190"/>
  <c r="C35" i="190"/>
  <c r="H31" i="190"/>
  <c r="H25" i="190"/>
  <c r="E21" i="189"/>
  <c r="G21" i="189" s="1"/>
  <c r="H25" i="189" s="1"/>
  <c r="F45" i="189"/>
  <c r="F44" i="189"/>
  <c r="F43" i="189"/>
  <c r="C35" i="189"/>
  <c r="C34" i="189"/>
  <c r="H31" i="189"/>
  <c r="G12" i="189"/>
  <c r="E21" i="188"/>
  <c r="G21" i="188" s="1"/>
  <c r="H25" i="188" s="1"/>
  <c r="F45" i="188"/>
  <c r="F44" i="188"/>
  <c r="F43" i="188"/>
  <c r="C35" i="188"/>
  <c r="C34" i="188"/>
  <c r="H31" i="188"/>
  <c r="G12" i="188"/>
  <c r="E21" i="187"/>
  <c r="G21" i="187" s="1"/>
  <c r="H25" i="187" s="1"/>
  <c r="G12" i="187"/>
  <c r="F45" i="187"/>
  <c r="F44" i="187"/>
  <c r="F43" i="187"/>
  <c r="C35" i="187"/>
  <c r="C34" i="187"/>
  <c r="H31" i="187"/>
  <c r="E21" i="186"/>
  <c r="G21" i="186" s="1"/>
  <c r="H25" i="186" s="1"/>
  <c r="F45" i="186"/>
  <c r="F44" i="186"/>
  <c r="F43" i="186"/>
  <c r="C35" i="186"/>
  <c r="C34" i="186"/>
  <c r="H31" i="186"/>
  <c r="E12" i="186"/>
  <c r="G12" i="186" s="1"/>
  <c r="E21" i="185"/>
  <c r="G21" i="185" s="1"/>
  <c r="H25" i="185" s="1"/>
  <c r="F45" i="185"/>
  <c r="F44" i="185"/>
  <c r="F43" i="185"/>
  <c r="C35" i="185"/>
  <c r="C34" i="185"/>
  <c r="H31" i="185"/>
  <c r="E12" i="185"/>
  <c r="G12" i="185" s="1"/>
  <c r="E21" i="184"/>
  <c r="G21" i="184" s="1"/>
  <c r="H25" i="184" s="1"/>
  <c r="F45" i="184"/>
  <c r="F44" i="184"/>
  <c r="F43" i="184"/>
  <c r="C35" i="184"/>
  <c r="C34" i="184"/>
  <c r="H31" i="184"/>
  <c r="E12" i="184"/>
  <c r="G12" i="184" s="1"/>
  <c r="E21" i="183"/>
  <c r="G21" i="183" s="1"/>
  <c r="H25" i="183" s="1"/>
  <c r="E12" i="183"/>
  <c r="G12" i="183" s="1"/>
  <c r="F45" i="183"/>
  <c r="F44" i="183"/>
  <c r="F43" i="183"/>
  <c r="C35" i="183"/>
  <c r="C34" i="183"/>
  <c r="H31" i="183"/>
  <c r="E20" i="182"/>
  <c r="G20" i="182" s="1"/>
  <c r="H24" i="182" s="1"/>
  <c r="F44" i="182"/>
  <c r="F43" i="182"/>
  <c r="F42" i="182"/>
  <c r="C34" i="182"/>
  <c r="C33" i="182"/>
  <c r="H30" i="182"/>
  <c r="E20" i="181"/>
  <c r="G20" i="181" s="1"/>
  <c r="H24" i="181" s="1"/>
  <c r="E20" i="180"/>
  <c r="G20" i="180" s="1"/>
  <c r="H24" i="180" s="1"/>
  <c r="F44" i="181"/>
  <c r="F43" i="181"/>
  <c r="F42" i="181"/>
  <c r="C34" i="181"/>
  <c r="C33" i="181"/>
  <c r="H30" i="181"/>
  <c r="H30" i="180"/>
  <c r="F44" i="180"/>
  <c r="F43" i="180"/>
  <c r="F42" i="180"/>
  <c r="C34" i="180"/>
  <c r="C33" i="180"/>
  <c r="E20" i="179"/>
  <c r="G20" i="179" s="1"/>
  <c r="H24" i="179" s="1"/>
  <c r="F44" i="179"/>
  <c r="F43" i="179"/>
  <c r="F42" i="179"/>
  <c r="C34" i="179"/>
  <c r="C33" i="179"/>
  <c r="H30" i="179"/>
  <c r="E20" i="178"/>
  <c r="G20" i="178" s="1"/>
  <c r="H24" i="178" s="1"/>
  <c r="F44" i="178"/>
  <c r="F43" i="178"/>
  <c r="F42" i="178"/>
  <c r="C34" i="178"/>
  <c r="C33" i="178"/>
  <c r="H30" i="178"/>
  <c r="E20" i="177" l="1"/>
  <c r="G20" i="177" s="1"/>
  <c r="H24" i="177" s="1"/>
  <c r="F44" i="177"/>
  <c r="F43" i="177"/>
  <c r="F42" i="177"/>
  <c r="C34" i="177"/>
  <c r="C33" i="177"/>
  <c r="H30" i="177"/>
  <c r="E20" i="176"/>
  <c r="G20" i="176" s="1"/>
  <c r="H24" i="176" s="1"/>
  <c r="F44" i="176"/>
  <c r="F43" i="176"/>
  <c r="F42" i="176"/>
  <c r="C34" i="176"/>
  <c r="C33" i="176"/>
  <c r="H30" i="176"/>
  <c r="F45" i="175"/>
  <c r="F44" i="175"/>
  <c r="F43" i="175"/>
  <c r="C35" i="175"/>
  <c r="C34" i="175"/>
  <c r="H31" i="175"/>
  <c r="H25" i="175"/>
  <c r="G12" i="175"/>
  <c r="F45" i="174"/>
  <c r="F44" i="174"/>
  <c r="F43" i="174"/>
  <c r="C35" i="174"/>
  <c r="C34" i="174"/>
  <c r="H31" i="174"/>
  <c r="H25" i="174"/>
  <c r="G12" i="174"/>
  <c r="G12" i="173"/>
  <c r="F45" i="173"/>
  <c r="F44" i="173"/>
  <c r="F43" i="173"/>
  <c r="C35" i="173"/>
  <c r="C34" i="173"/>
  <c r="H31" i="173"/>
  <c r="H25" i="173"/>
  <c r="F45" i="172"/>
  <c r="F44" i="172"/>
  <c r="F43" i="172"/>
  <c r="C35" i="172"/>
  <c r="C34" i="172"/>
  <c r="H31" i="172"/>
  <c r="H25" i="172"/>
  <c r="E12" i="172"/>
  <c r="G12" i="172" s="1"/>
  <c r="F45" i="171"/>
  <c r="F44" i="171"/>
  <c r="F43" i="171"/>
  <c r="C35" i="171"/>
  <c r="C34" i="171"/>
  <c r="H31" i="171"/>
  <c r="H25" i="171"/>
  <c r="E12" i="171"/>
  <c r="G12" i="171" s="1"/>
  <c r="F45" i="170"/>
  <c r="F44" i="170"/>
  <c r="F43" i="170"/>
  <c r="C35" i="170"/>
  <c r="C34" i="170"/>
  <c r="H31" i="170"/>
  <c r="H25" i="170"/>
  <c r="E12" i="170"/>
  <c r="G12" i="170" s="1"/>
  <c r="E12" i="169"/>
  <c r="G12" i="169" s="1"/>
  <c r="F45" i="169"/>
  <c r="F44" i="169"/>
  <c r="F43" i="169"/>
  <c r="C35" i="169"/>
  <c r="C34" i="169"/>
  <c r="H31" i="169"/>
  <c r="H25" i="169"/>
  <c r="F45" i="168"/>
  <c r="F44" i="168"/>
  <c r="F43" i="168"/>
  <c r="C35" i="168"/>
  <c r="C34" i="168"/>
  <c r="H31" i="168"/>
  <c r="H25" i="168"/>
  <c r="G12" i="168"/>
  <c r="F45" i="167"/>
  <c r="F44" i="167"/>
  <c r="F43" i="167"/>
  <c r="C35" i="167"/>
  <c r="C34" i="167"/>
  <c r="H31" i="167"/>
  <c r="H25" i="167"/>
  <c r="G12" i="167"/>
  <c r="G12" i="166"/>
  <c r="F45" i="166"/>
  <c r="F44" i="166"/>
  <c r="F43" i="166"/>
  <c r="C35" i="166"/>
  <c r="C34" i="166"/>
  <c r="H31" i="166"/>
  <c r="H25" i="166"/>
  <c r="F45" i="165"/>
  <c r="F44" i="165"/>
  <c r="F43" i="165"/>
  <c r="C35" i="165"/>
  <c r="C34" i="165"/>
  <c r="H31" i="165"/>
  <c r="H25" i="165"/>
  <c r="E12" i="165"/>
  <c r="G12" i="165" s="1"/>
  <c r="F45" i="164"/>
  <c r="F44" i="164"/>
  <c r="F43" i="164"/>
  <c r="C35" i="164"/>
  <c r="C34" i="164"/>
  <c r="H31" i="164"/>
  <c r="H25" i="164"/>
  <c r="E12" i="164"/>
  <c r="G12" i="164" s="1"/>
  <c r="F45" i="163"/>
  <c r="F44" i="163"/>
  <c r="F43" i="163"/>
  <c r="C35" i="163"/>
  <c r="C34" i="163"/>
  <c r="H31" i="163"/>
  <c r="H25" i="163"/>
  <c r="E12" i="163"/>
  <c r="G12" i="163" s="1"/>
  <c r="E12" i="162"/>
  <c r="G12" i="162" s="1"/>
  <c r="F45" i="162"/>
  <c r="F44" i="162"/>
  <c r="F43" i="162"/>
  <c r="C35" i="162"/>
  <c r="C34" i="162"/>
  <c r="H31" i="162"/>
  <c r="H25" i="162"/>
  <c r="F44" i="161"/>
  <c r="F43" i="161"/>
  <c r="F42" i="161"/>
  <c r="C34" i="161"/>
  <c r="C33" i="161"/>
  <c r="H30" i="161"/>
  <c r="H24" i="161"/>
  <c r="E13" i="161"/>
  <c r="G13" i="161" s="1"/>
  <c r="F44" i="160"/>
  <c r="F43" i="160"/>
  <c r="F42" i="160"/>
  <c r="C34" i="160"/>
  <c r="H30" i="160"/>
  <c r="H24" i="160"/>
  <c r="E13" i="160"/>
  <c r="G13" i="160" s="1"/>
  <c r="E13" i="159"/>
  <c r="G13" i="159" s="1"/>
  <c r="F44" i="159"/>
  <c r="F43" i="159"/>
  <c r="F42" i="159"/>
  <c r="C34" i="159"/>
  <c r="C33" i="159"/>
  <c r="H30" i="159"/>
  <c r="H24" i="159"/>
  <c r="F45" i="158"/>
  <c r="F44" i="158"/>
  <c r="F43" i="158"/>
  <c r="C35" i="158"/>
  <c r="C34" i="158"/>
  <c r="H31" i="158"/>
  <c r="H25" i="158"/>
  <c r="F45" i="157"/>
  <c r="F44" i="157"/>
  <c r="F43" i="157"/>
  <c r="C35" i="157"/>
  <c r="C34" i="157"/>
  <c r="H31" i="157"/>
  <c r="H25" i="157"/>
  <c r="F45" i="156"/>
  <c r="F44" i="156"/>
  <c r="F43" i="156"/>
  <c r="C35" i="156"/>
  <c r="C34" i="156"/>
  <c r="H31" i="156"/>
  <c r="H25" i="156"/>
  <c r="F45" i="155"/>
  <c r="F44" i="155"/>
  <c r="F43" i="155"/>
  <c r="C35" i="155"/>
  <c r="C34" i="155"/>
  <c r="H31" i="155"/>
  <c r="H25" i="155"/>
  <c r="F45" i="154"/>
  <c r="F44" i="154"/>
  <c r="F43" i="154"/>
  <c r="C35" i="154"/>
  <c r="C34" i="154"/>
  <c r="H31" i="154"/>
  <c r="H25" i="154"/>
  <c r="C34" i="153"/>
  <c r="F45" i="153"/>
  <c r="F44" i="153"/>
  <c r="F43" i="153"/>
  <c r="C35" i="153"/>
  <c r="H31" i="153"/>
  <c r="H25" i="153"/>
  <c r="F45" i="152"/>
  <c r="F44" i="152"/>
  <c r="F43" i="152"/>
  <c r="C35" i="152"/>
  <c r="H31" i="152"/>
  <c r="H25" i="152"/>
  <c r="F45" i="151"/>
  <c r="F44" i="151"/>
  <c r="F43" i="151"/>
  <c r="C35" i="151"/>
  <c r="H31" i="151"/>
  <c r="H25" i="151"/>
  <c r="F45" i="150"/>
  <c r="F44" i="150"/>
  <c r="F43" i="150"/>
  <c r="C35" i="150"/>
  <c r="C34" i="150"/>
  <c r="H31" i="150"/>
  <c r="H25" i="150"/>
  <c r="F45" i="149"/>
  <c r="F44" i="149"/>
  <c r="F43" i="149"/>
  <c r="C35" i="149"/>
  <c r="C34" i="149"/>
  <c r="H31" i="149"/>
  <c r="H25" i="149"/>
  <c r="F45" i="148"/>
  <c r="F44" i="148"/>
  <c r="F43" i="148"/>
  <c r="C35" i="148"/>
  <c r="C34" i="148"/>
  <c r="H31" i="148"/>
  <c r="H25" i="148"/>
  <c r="F45" i="147"/>
  <c r="F44" i="147"/>
  <c r="F43" i="147"/>
  <c r="C35" i="147"/>
  <c r="C34" i="147"/>
  <c r="H31" i="147"/>
  <c r="H25" i="147"/>
  <c r="F45" i="146"/>
  <c r="F44" i="146"/>
  <c r="F43" i="146"/>
  <c r="C35" i="146"/>
  <c r="C34" i="146"/>
  <c r="H31" i="146"/>
  <c r="H25" i="146"/>
  <c r="F45" i="145"/>
  <c r="F44" i="145"/>
  <c r="F43" i="145"/>
  <c r="C35" i="145"/>
  <c r="C34" i="145"/>
  <c r="H31" i="145"/>
  <c r="H25" i="145"/>
  <c r="C34" i="144"/>
  <c r="F45" i="144"/>
  <c r="F44" i="144"/>
  <c r="F43" i="144"/>
  <c r="C35" i="144"/>
  <c r="H31" i="144"/>
  <c r="H25" i="144"/>
  <c r="E21" i="143"/>
  <c r="G21" i="143" s="1"/>
  <c r="H25" i="143" s="1"/>
  <c r="F45" i="143"/>
  <c r="F44" i="143"/>
  <c r="F43" i="143"/>
  <c r="C35" i="143"/>
  <c r="C34" i="143"/>
  <c r="H31" i="143"/>
  <c r="E12" i="143"/>
  <c r="G12" i="143" s="1"/>
  <c r="E21" i="142"/>
  <c r="G21" i="142" s="1"/>
  <c r="H25" i="142" s="1"/>
  <c r="F45" i="142"/>
  <c r="F44" i="142"/>
  <c r="F43" i="142"/>
  <c r="C35" i="142"/>
  <c r="H31" i="142"/>
  <c r="E12" i="142"/>
  <c r="G12" i="142" s="1"/>
  <c r="E21" i="141"/>
  <c r="G21" i="141" s="1"/>
  <c r="H25" i="141" s="1"/>
  <c r="E12" i="141"/>
  <c r="G12" i="141" s="1"/>
  <c r="F45" i="141"/>
  <c r="F44" i="141"/>
  <c r="F43" i="141"/>
  <c r="C35" i="141"/>
  <c r="C34" i="141"/>
  <c r="H31" i="141"/>
  <c r="E21" i="140"/>
  <c r="G21" i="140" s="1"/>
  <c r="H25" i="140" s="1"/>
  <c r="F45" i="140"/>
  <c r="F44" i="140"/>
  <c r="F43" i="140"/>
  <c r="C35" i="140"/>
  <c r="C34" i="140"/>
  <c r="H31" i="140"/>
  <c r="E21" i="139"/>
  <c r="G21" i="139" s="1"/>
  <c r="H25" i="139" s="1"/>
  <c r="F45" i="139"/>
  <c r="F44" i="139"/>
  <c r="F43" i="139"/>
  <c r="C35" i="139"/>
  <c r="C34" i="139"/>
  <c r="H31" i="139"/>
  <c r="E21" i="138"/>
  <c r="G21" i="138" s="1"/>
  <c r="H25" i="138" s="1"/>
  <c r="F45" i="138"/>
  <c r="F44" i="138"/>
  <c r="F43" i="138"/>
  <c r="C35" i="138"/>
  <c r="C34" i="138"/>
  <c r="H31" i="138"/>
  <c r="E21" i="137"/>
  <c r="G21" i="137" s="1"/>
  <c r="H25" i="137" s="1"/>
  <c r="E21" i="136"/>
  <c r="G21" i="136" s="1"/>
  <c r="H25" i="136" s="1"/>
  <c r="F45" i="137"/>
  <c r="F44" i="137"/>
  <c r="F43" i="137"/>
  <c r="C35" i="137"/>
  <c r="C34" i="137"/>
  <c r="H31" i="137"/>
  <c r="F45" i="136"/>
  <c r="F44" i="136"/>
  <c r="F43" i="136"/>
  <c r="C35" i="136"/>
  <c r="C35" i="135"/>
  <c r="C34" i="136"/>
  <c r="H31" i="136"/>
  <c r="C34" i="135"/>
  <c r="E21" i="135"/>
  <c r="G21" i="135" s="1"/>
  <c r="H25" i="135" s="1"/>
  <c r="F45" i="135"/>
  <c r="F44" i="135"/>
  <c r="F43" i="135"/>
  <c r="H31" i="135"/>
  <c r="E21" i="134"/>
  <c r="G21" i="134" s="1"/>
  <c r="H25" i="134" s="1"/>
  <c r="F45" i="134"/>
  <c r="F44" i="134"/>
  <c r="F43" i="134"/>
  <c r="C35" i="134"/>
  <c r="H31" i="134"/>
  <c r="E21" i="133"/>
  <c r="G21" i="133" s="1"/>
  <c r="H25" i="133" s="1"/>
  <c r="F45" i="133"/>
  <c r="F44" i="133"/>
  <c r="F43" i="133"/>
  <c r="C35" i="133"/>
  <c r="H31" i="133"/>
  <c r="E21" i="132" l="1"/>
  <c r="G21" i="132" s="1"/>
  <c r="H25" i="132" s="1"/>
  <c r="F45" i="132"/>
  <c r="F44" i="132"/>
  <c r="F43" i="132"/>
  <c r="C35" i="132"/>
  <c r="C34" i="132"/>
  <c r="H31" i="132"/>
  <c r="E21" i="131"/>
  <c r="G21" i="131" s="1"/>
  <c r="H25" i="131" s="1"/>
  <c r="F45" i="131"/>
  <c r="F44" i="131"/>
  <c r="F43" i="131"/>
  <c r="C35" i="131"/>
  <c r="C34" i="131"/>
  <c r="H31" i="131"/>
  <c r="E21" i="130"/>
  <c r="G21" i="130" s="1"/>
  <c r="H25" i="130" s="1"/>
  <c r="F45" i="130"/>
  <c r="F44" i="130"/>
  <c r="F43" i="130"/>
  <c r="C35" i="130"/>
  <c r="C34" i="130"/>
  <c r="H31" i="130"/>
  <c r="E21" i="129"/>
  <c r="G21" i="129" s="1"/>
  <c r="H25" i="129" s="1"/>
  <c r="F45" i="129"/>
  <c r="F44" i="129"/>
  <c r="F43" i="129"/>
  <c r="C35" i="129"/>
  <c r="C34" i="129"/>
  <c r="H31" i="129"/>
  <c r="E21" i="128"/>
  <c r="G21" i="128" s="1"/>
  <c r="H25" i="128" s="1"/>
  <c r="F45" i="128"/>
  <c r="F44" i="128"/>
  <c r="F43" i="128"/>
  <c r="C35" i="128"/>
  <c r="C34" i="128"/>
  <c r="H31" i="128"/>
  <c r="E21" i="127"/>
  <c r="G21" i="127" s="1"/>
  <c r="H25" i="127" s="1"/>
  <c r="F45" i="127"/>
  <c r="F44" i="127"/>
  <c r="F43" i="127"/>
  <c r="C35" i="127"/>
  <c r="C34" i="127"/>
  <c r="H31" i="127"/>
  <c r="C34" i="126"/>
  <c r="E21" i="126"/>
  <c r="G21" i="126" s="1"/>
  <c r="F45" i="126"/>
  <c r="F44" i="126"/>
  <c r="F43" i="126"/>
  <c r="C35" i="126"/>
  <c r="H31" i="126"/>
  <c r="F45" i="125"/>
  <c r="F44" i="125"/>
  <c r="F43" i="125"/>
  <c r="C35" i="125"/>
  <c r="H31" i="125"/>
  <c r="G22" i="125"/>
  <c r="G21" i="125"/>
  <c r="G22" i="124"/>
  <c r="G21" i="124"/>
  <c r="F45" i="124"/>
  <c r="F44" i="124"/>
  <c r="F43" i="124"/>
  <c r="C35" i="124"/>
  <c r="C34" i="124"/>
  <c r="H31" i="124"/>
  <c r="C34" i="123"/>
  <c r="C33" i="123"/>
  <c r="E21" i="123"/>
  <c r="G21" i="123" s="1"/>
  <c r="F44" i="123"/>
  <c r="F43" i="123"/>
  <c r="F42" i="123"/>
  <c r="H30" i="123"/>
  <c r="C34" i="122"/>
  <c r="F45" i="122"/>
  <c r="F44" i="122"/>
  <c r="F43" i="122"/>
  <c r="H31" i="122"/>
  <c r="H25" i="122"/>
  <c r="E12" i="122"/>
  <c r="G12" i="122" s="1"/>
  <c r="F45" i="121"/>
  <c r="F44" i="121"/>
  <c r="F43" i="121"/>
  <c r="C34" i="121"/>
  <c r="H31" i="121"/>
  <c r="H25" i="121"/>
  <c r="E12" i="121"/>
  <c r="G12" i="121" s="1"/>
  <c r="F45" i="120"/>
  <c r="F44" i="120"/>
  <c r="F43" i="120"/>
  <c r="C34" i="120"/>
  <c r="H31" i="120"/>
  <c r="H25" i="120"/>
  <c r="C34" i="119"/>
  <c r="F45" i="119"/>
  <c r="F44" i="119"/>
  <c r="F43" i="119"/>
  <c r="H31" i="119"/>
  <c r="H25" i="119"/>
  <c r="E13" i="118"/>
  <c r="G13" i="118" s="1"/>
  <c r="E12" i="118"/>
  <c r="G12" i="118" s="1"/>
  <c r="F45" i="118"/>
  <c r="F44" i="118"/>
  <c r="F43" i="118"/>
  <c r="H38" i="118"/>
  <c r="H31" i="118"/>
  <c r="H25" i="118"/>
  <c r="C34" i="117"/>
  <c r="E13" i="117"/>
  <c r="G13" i="117" s="1"/>
  <c r="F45" i="117"/>
  <c r="F44" i="117"/>
  <c r="F43" i="117"/>
  <c r="H31" i="117"/>
  <c r="H25" i="117"/>
  <c r="F45" i="116"/>
  <c r="F44" i="116"/>
  <c r="F43" i="116"/>
  <c r="C34" i="116"/>
  <c r="G28" i="116"/>
  <c r="H31" i="116" s="1"/>
  <c r="H25" i="116"/>
  <c r="E13" i="116"/>
  <c r="G13" i="116" s="1"/>
  <c r="C34" i="115"/>
  <c r="G28" i="115"/>
  <c r="H31" i="115" s="1"/>
  <c r="F45" i="115"/>
  <c r="F44" i="115"/>
  <c r="F43" i="115"/>
  <c r="H25" i="115"/>
  <c r="E13" i="115"/>
  <c r="G13" i="115" s="1"/>
  <c r="F44" i="114"/>
  <c r="F43" i="114"/>
  <c r="F42" i="114"/>
  <c r="C33" i="114"/>
  <c r="H30" i="114"/>
  <c r="H24" i="114"/>
  <c r="E13" i="114"/>
  <c r="G13" i="114" s="1"/>
  <c r="F44" i="113"/>
  <c r="F43" i="113"/>
  <c r="F42" i="113"/>
  <c r="C33" i="113"/>
  <c r="H30" i="113"/>
  <c r="H24" i="113"/>
  <c r="E13" i="113"/>
  <c r="G13" i="113" s="1"/>
  <c r="C33" i="112"/>
  <c r="E13" i="112"/>
  <c r="G13" i="112" s="1"/>
  <c r="F44" i="112"/>
  <c r="F43" i="112"/>
  <c r="F42" i="112"/>
  <c r="H30" i="112"/>
  <c r="H24" i="112"/>
  <c r="F44" i="111"/>
  <c r="F43" i="111"/>
  <c r="F42" i="111"/>
  <c r="C33" i="111"/>
  <c r="E21" i="111"/>
  <c r="G21" i="111" s="1"/>
  <c r="E20" i="111"/>
  <c r="G20" i="111" s="1"/>
  <c r="E15" i="111"/>
  <c r="G15" i="111" s="1"/>
  <c r="E14" i="111"/>
  <c r="G14" i="111" s="1"/>
  <c r="E13" i="111"/>
  <c r="G13" i="111" s="1"/>
  <c r="E21" i="110"/>
  <c r="G13" i="110"/>
  <c r="F45" i="110"/>
  <c r="F44" i="110"/>
  <c r="F43" i="110"/>
  <c r="C34" i="110"/>
  <c r="F30" i="110"/>
  <c r="G30" i="110" s="1"/>
  <c r="F29" i="110"/>
  <c r="G29" i="110" s="1"/>
  <c r="F28" i="110"/>
  <c r="G28" i="110" s="1"/>
  <c r="E22" i="110"/>
  <c r="G22" i="110" s="1"/>
  <c r="E16" i="110"/>
  <c r="G16" i="110" s="1"/>
  <c r="E15" i="110"/>
  <c r="G15" i="110" s="1"/>
  <c r="E14" i="110"/>
  <c r="G14" i="110" s="1"/>
  <c r="F45" i="109"/>
  <c r="F44" i="109"/>
  <c r="F43" i="109"/>
  <c r="C34" i="109"/>
  <c r="G28" i="109"/>
  <c r="E23" i="109"/>
  <c r="G23" i="109" s="1"/>
  <c r="E22" i="109"/>
  <c r="G22" i="109" s="1"/>
  <c r="E21" i="109"/>
  <c r="G21" i="109" s="1"/>
  <c r="E16" i="109"/>
  <c r="G16" i="109" s="1"/>
  <c r="E15" i="109"/>
  <c r="G15" i="109" s="1"/>
  <c r="E14" i="109"/>
  <c r="G14" i="109" s="1"/>
  <c r="E13" i="109"/>
  <c r="G13" i="109" s="1"/>
  <c r="G12" i="109"/>
  <c r="C34" i="108"/>
  <c r="G28" i="108"/>
  <c r="E23" i="108"/>
  <c r="G23" i="108" s="1"/>
  <c r="E22" i="108"/>
  <c r="G22" i="108" s="1"/>
  <c r="G21" i="108"/>
  <c r="E16" i="108"/>
  <c r="G16" i="108" s="1"/>
  <c r="E15" i="108"/>
  <c r="G15" i="108" s="1"/>
  <c r="E14" i="108"/>
  <c r="G14" i="108" s="1"/>
  <c r="E13" i="108"/>
  <c r="G13" i="108" s="1"/>
  <c r="F45" i="108"/>
  <c r="F44" i="108"/>
  <c r="F43" i="108"/>
  <c r="C35" i="108"/>
  <c r="F45" i="107"/>
  <c r="F44" i="107"/>
  <c r="F43" i="107"/>
  <c r="C35" i="107"/>
  <c r="C34" i="107"/>
  <c r="H31" i="107"/>
  <c r="G14" i="107"/>
  <c r="E13" i="107"/>
  <c r="G13" i="107" s="1"/>
  <c r="C35" i="106"/>
  <c r="C34" i="106"/>
  <c r="H24" i="111" l="1"/>
  <c r="H18" i="109"/>
  <c r="H18" i="118"/>
  <c r="H40" i="118" s="1"/>
  <c r="G43" i="118" s="1"/>
  <c r="H25" i="126"/>
  <c r="H25" i="125"/>
  <c r="H25" i="124"/>
  <c r="H25" i="109"/>
  <c r="H30" i="111"/>
  <c r="H18" i="110"/>
  <c r="H25" i="110"/>
  <c r="H31" i="110"/>
  <c r="H31" i="109"/>
  <c r="H31" i="108"/>
  <c r="H25" i="108"/>
  <c r="G45" i="118" l="1"/>
  <c r="G44" i="118"/>
  <c r="H46" i="118" l="1"/>
  <c r="H48" i="118" s="1"/>
  <c r="D106" i="24" s="1"/>
  <c r="H106" i="24" l="1"/>
  <c r="F106" i="24"/>
  <c r="G14" i="106"/>
  <c r="E13" i="106"/>
  <c r="G13" i="106" s="1"/>
  <c r="F45" i="106"/>
  <c r="F44" i="106"/>
  <c r="F43" i="106"/>
  <c r="H31" i="106"/>
  <c r="C34" i="105"/>
  <c r="E15" i="105"/>
  <c r="G15" i="105" s="1"/>
  <c r="E14" i="105"/>
  <c r="G14" i="105" s="1"/>
  <c r="E13" i="105"/>
  <c r="G13" i="105" s="1"/>
  <c r="F45" i="105"/>
  <c r="F44" i="105"/>
  <c r="F43" i="105"/>
  <c r="H31" i="105"/>
  <c r="H25" i="105"/>
  <c r="H31" i="104"/>
  <c r="E21" i="104"/>
  <c r="G21" i="104" s="1"/>
  <c r="H25" i="104" s="1"/>
  <c r="F45" i="104"/>
  <c r="F44" i="104"/>
  <c r="F43" i="104"/>
  <c r="H38" i="104"/>
  <c r="H18" i="104"/>
  <c r="C34" i="103"/>
  <c r="E21" i="103"/>
  <c r="G21" i="103" s="1"/>
  <c r="H25" i="103" s="1"/>
  <c r="F45" i="103"/>
  <c r="F44" i="103"/>
  <c r="F43" i="103"/>
  <c r="H31" i="103"/>
  <c r="F44" i="102"/>
  <c r="F43" i="102"/>
  <c r="F42" i="102"/>
  <c r="H37" i="102"/>
  <c r="H30" i="102"/>
  <c r="H24" i="102"/>
  <c r="F45" i="101"/>
  <c r="F44" i="101"/>
  <c r="F43" i="101"/>
  <c r="C34" i="101"/>
  <c r="H31" i="101"/>
  <c r="E14" i="101"/>
  <c r="G14" i="101" s="1"/>
  <c r="E13" i="101"/>
  <c r="G13" i="101" s="1"/>
  <c r="H17" i="102" l="1"/>
  <c r="H39" i="102" s="1"/>
  <c r="G42" i="102" s="1"/>
  <c r="H40" i="104"/>
  <c r="G45" i="104" s="1"/>
  <c r="H31" i="100"/>
  <c r="G21" i="100"/>
  <c r="H25" i="100" s="1"/>
  <c r="E14" i="100"/>
  <c r="G14" i="100" s="1"/>
  <c r="E13" i="100"/>
  <c r="G13" i="100" s="1"/>
  <c r="F45" i="100"/>
  <c r="F44" i="100"/>
  <c r="F43" i="100"/>
  <c r="C34" i="100"/>
  <c r="F45" i="99"/>
  <c r="F44" i="99"/>
  <c r="F43" i="99"/>
  <c r="C34" i="99"/>
  <c r="H31" i="99"/>
  <c r="E22" i="98"/>
  <c r="G22" i="98" s="1"/>
  <c r="F46" i="98"/>
  <c r="F45" i="98"/>
  <c r="F44" i="98"/>
  <c r="C35" i="98"/>
  <c r="H32" i="98"/>
  <c r="F46" i="97"/>
  <c r="F45" i="97"/>
  <c r="F44" i="97"/>
  <c r="C37" i="97"/>
  <c r="C35" i="97"/>
  <c r="H32" i="97"/>
  <c r="F46" i="96"/>
  <c r="F45" i="96"/>
  <c r="F44" i="96"/>
  <c r="C35" i="96"/>
  <c r="H32" i="96"/>
  <c r="C37" i="95"/>
  <c r="G25" i="95"/>
  <c r="F48" i="95"/>
  <c r="F47" i="95"/>
  <c r="F46" i="95"/>
  <c r="C39" i="94"/>
  <c r="F48" i="94"/>
  <c r="F47" i="94"/>
  <c r="F46" i="94"/>
  <c r="C37" i="94"/>
  <c r="G21" i="92"/>
  <c r="F46" i="92"/>
  <c r="F45" i="92"/>
  <c r="F44" i="92"/>
  <c r="C35" i="92"/>
  <c r="G26" i="95" l="1"/>
  <c r="H28" i="95" s="1"/>
  <c r="G24" i="92"/>
  <c r="H26" i="92" s="1"/>
  <c r="G44" i="104"/>
  <c r="G43" i="104"/>
  <c r="G44" i="102"/>
  <c r="G43" i="102"/>
  <c r="H46" i="104" l="1"/>
  <c r="H48" i="104" s="1"/>
  <c r="D93" i="24" s="1"/>
  <c r="H45" i="102"/>
  <c r="H47" i="102" s="1"/>
  <c r="D91" i="24" s="1"/>
  <c r="H91" i="24" l="1"/>
  <c r="F91" i="24"/>
  <c r="H93" i="24"/>
  <c r="F93" i="24"/>
  <c r="G12" i="86"/>
  <c r="H18" i="86" s="1"/>
  <c r="G12" i="85"/>
  <c r="H18" i="85" s="1"/>
  <c r="F48" i="89"/>
  <c r="F47" i="89"/>
  <c r="F46" i="89"/>
  <c r="H34" i="89"/>
  <c r="G12" i="84"/>
  <c r="H18" i="84" s="1"/>
  <c r="G12" i="83"/>
  <c r="H18" i="83" s="1"/>
  <c r="F48" i="88"/>
  <c r="F47" i="88"/>
  <c r="F46" i="88"/>
  <c r="F48" i="87"/>
  <c r="F47" i="87"/>
  <c r="F46" i="87"/>
  <c r="F45" i="86"/>
  <c r="F44" i="86"/>
  <c r="F43" i="86"/>
  <c r="H38" i="86"/>
  <c r="H31" i="86"/>
  <c r="H25" i="86"/>
  <c r="F45" i="85"/>
  <c r="F44" i="85"/>
  <c r="F43" i="85"/>
  <c r="H38" i="85"/>
  <c r="H31" i="85"/>
  <c r="H25" i="85"/>
  <c r="F45" i="84"/>
  <c r="F44" i="84"/>
  <c r="F43" i="84"/>
  <c r="H38" i="84"/>
  <c r="H31" i="84"/>
  <c r="H25" i="84"/>
  <c r="F45" i="83"/>
  <c r="F44" i="83"/>
  <c r="F43" i="83"/>
  <c r="H38" i="83"/>
  <c r="H31" i="83"/>
  <c r="H25" i="83"/>
  <c r="F45" i="82"/>
  <c r="F44" i="82"/>
  <c r="F43" i="82"/>
  <c r="H38" i="82"/>
  <c r="H31" i="82"/>
  <c r="H25" i="82"/>
  <c r="E12" i="82"/>
  <c r="G12" i="82" s="1"/>
  <c r="H18" i="82" s="1"/>
  <c r="F45" i="81"/>
  <c r="F44" i="81"/>
  <c r="F43" i="81"/>
  <c r="H38" i="81"/>
  <c r="H31" i="81"/>
  <c r="H25" i="81"/>
  <c r="E12" i="81"/>
  <c r="G12" i="81" s="1"/>
  <c r="H18" i="81" s="1"/>
  <c r="F45" i="80"/>
  <c r="F44" i="80"/>
  <c r="F43" i="80"/>
  <c r="H38" i="80"/>
  <c r="H31" i="80"/>
  <c r="H25" i="80"/>
  <c r="E12" i="80"/>
  <c r="G12" i="80" s="1"/>
  <c r="H18" i="80" s="1"/>
  <c r="F45" i="79"/>
  <c r="F44" i="79"/>
  <c r="F43" i="79"/>
  <c r="H38" i="79"/>
  <c r="H31" i="79"/>
  <c r="H25" i="79"/>
  <c r="E12" i="79"/>
  <c r="G12" i="79" s="1"/>
  <c r="H18" i="79" s="1"/>
  <c r="F45" i="78"/>
  <c r="F44" i="78"/>
  <c r="F43" i="78"/>
  <c r="H38" i="78"/>
  <c r="H31" i="78"/>
  <c r="H25" i="78"/>
  <c r="E12" i="78"/>
  <c r="G12" i="78" s="1"/>
  <c r="H18" i="78" s="1"/>
  <c r="F45" i="77"/>
  <c r="F44" i="77"/>
  <c r="F43" i="77"/>
  <c r="H38" i="77"/>
  <c r="H31" i="77"/>
  <c r="H25" i="77"/>
  <c r="E12" i="77"/>
  <c r="G12" i="77" s="1"/>
  <c r="H18" i="77" s="1"/>
  <c r="F45" i="76"/>
  <c r="F44" i="76"/>
  <c r="F43" i="76"/>
  <c r="H38" i="76"/>
  <c r="H31" i="76"/>
  <c r="H25" i="76"/>
  <c r="E12" i="76"/>
  <c r="G12" i="76" s="1"/>
  <c r="H18" i="76" s="1"/>
  <c r="E12" i="75"/>
  <c r="G12" i="75" s="1"/>
  <c r="F45" i="75"/>
  <c r="F44" i="75"/>
  <c r="F43" i="75"/>
  <c r="H38" i="75"/>
  <c r="H31" i="75"/>
  <c r="H25" i="75"/>
  <c r="C32" i="74"/>
  <c r="F43" i="74"/>
  <c r="F42" i="74"/>
  <c r="F41" i="74"/>
  <c r="E11" i="74"/>
  <c r="G11" i="74" s="1"/>
  <c r="H29" i="74"/>
  <c r="H23" i="74"/>
  <c r="F45" i="73"/>
  <c r="F44" i="73"/>
  <c r="F43" i="73"/>
  <c r="C34" i="73"/>
  <c r="H31" i="73"/>
  <c r="H25" i="73"/>
  <c r="F45" i="72"/>
  <c r="F44" i="72"/>
  <c r="F43" i="72"/>
  <c r="C34" i="72"/>
  <c r="H31" i="72"/>
  <c r="H25" i="72"/>
  <c r="C34" i="71"/>
  <c r="E13" i="71"/>
  <c r="G13" i="71" s="1"/>
  <c r="F45" i="71"/>
  <c r="F44" i="71"/>
  <c r="F43" i="71"/>
  <c r="H31" i="71"/>
  <c r="H25" i="71"/>
  <c r="F45" i="70"/>
  <c r="F44" i="70"/>
  <c r="F43" i="70"/>
  <c r="C34" i="70"/>
  <c r="H31" i="70"/>
  <c r="H25" i="70"/>
  <c r="C34" i="69"/>
  <c r="F45" i="69"/>
  <c r="F44" i="69"/>
  <c r="F43" i="69"/>
  <c r="H31" i="69"/>
  <c r="H25" i="69"/>
  <c r="F45" i="68"/>
  <c r="F44" i="68"/>
  <c r="F43" i="68"/>
  <c r="H31" i="68"/>
  <c r="C34" i="67"/>
  <c r="E13" i="67"/>
  <c r="G13" i="67" s="1"/>
  <c r="F45" i="67"/>
  <c r="F44" i="67"/>
  <c r="F43" i="67"/>
  <c r="H31" i="67"/>
  <c r="H25" i="67"/>
  <c r="F45" i="66"/>
  <c r="F44" i="66"/>
  <c r="F43" i="66"/>
  <c r="C34" i="66"/>
  <c r="H31" i="66"/>
  <c r="H25" i="66"/>
  <c r="H40" i="76" l="1"/>
  <c r="H40" i="78"/>
  <c r="H40" i="80"/>
  <c r="H40" i="82"/>
  <c r="H40" i="77"/>
  <c r="H40" i="79"/>
  <c r="H40" i="84"/>
  <c r="G45" i="84" s="1"/>
  <c r="H40" i="86"/>
  <c r="G43" i="86" s="1"/>
  <c r="H40" i="81"/>
  <c r="H40" i="83"/>
  <c r="G45" i="83" s="1"/>
  <c r="H40" i="85"/>
  <c r="G45" i="85" s="1"/>
  <c r="H25" i="68"/>
  <c r="H18" i="75"/>
  <c r="H40" i="75" s="1"/>
  <c r="F45" i="65"/>
  <c r="G43" i="81" l="1"/>
  <c r="G44" i="77"/>
  <c r="G45" i="80"/>
  <c r="G43" i="76"/>
  <c r="G45" i="79"/>
  <c r="G43" i="82"/>
  <c r="G45" i="78"/>
  <c r="G44" i="78"/>
  <c r="G43" i="79"/>
  <c r="G43" i="78"/>
  <c r="H46" i="78" s="1"/>
  <c r="H48" i="78" s="1"/>
  <c r="D58" i="24" s="1"/>
  <c r="G45" i="82"/>
  <c r="G44" i="79"/>
  <c r="G44" i="82"/>
  <c r="G45" i="76"/>
  <c r="G43" i="80"/>
  <c r="G44" i="83"/>
  <c r="G44" i="76"/>
  <c r="G44" i="80"/>
  <c r="G43" i="83"/>
  <c r="G45" i="77"/>
  <c r="G45" i="86"/>
  <c r="G43" i="77"/>
  <c r="G45" i="81"/>
  <c r="G43" i="84"/>
  <c r="G44" i="81"/>
  <c r="G44" i="84"/>
  <c r="G44" i="85"/>
  <c r="G43" i="85"/>
  <c r="G44" i="86"/>
  <c r="H46" i="86" s="1"/>
  <c r="H48" i="86" s="1"/>
  <c r="D70" i="24" s="1"/>
  <c r="G43" i="75"/>
  <c r="G44" i="75"/>
  <c r="G45" i="75"/>
  <c r="C34" i="65"/>
  <c r="F44" i="65"/>
  <c r="F43" i="65"/>
  <c r="H31" i="65"/>
  <c r="H25" i="65"/>
  <c r="H46" i="81" l="1"/>
  <c r="H48" i="81" s="1"/>
  <c r="D63" i="24" s="1"/>
  <c r="H63" i="24" s="1"/>
  <c r="H46" i="82"/>
  <c r="H48" i="82" s="1"/>
  <c r="D64" i="24" s="1"/>
  <c r="H64" i="24" s="1"/>
  <c r="F63" i="24"/>
  <c r="F64" i="24"/>
  <c r="H70" i="24"/>
  <c r="F70" i="24"/>
  <c r="H58" i="24"/>
  <c r="F58" i="24"/>
  <c r="H46" i="79"/>
  <c r="H48" i="79" s="1"/>
  <c r="D60" i="24" s="1"/>
  <c r="H46" i="80"/>
  <c r="H48" i="80" s="1"/>
  <c r="D61" i="24" s="1"/>
  <c r="H46" i="76"/>
  <c r="H48" i="76" s="1"/>
  <c r="D55" i="24" s="1"/>
  <c r="H46" i="83"/>
  <c r="H48" i="83" s="1"/>
  <c r="D66" i="24" s="1"/>
  <c r="H46" i="77"/>
  <c r="H48" i="77" s="1"/>
  <c r="D57" i="24" s="1"/>
  <c r="H46" i="84"/>
  <c r="H48" i="84" s="1"/>
  <c r="D67" i="24" s="1"/>
  <c r="H46" i="85"/>
  <c r="H48" i="85" s="1"/>
  <c r="D69" i="24" s="1"/>
  <c r="H46" i="75"/>
  <c r="H48" i="75" s="1"/>
  <c r="D54" i="24" s="1"/>
  <c r="C34" i="64"/>
  <c r="E13" i="64"/>
  <c r="G13" i="64" s="1"/>
  <c r="F45" i="64"/>
  <c r="F44" i="64"/>
  <c r="F43" i="64"/>
  <c r="H31" i="64"/>
  <c r="H25" i="64"/>
  <c r="F45" i="63"/>
  <c r="F44" i="63"/>
  <c r="F43" i="63"/>
  <c r="C34" i="63"/>
  <c r="H31" i="63"/>
  <c r="H25" i="63"/>
  <c r="C34" i="62"/>
  <c r="F45" i="62"/>
  <c r="F44" i="62"/>
  <c r="F43" i="62"/>
  <c r="H31" i="62"/>
  <c r="H25" i="62"/>
  <c r="G21" i="60"/>
  <c r="H25" i="60" s="1"/>
  <c r="F45" i="60"/>
  <c r="F44" i="60"/>
  <c r="F43" i="60"/>
  <c r="H31" i="60"/>
  <c r="C34" i="59"/>
  <c r="E13" i="59"/>
  <c r="G13" i="59" s="1"/>
  <c r="F45" i="59"/>
  <c r="F44" i="59"/>
  <c r="F43" i="59"/>
  <c r="H31" i="59"/>
  <c r="H25" i="59"/>
  <c r="F45" i="58"/>
  <c r="F44" i="58"/>
  <c r="F43" i="58"/>
  <c r="H31" i="58"/>
  <c r="H25" i="58"/>
  <c r="F45" i="57"/>
  <c r="F44" i="57"/>
  <c r="F43" i="57"/>
  <c r="H31" i="57"/>
  <c r="H25" i="57"/>
  <c r="H54" i="24" l="1"/>
  <c r="F54" i="24"/>
  <c r="H67" i="24"/>
  <c r="F67" i="24"/>
  <c r="H66" i="24"/>
  <c r="F66" i="24"/>
  <c r="H61" i="24"/>
  <c r="F61" i="24"/>
  <c r="H69" i="24"/>
  <c r="F69" i="24"/>
  <c r="H57" i="24"/>
  <c r="F57" i="24"/>
  <c r="H55" i="24"/>
  <c r="F55" i="24"/>
  <c r="H60" i="24"/>
  <c r="F60" i="24"/>
  <c r="F45" i="56"/>
  <c r="F44" i="56"/>
  <c r="F43" i="56"/>
  <c r="C34" i="56"/>
  <c r="H31" i="56"/>
  <c r="H25" i="56"/>
  <c r="E13" i="56"/>
  <c r="G13" i="56" s="1"/>
  <c r="F45" i="55"/>
  <c r="F44" i="55"/>
  <c r="F43" i="55"/>
  <c r="C34" i="55"/>
  <c r="H31" i="55"/>
  <c r="H25" i="55"/>
  <c r="E13" i="55"/>
  <c r="G13" i="55" s="1"/>
  <c r="F45" i="54"/>
  <c r="F44" i="54"/>
  <c r="F43" i="54"/>
  <c r="C34" i="54"/>
  <c r="H31" i="54"/>
  <c r="H25" i="54"/>
  <c r="E13" i="54"/>
  <c r="G13" i="54" s="1"/>
  <c r="C34" i="53"/>
  <c r="E13" i="53"/>
  <c r="G13" i="53" s="1"/>
  <c r="F45" i="53"/>
  <c r="F44" i="53"/>
  <c r="F43" i="53"/>
  <c r="H31" i="53"/>
  <c r="H25" i="53"/>
  <c r="F45" i="52"/>
  <c r="F44" i="52"/>
  <c r="F43" i="52"/>
  <c r="H31" i="52"/>
  <c r="H25" i="52"/>
  <c r="F45" i="51"/>
  <c r="F44" i="51"/>
  <c r="F43" i="51"/>
  <c r="H31" i="51"/>
  <c r="H25" i="51"/>
  <c r="G21" i="50"/>
  <c r="H25" i="50" s="1"/>
  <c r="F45" i="50"/>
  <c r="F44" i="50"/>
  <c r="F43" i="50"/>
  <c r="C34" i="50"/>
  <c r="H31" i="50"/>
  <c r="F45" i="49"/>
  <c r="F44" i="49"/>
  <c r="F43" i="49"/>
  <c r="C34" i="49"/>
  <c r="H31" i="49"/>
  <c r="H25" i="49"/>
  <c r="E21" i="46"/>
  <c r="G21" i="46" s="1"/>
  <c r="E12" i="46"/>
  <c r="E12" i="45"/>
  <c r="C32" i="44"/>
  <c r="F44" i="48"/>
  <c r="F43" i="48"/>
  <c r="F42" i="48"/>
  <c r="H37" i="48"/>
  <c r="F27" i="48"/>
  <c r="G27" i="48" s="1"/>
  <c r="H30" i="48" s="1"/>
  <c r="E20" i="48"/>
  <c r="G20" i="48" s="1"/>
  <c r="H24" i="48" s="1"/>
  <c r="E11" i="48"/>
  <c r="G11" i="48" s="1"/>
  <c r="H17" i="48" s="1"/>
  <c r="F44" i="47"/>
  <c r="F43" i="47"/>
  <c r="F42" i="47"/>
  <c r="H37" i="47"/>
  <c r="F27" i="47"/>
  <c r="G27" i="47" s="1"/>
  <c r="H30" i="47" s="1"/>
  <c r="E20" i="47"/>
  <c r="G20" i="47" s="1"/>
  <c r="H24" i="47" s="1"/>
  <c r="E11" i="47"/>
  <c r="G11" i="47" s="1"/>
  <c r="H17" i="47" s="1"/>
  <c r="F27" i="41"/>
  <c r="H39" i="48" l="1"/>
  <c r="G44" i="48" s="1"/>
  <c r="H39" i="47"/>
  <c r="G43" i="47" s="1"/>
  <c r="G42" i="47" l="1"/>
  <c r="G44" i="47"/>
  <c r="G43" i="48"/>
  <c r="G42" i="48"/>
  <c r="H45" i="47" l="1"/>
  <c r="H47" i="47" s="1"/>
  <c r="D17" i="24" s="1"/>
  <c r="H45" i="48"/>
  <c r="H47" i="48" s="1"/>
  <c r="H17" i="24" l="1"/>
  <c r="F17" i="24"/>
  <c r="D18" i="24"/>
  <c r="E20" i="41"/>
  <c r="G20" i="41" s="1"/>
  <c r="E11" i="41"/>
  <c r="G11" i="41" s="1"/>
  <c r="F27" i="40"/>
  <c r="E20" i="40"/>
  <c r="G20" i="40" s="1"/>
  <c r="E23" i="35"/>
  <c r="G23" i="35" s="1"/>
  <c r="C34" i="35"/>
  <c r="F28" i="36"/>
  <c r="G28" i="36" s="1"/>
  <c r="G21" i="35"/>
  <c r="E22" i="35"/>
  <c r="G22" i="35" s="1"/>
  <c r="H18" i="24" l="1"/>
  <c r="F18" i="24"/>
  <c r="H25" i="35"/>
  <c r="F44" i="35" l="1"/>
  <c r="F43" i="35"/>
  <c r="F42" i="35"/>
  <c r="F45" i="46" l="1"/>
  <c r="F44" i="46"/>
  <c r="F43" i="46"/>
  <c r="H31" i="46"/>
  <c r="G12" i="46"/>
  <c r="G12" i="45"/>
  <c r="F45" i="45"/>
  <c r="F44" i="45"/>
  <c r="F43" i="45"/>
  <c r="H31" i="45"/>
  <c r="H25" i="45"/>
  <c r="F43" i="44" l="1"/>
  <c r="F42" i="44"/>
  <c r="F41" i="44"/>
  <c r="H29" i="44"/>
  <c r="G19" i="44"/>
  <c r="H23" i="44" s="1"/>
  <c r="F44" i="41"/>
  <c r="F43" i="41"/>
  <c r="F42" i="41"/>
  <c r="H37" i="41"/>
  <c r="G27" i="41"/>
  <c r="H30" i="41" s="1"/>
  <c r="H24" i="41"/>
  <c r="H17" i="41"/>
  <c r="F44" i="40"/>
  <c r="F43" i="40"/>
  <c r="F42" i="40"/>
  <c r="G27" i="40"/>
  <c r="H30" i="40" s="1"/>
  <c r="H24" i="40"/>
  <c r="F45" i="37"/>
  <c r="F44" i="37"/>
  <c r="F43" i="37"/>
  <c r="H31" i="37"/>
  <c r="H25" i="37"/>
  <c r="F45" i="36"/>
  <c r="F44" i="36"/>
  <c r="F43" i="36"/>
  <c r="H38" i="36"/>
  <c r="H31" i="36"/>
  <c r="H25" i="36"/>
  <c r="H18" i="36"/>
  <c r="H18" i="35"/>
  <c r="I145" i="13"/>
  <c r="G145" i="13"/>
  <c r="I127" i="13"/>
  <c r="M127" i="13" s="1"/>
  <c r="F85" i="13"/>
  <c r="F84" i="13"/>
  <c r="F83" i="13"/>
  <c r="C47" i="13"/>
  <c r="E47" i="13" s="1"/>
  <c r="C46" i="13"/>
  <c r="E46" i="13" s="1"/>
  <c r="C45" i="13"/>
  <c r="E45" i="13" s="1"/>
  <c r="D44" i="13"/>
  <c r="C44" i="13"/>
  <c r="E44" i="13" s="1"/>
  <c r="D43" i="13"/>
  <c r="C43" i="13"/>
  <c r="F43" i="13" s="1"/>
  <c r="D42" i="13"/>
  <c r="C42" i="13"/>
  <c r="E42" i="13" s="1"/>
  <c r="H42" i="13" s="1"/>
  <c r="D41" i="13"/>
  <c r="C41" i="13"/>
  <c r="F41" i="13" s="1"/>
  <c r="D40" i="13"/>
  <c r="C40" i="13"/>
  <c r="E40" i="13" s="1"/>
  <c r="D39" i="13"/>
  <c r="C39" i="13"/>
  <c r="F39" i="13" s="1"/>
  <c r="D38" i="13"/>
  <c r="C38" i="13"/>
  <c r="E38" i="13" s="1"/>
  <c r="D37" i="13"/>
  <c r="C37" i="13"/>
  <c r="F37" i="13" s="1"/>
  <c r="D36" i="13"/>
  <c r="C36" i="13"/>
  <c r="E36" i="13" s="1"/>
  <c r="H36" i="13" s="1"/>
  <c r="C35" i="13"/>
  <c r="F35" i="13" s="1"/>
  <c r="C34" i="13"/>
  <c r="F34" i="13" s="1"/>
  <c r="C33" i="13"/>
  <c r="F33" i="13" s="1"/>
  <c r="D32" i="13"/>
  <c r="C32" i="13"/>
  <c r="F32" i="13" s="1"/>
  <c r="C31" i="13"/>
  <c r="E31" i="13" s="1"/>
  <c r="C30" i="13"/>
  <c r="E30" i="13" s="1"/>
  <c r="C29" i="13"/>
  <c r="E29" i="13" s="1"/>
  <c r="C28" i="13"/>
  <c r="E28" i="13" s="1"/>
  <c r="C20" i="13"/>
  <c r="E20" i="13" s="1"/>
  <c r="C19" i="13"/>
  <c r="E19" i="13" s="1"/>
  <c r="C18" i="13"/>
  <c r="E18" i="13" s="1"/>
  <c r="C17" i="13"/>
  <c r="F17" i="13" s="1"/>
  <c r="C16" i="13"/>
  <c r="F16" i="13" s="1"/>
  <c r="C15" i="13"/>
  <c r="F15" i="13" s="1"/>
  <c r="F14" i="13"/>
  <c r="C12" i="13"/>
  <c r="E12" i="13" s="1"/>
  <c r="C11" i="13"/>
  <c r="F11" i="13" s="1"/>
  <c r="C10" i="13"/>
  <c r="E10" i="13" s="1"/>
  <c r="H10" i="13" s="1"/>
  <c r="C9" i="13"/>
  <c r="F9" i="13" s="1"/>
  <c r="C8" i="13"/>
  <c r="E8" i="13" s="1"/>
  <c r="C7" i="13"/>
  <c r="F7" i="13" s="1"/>
  <c r="C6" i="13"/>
  <c r="E6" i="13" s="1"/>
  <c r="H6" i="13" s="1"/>
  <c r="C5" i="13"/>
  <c r="F5" i="13" s="1"/>
  <c r="C4" i="13"/>
  <c r="G21" i="275"/>
  <c r="H25" i="275" s="1"/>
  <c r="H25" i="46"/>
  <c r="G22" i="299"/>
  <c r="H25" i="299" s="1"/>
  <c r="G21" i="101"/>
  <c r="H25" i="101" s="1"/>
  <c r="G22" i="293" l="1"/>
  <c r="H25" i="293" s="1"/>
  <c r="G23" i="253"/>
  <c r="G23" i="254"/>
  <c r="M120" i="13"/>
  <c r="M132" i="13"/>
  <c r="M122" i="13"/>
  <c r="M140" i="13"/>
  <c r="F4" i="13"/>
  <c r="E4" i="13"/>
  <c r="E34" i="13"/>
  <c r="H34" i="13" s="1"/>
  <c r="E35" i="13"/>
  <c r="H35" i="13" s="1"/>
  <c r="M124" i="13"/>
  <c r="E17" i="13"/>
  <c r="H17" i="13" s="1"/>
  <c r="F10" i="13"/>
  <c r="F12" i="13"/>
  <c r="E15" i="13"/>
  <c r="H15" i="13" s="1"/>
  <c r="E16" i="13"/>
  <c r="I16" i="13" s="1"/>
  <c r="F18" i="13"/>
  <c r="F19" i="13"/>
  <c r="F20" i="13"/>
  <c r="F28" i="13"/>
  <c r="F29" i="13"/>
  <c r="F30" i="13"/>
  <c r="F31" i="13"/>
  <c r="E33" i="13"/>
  <c r="I33" i="13" s="1"/>
  <c r="F40" i="13"/>
  <c r="F6" i="13"/>
  <c r="F8" i="13"/>
  <c r="F36" i="13"/>
  <c r="F38" i="13"/>
  <c r="F42" i="13"/>
  <c r="F44" i="13"/>
  <c r="F45" i="13"/>
  <c r="F46" i="13"/>
  <c r="F47" i="13"/>
  <c r="H39" i="41"/>
  <c r="G43" i="41" s="1"/>
  <c r="I4" i="13"/>
  <c r="E7" i="13"/>
  <c r="I8" i="13"/>
  <c r="G8" i="13"/>
  <c r="E11" i="13"/>
  <c r="I12" i="13"/>
  <c r="G12" i="13"/>
  <c r="I15" i="13"/>
  <c r="J15" i="13" s="1"/>
  <c r="I18" i="13"/>
  <c r="G18" i="13"/>
  <c r="E37" i="13"/>
  <c r="I38" i="13"/>
  <c r="G38" i="13"/>
  <c r="E5" i="13"/>
  <c r="I6" i="13"/>
  <c r="G6" i="13"/>
  <c r="H8" i="13"/>
  <c r="E9" i="13"/>
  <c r="I10" i="13"/>
  <c r="G10" i="13"/>
  <c r="H12" i="13"/>
  <c r="E14" i="13"/>
  <c r="H18" i="13"/>
  <c r="I19" i="13"/>
  <c r="G19" i="13"/>
  <c r="H19" i="13"/>
  <c r="I20" i="13"/>
  <c r="G20" i="13"/>
  <c r="H20" i="13"/>
  <c r="I28" i="13"/>
  <c r="G28" i="13"/>
  <c r="H28" i="13"/>
  <c r="I29" i="13"/>
  <c r="G29" i="13"/>
  <c r="H29" i="13"/>
  <c r="I30" i="13"/>
  <c r="G30" i="13"/>
  <c r="H30" i="13"/>
  <c r="I31" i="13"/>
  <c r="G31" i="13"/>
  <c r="H31" i="13"/>
  <c r="I36" i="13"/>
  <c r="G36" i="13"/>
  <c r="H38" i="13"/>
  <c r="E39" i="13"/>
  <c r="I40" i="13"/>
  <c r="G40" i="13"/>
  <c r="H40" i="13"/>
  <c r="E43" i="13"/>
  <c r="I44" i="13"/>
  <c r="G44" i="13"/>
  <c r="H44" i="13"/>
  <c r="E41" i="13"/>
  <c r="I42" i="13"/>
  <c r="G42" i="13"/>
  <c r="I45" i="13"/>
  <c r="G45" i="13"/>
  <c r="H45" i="13"/>
  <c r="I46" i="13"/>
  <c r="G46" i="13"/>
  <c r="H46" i="13"/>
  <c r="I47" i="13"/>
  <c r="G47" i="13"/>
  <c r="H47" i="13"/>
  <c r="H40" i="36"/>
  <c r="M123" i="13"/>
  <c r="M125" i="13"/>
  <c r="G43" i="36" l="1"/>
  <c r="G34" i="13"/>
  <c r="K34" i="13" s="1"/>
  <c r="K10" i="13"/>
  <c r="I34" i="13"/>
  <c r="J34" i="13" s="1"/>
  <c r="H4" i="13"/>
  <c r="J4" i="13" s="1"/>
  <c r="G4" i="13"/>
  <c r="G15" i="13"/>
  <c r="K15" i="13" s="1"/>
  <c r="J10" i="13"/>
  <c r="I17" i="13"/>
  <c r="J17" i="13" s="1"/>
  <c r="J42" i="13"/>
  <c r="K36" i="13"/>
  <c r="I35" i="13"/>
  <c r="J35" i="13" s="1"/>
  <c r="G17" i="13"/>
  <c r="K17" i="13" s="1"/>
  <c r="G35" i="13"/>
  <c r="K35" i="13" s="1"/>
  <c r="J6" i="13"/>
  <c r="J36" i="13"/>
  <c r="K42" i="13"/>
  <c r="K6" i="13"/>
  <c r="E37" i="22"/>
  <c r="H33" i="13"/>
  <c r="J33" i="13" s="1"/>
  <c r="G33" i="13"/>
  <c r="H16" i="13"/>
  <c r="J16" i="13" s="1"/>
  <c r="G16" i="13"/>
  <c r="G42" i="41"/>
  <c r="G44" i="41"/>
  <c r="G44" i="36"/>
  <c r="K46" i="13"/>
  <c r="J46" i="13"/>
  <c r="H41" i="13"/>
  <c r="I41" i="13"/>
  <c r="G41" i="13"/>
  <c r="K44" i="13"/>
  <c r="J44" i="13"/>
  <c r="K40" i="13"/>
  <c r="J40" i="13"/>
  <c r="K38" i="13"/>
  <c r="J38" i="13"/>
  <c r="K31" i="13"/>
  <c r="J31" i="13"/>
  <c r="K29" i="13"/>
  <c r="J29" i="13"/>
  <c r="K20" i="13"/>
  <c r="J20" i="13"/>
  <c r="K18" i="13"/>
  <c r="J18" i="13"/>
  <c r="K12" i="13"/>
  <c r="J12" i="13"/>
  <c r="H9" i="13"/>
  <c r="I9" i="13"/>
  <c r="G9" i="13"/>
  <c r="E19" i="22"/>
  <c r="H37" i="13"/>
  <c r="G37" i="13"/>
  <c r="I37" i="13"/>
  <c r="H11" i="13"/>
  <c r="G11" i="13"/>
  <c r="I11" i="13"/>
  <c r="H7" i="13"/>
  <c r="G7" i="13"/>
  <c r="I7" i="13"/>
  <c r="K47" i="13"/>
  <c r="J47" i="13"/>
  <c r="K45" i="13"/>
  <c r="J45" i="13"/>
  <c r="G45" i="36"/>
  <c r="H43" i="13"/>
  <c r="G43" i="13"/>
  <c r="I43" i="13"/>
  <c r="H39" i="13"/>
  <c r="G39" i="13"/>
  <c r="I39" i="13"/>
  <c r="K30" i="13"/>
  <c r="J30" i="13"/>
  <c r="K28" i="13"/>
  <c r="J28" i="13"/>
  <c r="K19" i="13"/>
  <c r="J19" i="13"/>
  <c r="H14" i="13"/>
  <c r="I14" i="13"/>
  <c r="G14" i="13"/>
  <c r="K8" i="13"/>
  <c r="J8" i="13"/>
  <c r="H5" i="13"/>
  <c r="I5" i="13"/>
  <c r="G5" i="13"/>
  <c r="E36" i="22"/>
  <c r="E39" i="22" l="1"/>
  <c r="C48" i="22" s="1"/>
  <c r="K4" i="13"/>
  <c r="K16" i="13"/>
  <c r="K33" i="13"/>
  <c r="H45" i="41"/>
  <c r="H47" i="41" s="1"/>
  <c r="D16" i="24" s="1"/>
  <c r="H46" i="36"/>
  <c r="H48" i="36" s="1"/>
  <c r="D11" i="24" s="1"/>
  <c r="J14" i="13"/>
  <c r="K14" i="13"/>
  <c r="J39" i="13"/>
  <c r="K39" i="13"/>
  <c r="J11" i="13"/>
  <c r="K11" i="13"/>
  <c r="J9" i="13"/>
  <c r="K9" i="13"/>
  <c r="J41" i="13"/>
  <c r="K41" i="13"/>
  <c r="J5" i="13"/>
  <c r="K5" i="13"/>
  <c r="J43" i="13"/>
  <c r="K43" i="13"/>
  <c r="J7" i="13"/>
  <c r="K7" i="13"/>
  <c r="J37" i="13"/>
  <c r="K37" i="13"/>
  <c r="D35" i="414" l="1"/>
  <c r="E35" i="414" s="1"/>
  <c r="G35" i="414" s="1"/>
  <c r="D34" i="414"/>
  <c r="E34" i="414" s="1"/>
  <c r="G34" i="414" s="1"/>
  <c r="D35" i="412"/>
  <c r="E35" i="412" s="1"/>
  <c r="G35" i="412" s="1"/>
  <c r="D34" i="412"/>
  <c r="E34" i="412" s="1"/>
  <c r="G34" i="412" s="1"/>
  <c r="H11" i="24"/>
  <c r="F11" i="24"/>
  <c r="H16" i="24"/>
  <c r="F16" i="24"/>
  <c r="D35" i="413"/>
  <c r="E35" i="413" s="1"/>
  <c r="G35" i="413" s="1"/>
  <c r="D34" i="413"/>
  <c r="E34" i="413" s="1"/>
  <c r="G34" i="413" s="1"/>
  <c r="D35" i="411"/>
  <c r="E35" i="411" s="1"/>
  <c r="G35" i="411" s="1"/>
  <c r="D34" i="411"/>
  <c r="E34" i="411" s="1"/>
  <c r="G34" i="411" s="1"/>
  <c r="D34" i="410"/>
  <c r="E34" i="410" s="1"/>
  <c r="G34" i="410" s="1"/>
  <c r="D33" i="410"/>
  <c r="E33" i="410" s="1"/>
  <c r="G33" i="410" s="1"/>
  <c r="D34" i="409"/>
  <c r="E34" i="409" s="1"/>
  <c r="G34" i="409" s="1"/>
  <c r="D33" i="409"/>
  <c r="E33" i="409" s="1"/>
  <c r="G33" i="409" s="1"/>
  <c r="D35" i="408"/>
  <c r="E35" i="408" s="1"/>
  <c r="G35" i="408" s="1"/>
  <c r="D34" i="408"/>
  <c r="E34" i="408" s="1"/>
  <c r="G34" i="408" s="1"/>
  <c r="D35" i="300"/>
  <c r="E35" i="300" s="1"/>
  <c r="G35" i="300" s="1"/>
  <c r="D35" i="301"/>
  <c r="E35" i="301" s="1"/>
  <c r="G35" i="301" s="1"/>
  <c r="H38" i="301" s="1"/>
  <c r="D34" i="301"/>
  <c r="E34" i="301" s="1"/>
  <c r="G34" i="301" s="1"/>
  <c r="D34" i="300"/>
  <c r="E34" i="300" s="1"/>
  <c r="G34" i="300" s="1"/>
  <c r="D35" i="407"/>
  <c r="E35" i="407" s="1"/>
  <c r="G35" i="407" s="1"/>
  <c r="D34" i="407"/>
  <c r="E34" i="407" s="1"/>
  <c r="G34" i="407" s="1"/>
  <c r="D35" i="52"/>
  <c r="E35" i="52" s="1"/>
  <c r="G35" i="52" s="1"/>
  <c r="D34" i="52"/>
  <c r="E34" i="52" s="1"/>
  <c r="G34" i="52" s="1"/>
  <c r="D35" i="51"/>
  <c r="E35" i="51" s="1"/>
  <c r="G35" i="51" s="1"/>
  <c r="D35" i="68"/>
  <c r="E35" i="68" s="1"/>
  <c r="G35" i="68" s="1"/>
  <c r="D35" i="60"/>
  <c r="E35" i="60" s="1"/>
  <c r="G35" i="60" s="1"/>
  <c r="D39" i="402"/>
  <c r="E39" i="402" s="1"/>
  <c r="G39" i="402" s="1"/>
  <c r="D37" i="96"/>
  <c r="E37" i="96" s="1"/>
  <c r="G37" i="96" s="1"/>
  <c r="D38" i="404"/>
  <c r="E38" i="404" s="1"/>
  <c r="G38" i="404" s="1"/>
  <c r="D37" i="404"/>
  <c r="E37" i="404" s="1"/>
  <c r="G37" i="404" s="1"/>
  <c r="D38" i="403"/>
  <c r="E38" i="403" s="1"/>
  <c r="G38" i="403" s="1"/>
  <c r="D37" i="403"/>
  <c r="E37" i="403" s="1"/>
  <c r="G37" i="403" s="1"/>
  <c r="D38" i="402"/>
  <c r="E38" i="402" s="1"/>
  <c r="G38" i="402" s="1"/>
  <c r="D37" i="402"/>
  <c r="E37" i="402" s="1"/>
  <c r="G37" i="402" s="1"/>
  <c r="D37" i="401"/>
  <c r="E37" i="401" s="1"/>
  <c r="G37" i="401" s="1"/>
  <c r="D38" i="401"/>
  <c r="E38" i="401" s="1"/>
  <c r="G38" i="401" s="1"/>
  <c r="D33" i="399"/>
  <c r="E33" i="399" s="1"/>
  <c r="G33" i="399" s="1"/>
  <c r="D34" i="303"/>
  <c r="E34" i="303" s="1"/>
  <c r="G34" i="303" s="1"/>
  <c r="D34" i="304"/>
  <c r="E34" i="304" s="1"/>
  <c r="G34" i="304" s="1"/>
  <c r="D34" i="320"/>
  <c r="E34" i="320" s="1"/>
  <c r="G34" i="320" s="1"/>
  <c r="D34" i="400"/>
  <c r="E34" i="400" s="1"/>
  <c r="G34" i="400" s="1"/>
  <c r="D33" i="400"/>
  <c r="E33" i="400" s="1"/>
  <c r="G33" i="400" s="1"/>
  <c r="D34" i="399"/>
  <c r="E34" i="399" s="1"/>
  <c r="G34" i="399" s="1"/>
  <c r="D34" i="319"/>
  <c r="E34" i="319" s="1"/>
  <c r="G34" i="319" s="1"/>
  <c r="D35" i="294"/>
  <c r="E35" i="294" s="1"/>
  <c r="G35" i="294" s="1"/>
  <c r="D35" i="293"/>
  <c r="E35" i="293" s="1"/>
  <c r="G35" i="293" s="1"/>
  <c r="D35" i="398"/>
  <c r="E35" i="398" s="1"/>
  <c r="G35" i="398" s="1"/>
  <c r="D35" i="397"/>
  <c r="E35" i="397" s="1"/>
  <c r="G35" i="397" s="1"/>
  <c r="D34" i="397"/>
  <c r="E34" i="397" s="1"/>
  <c r="G34" i="397" s="1"/>
  <c r="D34" i="398"/>
  <c r="E34" i="398" s="1"/>
  <c r="G34" i="398" s="1"/>
  <c r="D35" i="45"/>
  <c r="E35" i="45" s="1"/>
  <c r="G35" i="45" s="1"/>
  <c r="D35" i="46"/>
  <c r="E35" i="46" s="1"/>
  <c r="G35" i="46" s="1"/>
  <c r="D34" i="57"/>
  <c r="E34" i="57" s="1"/>
  <c r="G34" i="57" s="1"/>
  <c r="H38" i="57" s="1"/>
  <c r="D38" i="87"/>
  <c r="E38" i="87" s="1"/>
  <c r="G38" i="87" s="1"/>
  <c r="D37" i="87"/>
  <c r="E37" i="87" s="1"/>
  <c r="G37" i="87" s="1"/>
  <c r="D35" i="35"/>
  <c r="E35" i="35" s="1"/>
  <c r="G35" i="35" s="1"/>
  <c r="D34" i="35"/>
  <c r="E34" i="35" s="1"/>
  <c r="G34" i="35" s="1"/>
  <c r="D33" i="395"/>
  <c r="E33" i="395" s="1"/>
  <c r="G33" i="395" s="1"/>
  <c r="D33" i="394"/>
  <c r="E33" i="394" s="1"/>
  <c r="G33" i="394" s="1"/>
  <c r="D33" i="393"/>
  <c r="E33" i="393" s="1"/>
  <c r="G33" i="393" s="1"/>
  <c r="D33" i="392"/>
  <c r="E33" i="392" s="1"/>
  <c r="G33" i="392" s="1"/>
  <c r="D33" i="391"/>
  <c r="E33" i="391" s="1"/>
  <c r="G33" i="391" s="1"/>
  <c r="D33" i="390"/>
  <c r="E33" i="390" s="1"/>
  <c r="G33" i="390" s="1"/>
  <c r="D33" i="389"/>
  <c r="E33" i="389" s="1"/>
  <c r="G33" i="389" s="1"/>
  <c r="D33" i="388"/>
  <c r="E33" i="388" s="1"/>
  <c r="G33" i="388" s="1"/>
  <c r="D33" i="387"/>
  <c r="E33" i="387" s="1"/>
  <c r="G33" i="387" s="1"/>
  <c r="D33" i="386"/>
  <c r="E33" i="386" s="1"/>
  <c r="G33" i="386" s="1"/>
  <c r="D34" i="385"/>
  <c r="E34" i="385" s="1"/>
  <c r="G34" i="385" s="1"/>
  <c r="D33" i="384"/>
  <c r="E33" i="384" s="1"/>
  <c r="G33" i="384" s="1"/>
  <c r="D33" i="383"/>
  <c r="E33" i="383" s="1"/>
  <c r="G33" i="383" s="1"/>
  <c r="D33" i="382"/>
  <c r="E33" i="382" s="1"/>
  <c r="G33" i="382" s="1"/>
  <c r="D33" i="381"/>
  <c r="E33" i="381" s="1"/>
  <c r="G33" i="381" s="1"/>
  <c r="D33" i="380"/>
  <c r="E33" i="380" s="1"/>
  <c r="G33" i="380" s="1"/>
  <c r="D33" i="379"/>
  <c r="E33" i="379" s="1"/>
  <c r="G33" i="379" s="1"/>
  <c r="D33" i="378"/>
  <c r="E33" i="378" s="1"/>
  <c r="G33" i="378" s="1"/>
  <c r="D33" i="377"/>
  <c r="E33" i="377" s="1"/>
  <c r="G33" i="377" s="1"/>
  <c r="D34" i="376"/>
  <c r="E34" i="376" s="1"/>
  <c r="G34" i="376" s="1"/>
  <c r="D34" i="375"/>
  <c r="E34" i="375" s="1"/>
  <c r="G34" i="375" s="1"/>
  <c r="D34" i="374"/>
  <c r="E34" i="374" s="1"/>
  <c r="G34" i="374" s="1"/>
  <c r="D34" i="373"/>
  <c r="E34" i="373" s="1"/>
  <c r="G34" i="373" s="1"/>
  <c r="D34" i="372"/>
  <c r="E34" i="372" s="1"/>
  <c r="G34" i="372" s="1"/>
  <c r="D34" i="371"/>
  <c r="E34" i="371" s="1"/>
  <c r="G34" i="371" s="1"/>
  <c r="D34" i="370"/>
  <c r="E34" i="370" s="1"/>
  <c r="G34" i="370" s="1"/>
  <c r="D34" i="369"/>
  <c r="E34" i="369" s="1"/>
  <c r="G34" i="369" s="1"/>
  <c r="D34" i="368"/>
  <c r="E34" i="368" s="1"/>
  <c r="G34" i="368" s="1"/>
  <c r="D34" i="367"/>
  <c r="E34" i="367" s="1"/>
  <c r="G34" i="367" s="1"/>
  <c r="D34" i="366"/>
  <c r="E34" i="366" s="1"/>
  <c r="G34" i="366" s="1"/>
  <c r="D34" i="365"/>
  <c r="E34" i="365" s="1"/>
  <c r="G34" i="365" s="1"/>
  <c r="D34" i="364"/>
  <c r="E34" i="364" s="1"/>
  <c r="G34" i="364" s="1"/>
  <c r="D34" i="363"/>
  <c r="E34" i="363" s="1"/>
  <c r="G34" i="363" s="1"/>
  <c r="D34" i="362"/>
  <c r="E34" i="362" s="1"/>
  <c r="G34" i="362" s="1"/>
  <c r="D34" i="361"/>
  <c r="E34" i="361" s="1"/>
  <c r="G34" i="361" s="1"/>
  <c r="D34" i="360"/>
  <c r="E34" i="360" s="1"/>
  <c r="G34" i="360" s="1"/>
  <c r="D34" i="359"/>
  <c r="E34" i="359" s="1"/>
  <c r="G34" i="359" s="1"/>
  <c r="D34" i="358"/>
  <c r="E34" i="358" s="1"/>
  <c r="G34" i="358" s="1"/>
  <c r="D34" i="357"/>
  <c r="E34" i="357" s="1"/>
  <c r="G34" i="357" s="1"/>
  <c r="D34" i="356"/>
  <c r="E34" i="356" s="1"/>
  <c r="G34" i="356" s="1"/>
  <c r="D34" i="355"/>
  <c r="E34" i="355" s="1"/>
  <c r="G34" i="355" s="1"/>
  <c r="D33" i="354"/>
  <c r="E33" i="354" s="1"/>
  <c r="G33" i="354" s="1"/>
  <c r="D34" i="353"/>
  <c r="E34" i="353" s="1"/>
  <c r="G34" i="353" s="1"/>
  <c r="D34" i="352"/>
  <c r="E34" i="352" s="1"/>
  <c r="G34" i="352" s="1"/>
  <c r="D34" i="349"/>
  <c r="E34" i="349" s="1"/>
  <c r="G34" i="349" s="1"/>
  <c r="D35" i="348"/>
  <c r="E35" i="348" s="1"/>
  <c r="G35" i="348" s="1"/>
  <c r="D34" i="347"/>
  <c r="E34" i="347" s="1"/>
  <c r="G34" i="347" s="1"/>
  <c r="D35" i="346"/>
  <c r="E35" i="346" s="1"/>
  <c r="G35" i="346" s="1"/>
  <c r="D34" i="345"/>
  <c r="E34" i="345" s="1"/>
  <c r="G34" i="345" s="1"/>
  <c r="D35" i="344"/>
  <c r="E35" i="344" s="1"/>
  <c r="G35" i="344" s="1"/>
  <c r="D34" i="343"/>
  <c r="E34" i="343" s="1"/>
  <c r="G34" i="343" s="1"/>
  <c r="D35" i="342"/>
  <c r="E35" i="342" s="1"/>
  <c r="G35" i="342" s="1"/>
  <c r="D35" i="341"/>
  <c r="E35" i="341" s="1"/>
  <c r="G35" i="341" s="1"/>
  <c r="D34" i="339"/>
  <c r="E34" i="339" s="1"/>
  <c r="G34" i="339" s="1"/>
  <c r="D34" i="395"/>
  <c r="E34" i="395" s="1"/>
  <c r="G34" i="395" s="1"/>
  <c r="D34" i="394"/>
  <c r="E34" i="394" s="1"/>
  <c r="G34" i="394" s="1"/>
  <c r="D34" i="393"/>
  <c r="E34" i="393" s="1"/>
  <c r="G34" i="393" s="1"/>
  <c r="D34" i="392"/>
  <c r="E34" i="392" s="1"/>
  <c r="G34" i="392" s="1"/>
  <c r="D34" i="391"/>
  <c r="E34" i="391" s="1"/>
  <c r="G34" i="391" s="1"/>
  <c r="D34" i="390"/>
  <c r="E34" i="390" s="1"/>
  <c r="G34" i="390" s="1"/>
  <c r="D34" i="389"/>
  <c r="E34" i="389" s="1"/>
  <c r="G34" i="389" s="1"/>
  <c r="D34" i="387"/>
  <c r="E34" i="387" s="1"/>
  <c r="G34" i="387" s="1"/>
  <c r="D35" i="385"/>
  <c r="E35" i="385" s="1"/>
  <c r="G35" i="385" s="1"/>
  <c r="H38" i="385" s="1"/>
  <c r="D34" i="383"/>
  <c r="E34" i="383" s="1"/>
  <c r="G34" i="383" s="1"/>
  <c r="D34" i="381"/>
  <c r="E34" i="381" s="1"/>
  <c r="G34" i="381" s="1"/>
  <c r="D34" i="379"/>
  <c r="E34" i="379" s="1"/>
  <c r="G34" i="379" s="1"/>
  <c r="D34" i="377"/>
  <c r="E34" i="377" s="1"/>
  <c r="G34" i="377" s="1"/>
  <c r="D35" i="375"/>
  <c r="E35" i="375" s="1"/>
  <c r="G35" i="375" s="1"/>
  <c r="D35" i="373"/>
  <c r="E35" i="373" s="1"/>
  <c r="G35" i="373" s="1"/>
  <c r="D35" i="371"/>
  <c r="E35" i="371" s="1"/>
  <c r="G35" i="371" s="1"/>
  <c r="D35" i="369"/>
  <c r="E35" i="369" s="1"/>
  <c r="G35" i="369" s="1"/>
  <c r="D35" i="367"/>
  <c r="E35" i="367" s="1"/>
  <c r="G35" i="367" s="1"/>
  <c r="D35" i="365"/>
  <c r="E35" i="365" s="1"/>
  <c r="G35" i="365" s="1"/>
  <c r="D35" i="363"/>
  <c r="E35" i="363" s="1"/>
  <c r="G35" i="363" s="1"/>
  <c r="D35" i="361"/>
  <c r="E35" i="361" s="1"/>
  <c r="G35" i="361" s="1"/>
  <c r="D35" i="359"/>
  <c r="E35" i="359" s="1"/>
  <c r="G35" i="359" s="1"/>
  <c r="D35" i="357"/>
  <c r="E35" i="357" s="1"/>
  <c r="G35" i="357" s="1"/>
  <c r="D35" i="355"/>
  <c r="E35" i="355" s="1"/>
  <c r="G35" i="355" s="1"/>
  <c r="D35" i="353"/>
  <c r="E35" i="353" s="1"/>
  <c r="G35" i="353" s="1"/>
  <c r="D33" i="352"/>
  <c r="E33" i="352" s="1"/>
  <c r="G33" i="352" s="1"/>
  <c r="H37" i="352" s="1"/>
  <c r="D35" i="349"/>
  <c r="E35" i="349" s="1"/>
  <c r="G35" i="349" s="1"/>
  <c r="D34" i="348"/>
  <c r="E34" i="348" s="1"/>
  <c r="G34" i="348" s="1"/>
  <c r="H38" i="348" s="1"/>
  <c r="D35" i="347"/>
  <c r="E35" i="347" s="1"/>
  <c r="G35" i="347" s="1"/>
  <c r="D34" i="346"/>
  <c r="E34" i="346" s="1"/>
  <c r="G34" i="346" s="1"/>
  <c r="H38" i="346" s="1"/>
  <c r="D35" i="345"/>
  <c r="E35" i="345" s="1"/>
  <c r="G35" i="345" s="1"/>
  <c r="D34" i="344"/>
  <c r="E34" i="344" s="1"/>
  <c r="G34" i="344" s="1"/>
  <c r="H38" i="344" s="1"/>
  <c r="D35" i="343"/>
  <c r="E35" i="343" s="1"/>
  <c r="G35" i="343" s="1"/>
  <c r="D34" i="342"/>
  <c r="E34" i="342" s="1"/>
  <c r="G34" i="342" s="1"/>
  <c r="H38" i="342" s="1"/>
  <c r="D34" i="388"/>
  <c r="E34" i="388" s="1"/>
  <c r="G34" i="388" s="1"/>
  <c r="D34" i="386"/>
  <c r="E34" i="386" s="1"/>
  <c r="G34" i="386" s="1"/>
  <c r="D34" i="384"/>
  <c r="E34" i="384" s="1"/>
  <c r="G34" i="384" s="1"/>
  <c r="D34" i="382"/>
  <c r="E34" i="382" s="1"/>
  <c r="G34" i="382" s="1"/>
  <c r="H37" i="382" s="1"/>
  <c r="D34" i="380"/>
  <c r="E34" i="380" s="1"/>
  <c r="G34" i="380" s="1"/>
  <c r="D34" i="378"/>
  <c r="E34" i="378" s="1"/>
  <c r="G34" i="378" s="1"/>
  <c r="D35" i="376"/>
  <c r="E35" i="376" s="1"/>
  <c r="G35" i="376" s="1"/>
  <c r="D35" i="374"/>
  <c r="E35" i="374" s="1"/>
  <c r="G35" i="374" s="1"/>
  <c r="D35" i="372"/>
  <c r="E35" i="372" s="1"/>
  <c r="G35" i="372" s="1"/>
  <c r="D35" i="370"/>
  <c r="E35" i="370" s="1"/>
  <c r="G35" i="370" s="1"/>
  <c r="D35" i="368"/>
  <c r="E35" i="368" s="1"/>
  <c r="G35" i="368" s="1"/>
  <c r="D35" i="366"/>
  <c r="E35" i="366" s="1"/>
  <c r="G35" i="366" s="1"/>
  <c r="D35" i="364"/>
  <c r="E35" i="364" s="1"/>
  <c r="G35" i="364" s="1"/>
  <c r="D35" i="362"/>
  <c r="E35" i="362" s="1"/>
  <c r="G35" i="362" s="1"/>
  <c r="D35" i="360"/>
  <c r="E35" i="360" s="1"/>
  <c r="G35" i="360" s="1"/>
  <c r="D35" i="358"/>
  <c r="E35" i="358" s="1"/>
  <c r="G35" i="358" s="1"/>
  <c r="D35" i="356"/>
  <c r="E35" i="356" s="1"/>
  <c r="G35" i="356" s="1"/>
  <c r="D34" i="354"/>
  <c r="E34" i="354" s="1"/>
  <c r="G34" i="354" s="1"/>
  <c r="D34" i="341"/>
  <c r="E34" i="341" s="1"/>
  <c r="G34" i="341" s="1"/>
  <c r="H38" i="341" s="1"/>
  <c r="D35" i="339"/>
  <c r="E35" i="339" s="1"/>
  <c r="G35" i="339" s="1"/>
  <c r="D35" i="338"/>
  <c r="E35" i="338" s="1"/>
  <c r="G35" i="338" s="1"/>
  <c r="D34" i="338"/>
  <c r="E34" i="338" s="1"/>
  <c r="G34" i="338" s="1"/>
  <c r="D35" i="337"/>
  <c r="E35" i="337" s="1"/>
  <c r="G35" i="337" s="1"/>
  <c r="D34" i="337"/>
  <c r="E34" i="337" s="1"/>
  <c r="G34" i="337" s="1"/>
  <c r="D35" i="336"/>
  <c r="E35" i="336" s="1"/>
  <c r="G35" i="336" s="1"/>
  <c r="D34" i="336"/>
  <c r="E34" i="336" s="1"/>
  <c r="G34" i="336" s="1"/>
  <c r="D34" i="335"/>
  <c r="E34" i="335" s="1"/>
  <c r="G34" i="335" s="1"/>
  <c r="D33" i="335"/>
  <c r="E33" i="335" s="1"/>
  <c r="G33" i="335" s="1"/>
  <c r="D35" i="334"/>
  <c r="E35" i="334" s="1"/>
  <c r="G35" i="334" s="1"/>
  <c r="D34" i="334"/>
  <c r="E34" i="334" s="1"/>
  <c r="G34" i="334" s="1"/>
  <c r="D35" i="333"/>
  <c r="E35" i="333" s="1"/>
  <c r="G35" i="333" s="1"/>
  <c r="D34" i="333"/>
  <c r="E34" i="333" s="1"/>
  <c r="G34" i="333" s="1"/>
  <c r="D35" i="332"/>
  <c r="E35" i="332" s="1"/>
  <c r="G35" i="332" s="1"/>
  <c r="D34" i="332"/>
  <c r="E34" i="332" s="1"/>
  <c r="G34" i="332" s="1"/>
  <c r="D33" i="331"/>
  <c r="E33" i="331" s="1"/>
  <c r="G33" i="331" s="1"/>
  <c r="D33" i="330"/>
  <c r="E33" i="330" s="1"/>
  <c r="G33" i="330" s="1"/>
  <c r="D35" i="329"/>
  <c r="E35" i="329" s="1"/>
  <c r="G35" i="329" s="1"/>
  <c r="D34" i="329"/>
  <c r="E34" i="329" s="1"/>
  <c r="G34" i="329" s="1"/>
  <c r="D35" i="328"/>
  <c r="E35" i="328" s="1"/>
  <c r="G35" i="328" s="1"/>
  <c r="D34" i="328"/>
  <c r="E34" i="328" s="1"/>
  <c r="G34" i="328" s="1"/>
  <c r="D35" i="326"/>
  <c r="E35" i="326" s="1"/>
  <c r="G35" i="326" s="1"/>
  <c r="H39" i="326" s="1"/>
  <c r="D35" i="327"/>
  <c r="E35" i="327" s="1"/>
  <c r="G35" i="327" s="1"/>
  <c r="H39" i="327" s="1"/>
  <c r="D35" i="325"/>
  <c r="E35" i="325" s="1"/>
  <c r="G35" i="325" s="1"/>
  <c r="D34" i="323"/>
  <c r="E34" i="323" s="1"/>
  <c r="G34" i="323" s="1"/>
  <c r="H38" i="323" s="1"/>
  <c r="D35" i="324"/>
  <c r="E35" i="324" s="1"/>
  <c r="G35" i="324" s="1"/>
  <c r="H39" i="324" s="1"/>
  <c r="D33" i="321"/>
  <c r="E33" i="321" s="1"/>
  <c r="G33" i="321" s="1"/>
  <c r="H37" i="321" s="1"/>
  <c r="D33" i="322"/>
  <c r="E33" i="322" s="1"/>
  <c r="G33" i="322" s="1"/>
  <c r="H37" i="322" s="1"/>
  <c r="D33" i="320"/>
  <c r="E33" i="320" s="1"/>
  <c r="G33" i="320" s="1"/>
  <c r="H37" i="320" s="1"/>
  <c r="D33" i="319"/>
  <c r="E33" i="319" s="1"/>
  <c r="G33" i="319" s="1"/>
  <c r="D35" i="318"/>
  <c r="E35" i="318" s="1"/>
  <c r="G35" i="318" s="1"/>
  <c r="D34" i="318"/>
  <c r="E34" i="318" s="1"/>
  <c r="G34" i="318" s="1"/>
  <c r="D35" i="317"/>
  <c r="E35" i="317" s="1"/>
  <c r="G35" i="317" s="1"/>
  <c r="D34" i="317"/>
  <c r="E34" i="317" s="1"/>
  <c r="G34" i="317" s="1"/>
  <c r="D35" i="316"/>
  <c r="E35" i="316" s="1"/>
  <c r="G35" i="316" s="1"/>
  <c r="D34" i="316"/>
  <c r="E34" i="316" s="1"/>
  <c r="G34" i="316" s="1"/>
  <c r="D35" i="315"/>
  <c r="E35" i="315" s="1"/>
  <c r="G35" i="315" s="1"/>
  <c r="D34" i="315"/>
  <c r="E34" i="315" s="1"/>
  <c r="G34" i="315" s="1"/>
  <c r="D35" i="314"/>
  <c r="E35" i="314" s="1"/>
  <c r="G35" i="314" s="1"/>
  <c r="D34" i="314"/>
  <c r="E34" i="314" s="1"/>
  <c r="G34" i="314" s="1"/>
  <c r="D35" i="313"/>
  <c r="E35" i="313" s="1"/>
  <c r="G35" i="313" s="1"/>
  <c r="D34" i="313"/>
  <c r="E34" i="313" s="1"/>
  <c r="G34" i="313" s="1"/>
  <c r="D35" i="312"/>
  <c r="E35" i="312" s="1"/>
  <c r="G35" i="312" s="1"/>
  <c r="D34" i="312"/>
  <c r="E34" i="312" s="1"/>
  <c r="G34" i="312" s="1"/>
  <c r="D35" i="311"/>
  <c r="E35" i="311" s="1"/>
  <c r="G35" i="311" s="1"/>
  <c r="D34" i="311"/>
  <c r="E34" i="311" s="1"/>
  <c r="G34" i="311" s="1"/>
  <c r="D35" i="310"/>
  <c r="E35" i="310" s="1"/>
  <c r="G35" i="310" s="1"/>
  <c r="D34" i="310"/>
  <c r="E34" i="310" s="1"/>
  <c r="G34" i="310" s="1"/>
  <c r="D35" i="309"/>
  <c r="E35" i="309" s="1"/>
  <c r="G35" i="309" s="1"/>
  <c r="D34" i="309"/>
  <c r="E34" i="309" s="1"/>
  <c r="G34" i="309" s="1"/>
  <c r="D35" i="308"/>
  <c r="E35" i="308" s="1"/>
  <c r="G35" i="308" s="1"/>
  <c r="D34" i="308"/>
  <c r="E34" i="308" s="1"/>
  <c r="G34" i="308" s="1"/>
  <c r="D35" i="307"/>
  <c r="E35" i="307" s="1"/>
  <c r="G35" i="307" s="1"/>
  <c r="D34" i="307"/>
  <c r="E34" i="307" s="1"/>
  <c r="G34" i="307" s="1"/>
  <c r="D34" i="305"/>
  <c r="E34" i="305" s="1"/>
  <c r="G34" i="305" s="1"/>
  <c r="H38" i="305" s="1"/>
  <c r="G12" i="305" s="1"/>
  <c r="H18" i="305" s="1"/>
  <c r="H40" i="305" s="1"/>
  <c r="D34" i="306"/>
  <c r="E34" i="306" s="1"/>
  <c r="G34" i="306" s="1"/>
  <c r="D35" i="306"/>
  <c r="E35" i="306" s="1"/>
  <c r="G35" i="306" s="1"/>
  <c r="D33" i="303"/>
  <c r="E33" i="303" s="1"/>
  <c r="G33" i="303" s="1"/>
  <c r="D33" i="304"/>
  <c r="E33" i="304" s="1"/>
  <c r="G33" i="304" s="1"/>
  <c r="D34" i="302"/>
  <c r="E34" i="302" s="1"/>
  <c r="G34" i="302" s="1"/>
  <c r="D36" i="295"/>
  <c r="E36" i="295" s="1"/>
  <c r="G36" i="295" s="1"/>
  <c r="D35" i="302"/>
  <c r="E35" i="302" s="1"/>
  <c r="G35" i="302" s="1"/>
  <c r="D35" i="299"/>
  <c r="E35" i="299" s="1"/>
  <c r="G35" i="299" s="1"/>
  <c r="D34" i="299"/>
  <c r="E34" i="299" s="1"/>
  <c r="G34" i="299" s="1"/>
  <c r="D34" i="298"/>
  <c r="E34" i="298" s="1"/>
  <c r="G34" i="298" s="1"/>
  <c r="D33" i="297"/>
  <c r="E33" i="297" s="1"/>
  <c r="G33" i="297" s="1"/>
  <c r="D34" i="296"/>
  <c r="E34" i="296" s="1"/>
  <c r="G34" i="296" s="1"/>
  <c r="D35" i="295"/>
  <c r="E35" i="295" s="1"/>
  <c r="G35" i="295" s="1"/>
  <c r="D34" i="294"/>
  <c r="E34" i="294" s="1"/>
  <c r="G34" i="294" s="1"/>
  <c r="D34" i="293"/>
  <c r="E34" i="293" s="1"/>
  <c r="G34" i="293" s="1"/>
  <c r="D35" i="292"/>
  <c r="E35" i="292" s="1"/>
  <c r="G35" i="292" s="1"/>
  <c r="D34" i="292"/>
  <c r="E34" i="292" s="1"/>
  <c r="G34" i="292" s="1"/>
  <c r="D36" i="291"/>
  <c r="E36" i="291" s="1"/>
  <c r="G36" i="291" s="1"/>
  <c r="D35" i="290"/>
  <c r="E35" i="290" s="1"/>
  <c r="G35" i="290" s="1"/>
  <c r="D34" i="290"/>
  <c r="E34" i="290" s="1"/>
  <c r="G34" i="290" s="1"/>
  <c r="D35" i="289"/>
  <c r="E35" i="289" s="1"/>
  <c r="G35" i="289" s="1"/>
  <c r="D34" i="289"/>
  <c r="E34" i="289" s="1"/>
  <c r="G34" i="289" s="1"/>
  <c r="D35" i="288"/>
  <c r="E35" i="288" s="1"/>
  <c r="G35" i="288" s="1"/>
  <c r="D34" i="288"/>
  <c r="E34" i="288" s="1"/>
  <c r="G34" i="288" s="1"/>
  <c r="D35" i="287"/>
  <c r="E35" i="287" s="1"/>
  <c r="G35" i="287" s="1"/>
  <c r="D34" i="287"/>
  <c r="E34" i="287" s="1"/>
  <c r="G34" i="287" s="1"/>
  <c r="D35" i="286"/>
  <c r="E35" i="286" s="1"/>
  <c r="G35" i="286" s="1"/>
  <c r="D34" i="286"/>
  <c r="E34" i="286" s="1"/>
  <c r="G34" i="286" s="1"/>
  <c r="D35" i="285"/>
  <c r="E35" i="285" s="1"/>
  <c r="G35" i="285" s="1"/>
  <c r="D34" i="285"/>
  <c r="E34" i="285" s="1"/>
  <c r="G34" i="285" s="1"/>
  <c r="D35" i="284"/>
  <c r="E35" i="284" s="1"/>
  <c r="G35" i="284" s="1"/>
  <c r="D34" i="284"/>
  <c r="E34" i="284" s="1"/>
  <c r="G34" i="284" s="1"/>
  <c r="D35" i="283"/>
  <c r="E35" i="283" s="1"/>
  <c r="G35" i="283" s="1"/>
  <c r="D34" i="283"/>
  <c r="E34" i="283" s="1"/>
  <c r="G34" i="283" s="1"/>
  <c r="D35" i="282"/>
  <c r="E35" i="282" s="1"/>
  <c r="G35" i="282" s="1"/>
  <c r="D34" i="282"/>
  <c r="E34" i="282" s="1"/>
  <c r="G34" i="282" s="1"/>
  <c r="D35" i="281"/>
  <c r="E35" i="281" s="1"/>
  <c r="G35" i="281" s="1"/>
  <c r="D34" i="281"/>
  <c r="E34" i="281" s="1"/>
  <c r="G34" i="281" s="1"/>
  <c r="D35" i="280"/>
  <c r="E35" i="280" s="1"/>
  <c r="G35" i="280" s="1"/>
  <c r="D34" i="280"/>
  <c r="E34" i="280" s="1"/>
  <c r="G34" i="280" s="1"/>
  <c r="D35" i="279"/>
  <c r="E35" i="279" s="1"/>
  <c r="G35" i="279" s="1"/>
  <c r="D34" i="279"/>
  <c r="E34" i="279" s="1"/>
  <c r="G34" i="279" s="1"/>
  <c r="D35" i="278"/>
  <c r="E35" i="278" s="1"/>
  <c r="G35" i="278" s="1"/>
  <c r="D34" i="278"/>
  <c r="E34" i="278" s="1"/>
  <c r="G34" i="278" s="1"/>
  <c r="D35" i="277"/>
  <c r="E35" i="277" s="1"/>
  <c r="G35" i="277" s="1"/>
  <c r="D34" i="277"/>
  <c r="E34" i="277" s="1"/>
  <c r="G34" i="277" s="1"/>
  <c r="D35" i="276"/>
  <c r="E35" i="276" s="1"/>
  <c r="G35" i="276" s="1"/>
  <c r="D34" i="276"/>
  <c r="E34" i="276" s="1"/>
  <c r="G34" i="276" s="1"/>
  <c r="D35" i="275"/>
  <c r="E35" i="275" s="1"/>
  <c r="G35" i="275" s="1"/>
  <c r="D34" i="275"/>
  <c r="E34" i="275" s="1"/>
  <c r="G34" i="275" s="1"/>
  <c r="D35" i="274"/>
  <c r="E35" i="274" s="1"/>
  <c r="G35" i="274" s="1"/>
  <c r="D34" i="274"/>
  <c r="E34" i="274" s="1"/>
  <c r="G34" i="274" s="1"/>
  <c r="D35" i="273"/>
  <c r="E35" i="273" s="1"/>
  <c r="G35" i="273" s="1"/>
  <c r="D34" i="273"/>
  <c r="E34" i="273" s="1"/>
  <c r="G34" i="273" s="1"/>
  <c r="D35" i="272"/>
  <c r="E35" i="272" s="1"/>
  <c r="G35" i="272" s="1"/>
  <c r="D34" i="272"/>
  <c r="E34" i="272" s="1"/>
  <c r="G34" i="272" s="1"/>
  <c r="D35" i="271"/>
  <c r="E35" i="271" s="1"/>
  <c r="G35" i="271" s="1"/>
  <c r="D34" i="271"/>
  <c r="E34" i="271" s="1"/>
  <c r="G34" i="271" s="1"/>
  <c r="D35" i="270"/>
  <c r="E35" i="270" s="1"/>
  <c r="G35" i="270" s="1"/>
  <c r="D34" i="270"/>
  <c r="E34" i="270" s="1"/>
  <c r="G34" i="270" s="1"/>
  <c r="D35" i="269"/>
  <c r="E35" i="269" s="1"/>
  <c r="G35" i="269" s="1"/>
  <c r="D34" i="269"/>
  <c r="E34" i="269" s="1"/>
  <c r="G34" i="269" s="1"/>
  <c r="D35" i="268"/>
  <c r="E35" i="268" s="1"/>
  <c r="G35" i="268" s="1"/>
  <c r="D34" i="268"/>
  <c r="E34" i="268" s="1"/>
  <c r="G34" i="268" s="1"/>
  <c r="D35" i="267"/>
  <c r="E35" i="267" s="1"/>
  <c r="G35" i="267" s="1"/>
  <c r="D34" i="267"/>
  <c r="E34" i="267" s="1"/>
  <c r="G34" i="267" s="1"/>
  <c r="D34" i="266"/>
  <c r="E34" i="266" s="1"/>
  <c r="G34" i="266" s="1"/>
  <c r="H38" i="266" s="1"/>
  <c r="D34" i="264"/>
  <c r="E34" i="264" s="1"/>
  <c r="G34" i="264" s="1"/>
  <c r="H38" i="264" s="1"/>
  <c r="D35" i="262"/>
  <c r="E35" i="262" s="1"/>
  <c r="G35" i="262" s="1"/>
  <c r="D34" i="262"/>
  <c r="E34" i="262" s="1"/>
  <c r="G34" i="262" s="1"/>
  <c r="D35" i="261"/>
  <c r="E35" i="261" s="1"/>
  <c r="G35" i="261" s="1"/>
  <c r="D34" i="261"/>
  <c r="E34" i="261" s="1"/>
  <c r="G34" i="261" s="1"/>
  <c r="D35" i="260"/>
  <c r="E35" i="260" s="1"/>
  <c r="G35" i="260" s="1"/>
  <c r="D34" i="260"/>
  <c r="E34" i="260" s="1"/>
  <c r="G34" i="260" s="1"/>
  <c r="D34" i="259"/>
  <c r="E34" i="259" s="1"/>
  <c r="G34" i="259" s="1"/>
  <c r="D33" i="259"/>
  <c r="E33" i="259" s="1"/>
  <c r="G33" i="259" s="1"/>
  <c r="D35" i="258"/>
  <c r="E35" i="258" s="1"/>
  <c r="G35" i="258" s="1"/>
  <c r="D34" i="258"/>
  <c r="E34" i="258" s="1"/>
  <c r="G34" i="258" s="1"/>
  <c r="D35" i="257"/>
  <c r="E35" i="257" s="1"/>
  <c r="G35" i="257" s="1"/>
  <c r="D34" i="257"/>
  <c r="E34" i="257" s="1"/>
  <c r="G34" i="257" s="1"/>
  <c r="D35" i="256"/>
  <c r="E35" i="256" s="1"/>
  <c r="G35" i="256" s="1"/>
  <c r="D34" i="256"/>
  <c r="E34" i="256" s="1"/>
  <c r="G34" i="256" s="1"/>
  <c r="D35" i="255"/>
  <c r="E35" i="255" s="1"/>
  <c r="G35" i="255" s="1"/>
  <c r="D34" i="255"/>
  <c r="E34" i="255" s="1"/>
  <c r="G34" i="255" s="1"/>
  <c r="D35" i="254"/>
  <c r="E35" i="254" s="1"/>
  <c r="G35" i="254" s="1"/>
  <c r="D34" i="254"/>
  <c r="E34" i="254" s="1"/>
  <c r="G34" i="254" s="1"/>
  <c r="D37" i="253"/>
  <c r="E37" i="253" s="1"/>
  <c r="G37" i="253" s="1"/>
  <c r="D36" i="253"/>
  <c r="E36" i="253" s="1"/>
  <c r="G36" i="253" s="1"/>
  <c r="D35" i="251"/>
  <c r="E35" i="251" s="1"/>
  <c r="G35" i="251" s="1"/>
  <c r="D37" i="252"/>
  <c r="E37" i="252" s="1"/>
  <c r="G37" i="252" s="1"/>
  <c r="D36" i="252"/>
  <c r="E36" i="252" s="1"/>
  <c r="G36" i="252" s="1"/>
  <c r="D36" i="251"/>
  <c r="E36" i="251" s="1"/>
  <c r="G36" i="251" s="1"/>
  <c r="D34" i="250"/>
  <c r="E34" i="250" s="1"/>
  <c r="G34" i="250" s="1"/>
  <c r="H38" i="250" s="1"/>
  <c r="D34" i="249"/>
  <c r="E34" i="249" s="1"/>
  <c r="G34" i="249" s="1"/>
  <c r="H38" i="249" s="1"/>
  <c r="D34" i="248"/>
  <c r="E34" i="248" s="1"/>
  <c r="G34" i="248" s="1"/>
  <c r="D35" i="247"/>
  <c r="E35" i="247" s="1"/>
  <c r="G35" i="247" s="1"/>
  <c r="D34" i="247"/>
  <c r="E34" i="247" s="1"/>
  <c r="G34" i="247" s="1"/>
  <c r="D35" i="246"/>
  <c r="E35" i="246" s="1"/>
  <c r="G35" i="246" s="1"/>
  <c r="D34" i="246"/>
  <c r="E34" i="246" s="1"/>
  <c r="G34" i="246" s="1"/>
  <c r="D35" i="245"/>
  <c r="E35" i="245" s="1"/>
  <c r="G35" i="245" s="1"/>
  <c r="D34" i="245"/>
  <c r="E34" i="245" s="1"/>
  <c r="G34" i="245" s="1"/>
  <c r="D36" i="244"/>
  <c r="E36" i="244" s="1"/>
  <c r="G36" i="244" s="1"/>
  <c r="D35" i="244"/>
  <c r="E35" i="244" s="1"/>
  <c r="G35" i="244" s="1"/>
  <c r="D35" i="240"/>
  <c r="E35" i="240" s="1"/>
  <c r="G35" i="240" s="1"/>
  <c r="D34" i="240"/>
  <c r="E34" i="240" s="1"/>
  <c r="G34" i="240" s="1"/>
  <c r="D35" i="241"/>
  <c r="E35" i="241" s="1"/>
  <c r="G35" i="241" s="1"/>
  <c r="D34" i="241"/>
  <c r="E34" i="241" s="1"/>
  <c r="G34" i="241" s="1"/>
  <c r="D35" i="239"/>
  <c r="E35" i="239" s="1"/>
  <c r="G35" i="239" s="1"/>
  <c r="D34" i="239"/>
  <c r="E34" i="239" s="1"/>
  <c r="G34" i="239" s="1"/>
  <c r="D35" i="238"/>
  <c r="E35" i="238" s="1"/>
  <c r="G35" i="238" s="1"/>
  <c r="D34" i="238"/>
  <c r="E34" i="238" s="1"/>
  <c r="G34" i="238" s="1"/>
  <c r="D35" i="232"/>
  <c r="E35" i="232" s="1"/>
  <c r="G35" i="232" s="1"/>
  <c r="D34" i="232"/>
  <c r="E34" i="232" s="1"/>
  <c r="G34" i="232" s="1"/>
  <c r="D35" i="230"/>
  <c r="E35" i="230" s="1"/>
  <c r="G35" i="230" s="1"/>
  <c r="D34" i="230"/>
  <c r="E34" i="230" s="1"/>
  <c r="G34" i="230" s="1"/>
  <c r="D34" i="228"/>
  <c r="E34" i="228" s="1"/>
  <c r="G34" i="228" s="1"/>
  <c r="D33" i="228"/>
  <c r="E33" i="228" s="1"/>
  <c r="G33" i="228" s="1"/>
  <c r="D34" i="222"/>
  <c r="E34" i="222" s="1"/>
  <c r="G34" i="222" s="1"/>
  <c r="D33" i="222"/>
  <c r="E33" i="222" s="1"/>
  <c r="G33" i="222" s="1"/>
  <c r="D34" i="221"/>
  <c r="E34" i="221" s="1"/>
  <c r="G34" i="221" s="1"/>
  <c r="D33" i="221"/>
  <c r="E33" i="221" s="1"/>
  <c r="G33" i="221" s="1"/>
  <c r="D34" i="219"/>
  <c r="E34" i="219" s="1"/>
  <c r="G34" i="219" s="1"/>
  <c r="D33" i="219"/>
  <c r="E33" i="219" s="1"/>
  <c r="G33" i="219" s="1"/>
  <c r="D35" i="237"/>
  <c r="E35" i="237" s="1"/>
  <c r="G35" i="237" s="1"/>
  <c r="D34" i="237"/>
  <c r="E34" i="237" s="1"/>
  <c r="G34" i="237" s="1"/>
  <c r="D35" i="236"/>
  <c r="E35" i="236" s="1"/>
  <c r="G35" i="236" s="1"/>
  <c r="D34" i="236"/>
  <c r="E34" i="236" s="1"/>
  <c r="G34" i="236" s="1"/>
  <c r="D35" i="235"/>
  <c r="E35" i="235" s="1"/>
  <c r="G35" i="235" s="1"/>
  <c r="D34" i="235"/>
  <c r="E34" i="235" s="1"/>
  <c r="G34" i="235" s="1"/>
  <c r="D35" i="231"/>
  <c r="E35" i="231" s="1"/>
  <c r="G35" i="231" s="1"/>
  <c r="D34" i="231"/>
  <c r="E34" i="231" s="1"/>
  <c r="G34" i="231" s="1"/>
  <c r="D35" i="229"/>
  <c r="E35" i="229" s="1"/>
  <c r="G35" i="229" s="1"/>
  <c r="D34" i="229"/>
  <c r="E34" i="229" s="1"/>
  <c r="G34" i="229" s="1"/>
  <c r="D35" i="227"/>
  <c r="E35" i="227" s="1"/>
  <c r="G35" i="227" s="1"/>
  <c r="D34" i="227"/>
  <c r="E34" i="227" s="1"/>
  <c r="G34" i="227" s="1"/>
  <c r="D34" i="226"/>
  <c r="E34" i="226" s="1"/>
  <c r="G34" i="226" s="1"/>
  <c r="D33" i="226"/>
  <c r="E33" i="226" s="1"/>
  <c r="G33" i="226" s="1"/>
  <c r="D34" i="225"/>
  <c r="E34" i="225" s="1"/>
  <c r="G34" i="225" s="1"/>
  <c r="D33" i="225"/>
  <c r="E33" i="225" s="1"/>
  <c r="G33" i="225" s="1"/>
  <c r="D34" i="224"/>
  <c r="E34" i="224" s="1"/>
  <c r="G34" i="224" s="1"/>
  <c r="D33" i="224"/>
  <c r="E33" i="224" s="1"/>
  <c r="G33" i="224" s="1"/>
  <c r="D34" i="223"/>
  <c r="E34" i="223" s="1"/>
  <c r="G34" i="223" s="1"/>
  <c r="D33" i="223"/>
  <c r="E33" i="223" s="1"/>
  <c r="G33" i="223" s="1"/>
  <c r="D34" i="220"/>
  <c r="E34" i="220" s="1"/>
  <c r="G34" i="220" s="1"/>
  <c r="D33" i="220"/>
  <c r="E33" i="220" s="1"/>
  <c r="G33" i="220" s="1"/>
  <c r="D34" i="218"/>
  <c r="E34" i="218" s="1"/>
  <c r="G34" i="218" s="1"/>
  <c r="D33" i="218"/>
  <c r="E33" i="218" s="1"/>
  <c r="G33" i="218" s="1"/>
  <c r="D34" i="216"/>
  <c r="E34" i="216" s="1"/>
  <c r="G34" i="216" s="1"/>
  <c r="D33" i="216"/>
  <c r="E33" i="216" s="1"/>
  <c r="G33" i="216" s="1"/>
  <c r="D34" i="215"/>
  <c r="E34" i="215" s="1"/>
  <c r="G34" i="215" s="1"/>
  <c r="D33" i="215"/>
  <c r="E33" i="215" s="1"/>
  <c r="G33" i="215" s="1"/>
  <c r="D34" i="214"/>
  <c r="E34" i="214" s="1"/>
  <c r="G34" i="214" s="1"/>
  <c r="D33" i="214"/>
  <c r="E33" i="214" s="1"/>
  <c r="G33" i="214" s="1"/>
  <c r="D34" i="217"/>
  <c r="E34" i="217" s="1"/>
  <c r="G34" i="217" s="1"/>
  <c r="D33" i="217"/>
  <c r="E33" i="217" s="1"/>
  <c r="G33" i="217" s="1"/>
  <c r="D35" i="211"/>
  <c r="E35" i="211" s="1"/>
  <c r="G35" i="211" s="1"/>
  <c r="D34" i="211"/>
  <c r="E34" i="211" s="1"/>
  <c r="G34" i="211" s="1"/>
  <c r="D35" i="207"/>
  <c r="E35" i="207" s="1"/>
  <c r="G35" i="207" s="1"/>
  <c r="D34" i="207"/>
  <c r="E34" i="207" s="1"/>
  <c r="G34" i="207" s="1"/>
  <c r="D35" i="206"/>
  <c r="E35" i="206" s="1"/>
  <c r="G35" i="206" s="1"/>
  <c r="D34" i="206"/>
  <c r="E34" i="206" s="1"/>
  <c r="G34" i="206" s="1"/>
  <c r="D35" i="204"/>
  <c r="E35" i="204" s="1"/>
  <c r="G35" i="204" s="1"/>
  <c r="D34" i="204"/>
  <c r="E34" i="204" s="1"/>
  <c r="G34" i="204" s="1"/>
  <c r="D35" i="203"/>
  <c r="E35" i="203" s="1"/>
  <c r="G35" i="203" s="1"/>
  <c r="D34" i="203"/>
  <c r="E34" i="203" s="1"/>
  <c r="G34" i="203" s="1"/>
  <c r="D34" i="213"/>
  <c r="E34" i="213" s="1"/>
  <c r="G34" i="213" s="1"/>
  <c r="D33" i="213"/>
  <c r="E33" i="213" s="1"/>
  <c r="G33" i="213" s="1"/>
  <c r="D35" i="212"/>
  <c r="E35" i="212" s="1"/>
  <c r="G35" i="212" s="1"/>
  <c r="D34" i="212"/>
  <c r="E34" i="212" s="1"/>
  <c r="G34" i="212" s="1"/>
  <c r="D35" i="210"/>
  <c r="E35" i="210" s="1"/>
  <c r="G35" i="210" s="1"/>
  <c r="D34" i="210"/>
  <c r="E34" i="210" s="1"/>
  <c r="G34" i="210" s="1"/>
  <c r="D35" i="209"/>
  <c r="E35" i="209" s="1"/>
  <c r="G35" i="209" s="1"/>
  <c r="D34" i="209"/>
  <c r="E34" i="209" s="1"/>
  <c r="G34" i="209" s="1"/>
  <c r="D35" i="208"/>
  <c r="E35" i="208" s="1"/>
  <c r="G35" i="208" s="1"/>
  <c r="D34" i="208"/>
  <c r="E34" i="208" s="1"/>
  <c r="G34" i="208" s="1"/>
  <c r="D35" i="205"/>
  <c r="E35" i="205" s="1"/>
  <c r="G35" i="205" s="1"/>
  <c r="D34" i="205"/>
  <c r="E34" i="205" s="1"/>
  <c r="G34" i="205" s="1"/>
  <c r="D35" i="202"/>
  <c r="E35" i="202" s="1"/>
  <c r="G35" i="202" s="1"/>
  <c r="D34" i="202"/>
  <c r="E34" i="202" s="1"/>
  <c r="G34" i="202" s="1"/>
  <c r="D35" i="201"/>
  <c r="E35" i="201" s="1"/>
  <c r="G35" i="201" s="1"/>
  <c r="D34" i="201"/>
  <c r="E34" i="201" s="1"/>
  <c r="G34" i="201" s="1"/>
  <c r="D35" i="199"/>
  <c r="E35" i="199" s="1"/>
  <c r="G35" i="199" s="1"/>
  <c r="D35" i="197"/>
  <c r="E35" i="197" s="1"/>
  <c r="G35" i="197" s="1"/>
  <c r="D34" i="197"/>
  <c r="E34" i="197" s="1"/>
  <c r="G34" i="197" s="1"/>
  <c r="D35" i="196"/>
  <c r="E35" i="196" s="1"/>
  <c r="G35" i="196" s="1"/>
  <c r="D34" i="196"/>
  <c r="E34" i="196" s="1"/>
  <c r="G34" i="196" s="1"/>
  <c r="D35" i="195"/>
  <c r="E35" i="195" s="1"/>
  <c r="G35" i="195" s="1"/>
  <c r="D34" i="195"/>
  <c r="E34" i="195" s="1"/>
  <c r="G34" i="195" s="1"/>
  <c r="D35" i="193"/>
  <c r="E35" i="193" s="1"/>
  <c r="G35" i="193" s="1"/>
  <c r="D34" i="193"/>
  <c r="E34" i="193" s="1"/>
  <c r="G34" i="193" s="1"/>
  <c r="D35" i="192"/>
  <c r="E35" i="192" s="1"/>
  <c r="G35" i="192" s="1"/>
  <c r="D34" i="192"/>
  <c r="E34" i="192" s="1"/>
  <c r="G34" i="192" s="1"/>
  <c r="D35" i="190"/>
  <c r="E35" i="190" s="1"/>
  <c r="G35" i="190" s="1"/>
  <c r="D34" i="190"/>
  <c r="E34" i="190" s="1"/>
  <c r="D35" i="188"/>
  <c r="E35" i="188" s="1"/>
  <c r="G35" i="188" s="1"/>
  <c r="D34" i="188"/>
  <c r="E34" i="188" s="1"/>
  <c r="G34" i="188" s="1"/>
  <c r="D35" i="186"/>
  <c r="E35" i="186" s="1"/>
  <c r="G35" i="186" s="1"/>
  <c r="D34" i="186"/>
  <c r="E34" i="186" s="1"/>
  <c r="G34" i="186" s="1"/>
  <c r="D35" i="184"/>
  <c r="E35" i="184" s="1"/>
  <c r="G35" i="184" s="1"/>
  <c r="D34" i="184"/>
  <c r="E34" i="184" s="1"/>
  <c r="G34" i="184" s="1"/>
  <c r="D35" i="183"/>
  <c r="E35" i="183" s="1"/>
  <c r="G35" i="183" s="1"/>
  <c r="D34" i="183"/>
  <c r="E34" i="183" s="1"/>
  <c r="G34" i="183" s="1"/>
  <c r="D34" i="182"/>
  <c r="E34" i="182" s="1"/>
  <c r="G34" i="182" s="1"/>
  <c r="D33" i="182"/>
  <c r="E33" i="182" s="1"/>
  <c r="G33" i="182" s="1"/>
  <c r="D34" i="181"/>
  <c r="E34" i="181" s="1"/>
  <c r="G34" i="181" s="1"/>
  <c r="D33" i="181"/>
  <c r="E33" i="181" s="1"/>
  <c r="G33" i="181" s="1"/>
  <c r="D34" i="179"/>
  <c r="E34" i="179" s="1"/>
  <c r="G34" i="179" s="1"/>
  <c r="D33" i="179"/>
  <c r="E33" i="179" s="1"/>
  <c r="G33" i="179" s="1"/>
  <c r="D35" i="200"/>
  <c r="E35" i="200" s="1"/>
  <c r="G35" i="200" s="1"/>
  <c r="D34" i="200"/>
  <c r="E34" i="200" s="1"/>
  <c r="G34" i="200" s="1"/>
  <c r="D34" i="199"/>
  <c r="E34" i="199" s="1"/>
  <c r="G34" i="199" s="1"/>
  <c r="D35" i="198"/>
  <c r="E35" i="198" s="1"/>
  <c r="G35" i="198" s="1"/>
  <c r="D34" i="198"/>
  <c r="E34" i="198" s="1"/>
  <c r="G34" i="198" s="1"/>
  <c r="D35" i="194"/>
  <c r="E35" i="194" s="1"/>
  <c r="G35" i="194" s="1"/>
  <c r="D34" i="194"/>
  <c r="E34" i="194" s="1"/>
  <c r="G34" i="194" s="1"/>
  <c r="D35" i="191"/>
  <c r="E35" i="191" s="1"/>
  <c r="G35" i="191" s="1"/>
  <c r="D34" i="191"/>
  <c r="E34" i="191" s="1"/>
  <c r="G34" i="191" s="1"/>
  <c r="D35" i="189"/>
  <c r="E35" i="189" s="1"/>
  <c r="G35" i="189" s="1"/>
  <c r="D34" i="189"/>
  <c r="E34" i="189" s="1"/>
  <c r="G34" i="189" s="1"/>
  <c r="D35" i="187"/>
  <c r="E35" i="187" s="1"/>
  <c r="G35" i="187" s="1"/>
  <c r="D34" i="187"/>
  <c r="E34" i="187" s="1"/>
  <c r="G34" i="187" s="1"/>
  <c r="D35" i="185"/>
  <c r="E35" i="185" s="1"/>
  <c r="G35" i="185" s="1"/>
  <c r="D34" i="185"/>
  <c r="E34" i="185" s="1"/>
  <c r="G34" i="185" s="1"/>
  <c r="D34" i="180"/>
  <c r="E34" i="180" s="1"/>
  <c r="G34" i="180" s="1"/>
  <c r="D33" i="180"/>
  <c r="E33" i="180" s="1"/>
  <c r="G33" i="180" s="1"/>
  <c r="D34" i="178"/>
  <c r="E34" i="178" s="1"/>
  <c r="G34" i="178" s="1"/>
  <c r="D33" i="178"/>
  <c r="E33" i="178" s="1"/>
  <c r="G33" i="178" s="1"/>
  <c r="D35" i="175"/>
  <c r="E35" i="175" s="1"/>
  <c r="G35" i="175" s="1"/>
  <c r="D34" i="175"/>
  <c r="E34" i="175" s="1"/>
  <c r="G34" i="175" s="1"/>
  <c r="D35" i="171"/>
  <c r="E35" i="171" s="1"/>
  <c r="G35" i="171" s="1"/>
  <c r="D34" i="171"/>
  <c r="E34" i="171" s="1"/>
  <c r="G34" i="171" s="1"/>
  <c r="D35" i="167"/>
  <c r="E35" i="167" s="1"/>
  <c r="G35" i="167" s="1"/>
  <c r="D34" i="167"/>
  <c r="E34" i="167" s="1"/>
  <c r="G34" i="167" s="1"/>
  <c r="D35" i="166"/>
  <c r="E35" i="166" s="1"/>
  <c r="G35" i="166" s="1"/>
  <c r="D34" i="166"/>
  <c r="E34" i="166" s="1"/>
  <c r="G34" i="166" s="1"/>
  <c r="D35" i="165"/>
  <c r="E35" i="165" s="1"/>
  <c r="G35" i="165" s="1"/>
  <c r="D34" i="165"/>
  <c r="E34" i="165" s="1"/>
  <c r="G34" i="165" s="1"/>
  <c r="D35" i="163"/>
  <c r="E35" i="163" s="1"/>
  <c r="G35" i="163" s="1"/>
  <c r="D34" i="163"/>
  <c r="E34" i="163" s="1"/>
  <c r="G34" i="163" s="1"/>
  <c r="D34" i="159"/>
  <c r="E34" i="159" s="1"/>
  <c r="G34" i="159" s="1"/>
  <c r="D33" i="159"/>
  <c r="E33" i="159" s="1"/>
  <c r="G33" i="159" s="1"/>
  <c r="D35" i="158"/>
  <c r="E35" i="158" s="1"/>
  <c r="G35" i="158" s="1"/>
  <c r="D34" i="158"/>
  <c r="E34" i="158" s="1"/>
  <c r="G34" i="158" s="1"/>
  <c r="D35" i="157"/>
  <c r="E35" i="157" s="1"/>
  <c r="G35" i="157" s="1"/>
  <c r="D34" i="157"/>
  <c r="E34" i="157" s="1"/>
  <c r="G34" i="157" s="1"/>
  <c r="D35" i="156"/>
  <c r="E35" i="156" s="1"/>
  <c r="G35" i="156" s="1"/>
  <c r="D34" i="156"/>
  <c r="E34" i="156" s="1"/>
  <c r="G34" i="156" s="1"/>
  <c r="D35" i="155"/>
  <c r="E35" i="155" s="1"/>
  <c r="G35" i="155" s="1"/>
  <c r="D34" i="155"/>
  <c r="E34" i="155" s="1"/>
  <c r="G34" i="155" s="1"/>
  <c r="D35" i="154"/>
  <c r="E35" i="154" s="1"/>
  <c r="G35" i="154" s="1"/>
  <c r="D34" i="154"/>
  <c r="E34" i="154" s="1"/>
  <c r="G34" i="154" s="1"/>
  <c r="D35" i="152"/>
  <c r="E35" i="152" s="1"/>
  <c r="G35" i="152" s="1"/>
  <c r="D34" i="152"/>
  <c r="E34" i="152" s="1"/>
  <c r="G34" i="152" s="1"/>
  <c r="D35" i="151"/>
  <c r="E35" i="151" s="1"/>
  <c r="G35" i="151" s="1"/>
  <c r="D34" i="151"/>
  <c r="E34" i="151" s="1"/>
  <c r="G34" i="151" s="1"/>
  <c r="D35" i="144"/>
  <c r="E35" i="144" s="1"/>
  <c r="G35" i="144" s="1"/>
  <c r="D34" i="144"/>
  <c r="E34" i="144" s="1"/>
  <c r="G34" i="144" s="1"/>
  <c r="D35" i="141"/>
  <c r="E35" i="141" s="1"/>
  <c r="G35" i="141" s="1"/>
  <c r="D34" i="141"/>
  <c r="E34" i="141" s="1"/>
  <c r="G34" i="141" s="1"/>
  <c r="D35" i="140"/>
  <c r="E35" i="140" s="1"/>
  <c r="G35" i="140" s="1"/>
  <c r="D34" i="140"/>
  <c r="E34" i="140" s="1"/>
  <c r="G34" i="140" s="1"/>
  <c r="D35" i="139"/>
  <c r="E35" i="139" s="1"/>
  <c r="G35" i="139" s="1"/>
  <c r="D34" i="139"/>
  <c r="E34" i="139" s="1"/>
  <c r="G34" i="139" s="1"/>
  <c r="D35" i="138"/>
  <c r="E35" i="138" s="1"/>
  <c r="G35" i="138" s="1"/>
  <c r="D34" i="138"/>
  <c r="E34" i="138" s="1"/>
  <c r="G34" i="138" s="1"/>
  <c r="D35" i="137"/>
  <c r="E35" i="137" s="1"/>
  <c r="G35" i="137" s="1"/>
  <c r="D34" i="137"/>
  <c r="E34" i="137" s="1"/>
  <c r="G34" i="137" s="1"/>
  <c r="D34" i="136"/>
  <c r="E34" i="136" s="1"/>
  <c r="G34" i="136" s="1"/>
  <c r="D34" i="135"/>
  <c r="E34" i="135" s="1"/>
  <c r="G34" i="135" s="1"/>
  <c r="D35" i="133"/>
  <c r="E35" i="133" s="1"/>
  <c r="G35" i="133" s="1"/>
  <c r="D34" i="133"/>
  <c r="E34" i="133" s="1"/>
  <c r="G34" i="133" s="1"/>
  <c r="D34" i="177"/>
  <c r="E34" i="177" s="1"/>
  <c r="G34" i="177" s="1"/>
  <c r="D33" i="177"/>
  <c r="E33" i="177" s="1"/>
  <c r="G33" i="177" s="1"/>
  <c r="D34" i="176"/>
  <c r="E34" i="176" s="1"/>
  <c r="G34" i="176" s="1"/>
  <c r="D33" i="176"/>
  <c r="E33" i="176" s="1"/>
  <c r="G33" i="176" s="1"/>
  <c r="D35" i="174"/>
  <c r="E35" i="174" s="1"/>
  <c r="G35" i="174" s="1"/>
  <c r="D34" i="174"/>
  <c r="E34" i="174" s="1"/>
  <c r="G34" i="174" s="1"/>
  <c r="D35" i="173"/>
  <c r="E35" i="173" s="1"/>
  <c r="G35" i="173" s="1"/>
  <c r="D34" i="173"/>
  <c r="E34" i="173" s="1"/>
  <c r="G34" i="173" s="1"/>
  <c r="D35" i="172"/>
  <c r="E35" i="172" s="1"/>
  <c r="G35" i="172" s="1"/>
  <c r="D34" i="172"/>
  <c r="E34" i="172" s="1"/>
  <c r="G34" i="172" s="1"/>
  <c r="D35" i="170"/>
  <c r="E35" i="170" s="1"/>
  <c r="G35" i="170" s="1"/>
  <c r="D34" i="170"/>
  <c r="E34" i="170" s="1"/>
  <c r="G34" i="170" s="1"/>
  <c r="D35" i="169"/>
  <c r="E35" i="169" s="1"/>
  <c r="G35" i="169" s="1"/>
  <c r="D34" i="169"/>
  <c r="E34" i="169" s="1"/>
  <c r="G34" i="169" s="1"/>
  <c r="D35" i="168"/>
  <c r="E35" i="168" s="1"/>
  <c r="G35" i="168" s="1"/>
  <c r="D34" i="168"/>
  <c r="E34" i="168" s="1"/>
  <c r="G34" i="168" s="1"/>
  <c r="D35" i="164"/>
  <c r="E35" i="164" s="1"/>
  <c r="G35" i="164" s="1"/>
  <c r="D34" i="164"/>
  <c r="E34" i="164" s="1"/>
  <c r="G34" i="164" s="1"/>
  <c r="D35" i="162"/>
  <c r="E35" i="162" s="1"/>
  <c r="G35" i="162" s="1"/>
  <c r="D34" i="162"/>
  <c r="E34" i="162" s="1"/>
  <c r="G34" i="162" s="1"/>
  <c r="D34" i="161"/>
  <c r="E34" i="161" s="1"/>
  <c r="G34" i="161" s="1"/>
  <c r="D33" i="161"/>
  <c r="E33" i="161" s="1"/>
  <c r="G33" i="161" s="1"/>
  <c r="D34" i="160"/>
  <c r="E34" i="160" s="1"/>
  <c r="G34" i="160" s="1"/>
  <c r="D33" i="160"/>
  <c r="E33" i="160" s="1"/>
  <c r="G33" i="160" s="1"/>
  <c r="D35" i="153"/>
  <c r="E35" i="153" s="1"/>
  <c r="G35" i="153" s="1"/>
  <c r="D34" i="153"/>
  <c r="E34" i="153" s="1"/>
  <c r="G34" i="153" s="1"/>
  <c r="D35" i="150"/>
  <c r="E35" i="150" s="1"/>
  <c r="G35" i="150" s="1"/>
  <c r="D34" i="150"/>
  <c r="E34" i="150" s="1"/>
  <c r="G34" i="150" s="1"/>
  <c r="D35" i="149"/>
  <c r="E35" i="149" s="1"/>
  <c r="G35" i="149" s="1"/>
  <c r="D34" i="149"/>
  <c r="E34" i="149" s="1"/>
  <c r="G34" i="149" s="1"/>
  <c r="D35" i="148"/>
  <c r="E35" i="148" s="1"/>
  <c r="G35" i="148" s="1"/>
  <c r="D34" i="148"/>
  <c r="E34" i="148" s="1"/>
  <c r="G34" i="148" s="1"/>
  <c r="D35" i="147"/>
  <c r="E35" i="147" s="1"/>
  <c r="G35" i="147" s="1"/>
  <c r="D34" i="147"/>
  <c r="E34" i="147" s="1"/>
  <c r="G34" i="147" s="1"/>
  <c r="D35" i="146"/>
  <c r="E35" i="146" s="1"/>
  <c r="G35" i="146" s="1"/>
  <c r="D34" i="146"/>
  <c r="E34" i="146" s="1"/>
  <c r="G34" i="146" s="1"/>
  <c r="D35" i="145"/>
  <c r="E35" i="145" s="1"/>
  <c r="G35" i="145" s="1"/>
  <c r="D34" i="145"/>
  <c r="E34" i="145" s="1"/>
  <c r="G34" i="145" s="1"/>
  <c r="D35" i="143"/>
  <c r="E35" i="143" s="1"/>
  <c r="G35" i="143" s="1"/>
  <c r="D34" i="143"/>
  <c r="E34" i="143" s="1"/>
  <c r="G34" i="143" s="1"/>
  <c r="D35" i="142"/>
  <c r="E35" i="142" s="1"/>
  <c r="G35" i="142" s="1"/>
  <c r="D34" i="142"/>
  <c r="E34" i="142" s="1"/>
  <c r="G34" i="142" s="1"/>
  <c r="D35" i="136"/>
  <c r="E35" i="136" s="1"/>
  <c r="G35" i="136" s="1"/>
  <c r="D35" i="135"/>
  <c r="E35" i="135" s="1"/>
  <c r="G35" i="135" s="1"/>
  <c r="D35" i="134"/>
  <c r="E35" i="134" s="1"/>
  <c r="G35" i="134" s="1"/>
  <c r="D34" i="134"/>
  <c r="E34" i="134" s="1"/>
  <c r="G34" i="134" s="1"/>
  <c r="D35" i="132"/>
  <c r="E35" i="132" s="1"/>
  <c r="G35" i="132" s="1"/>
  <c r="D34" i="132"/>
  <c r="E34" i="132" s="1"/>
  <c r="G34" i="132" s="1"/>
  <c r="D35" i="131"/>
  <c r="E35" i="131" s="1"/>
  <c r="G35" i="131" s="1"/>
  <c r="D34" i="131"/>
  <c r="E34" i="131" s="1"/>
  <c r="G34" i="131" s="1"/>
  <c r="D35" i="130"/>
  <c r="E35" i="130" s="1"/>
  <c r="G35" i="130" s="1"/>
  <c r="D34" i="130"/>
  <c r="E34" i="130" s="1"/>
  <c r="G34" i="130" s="1"/>
  <c r="D35" i="129"/>
  <c r="E35" i="129" s="1"/>
  <c r="G35" i="129" s="1"/>
  <c r="D34" i="129"/>
  <c r="E34" i="129" s="1"/>
  <c r="G34" i="129" s="1"/>
  <c r="D35" i="128"/>
  <c r="E35" i="128" s="1"/>
  <c r="G35" i="128" s="1"/>
  <c r="D34" i="128"/>
  <c r="E34" i="128" s="1"/>
  <c r="G34" i="128" s="1"/>
  <c r="D35" i="127"/>
  <c r="E35" i="127" s="1"/>
  <c r="G35" i="127" s="1"/>
  <c r="D34" i="127"/>
  <c r="E34" i="127" s="1"/>
  <c r="G34" i="127" s="1"/>
  <c r="D35" i="124"/>
  <c r="E35" i="124" s="1"/>
  <c r="G35" i="124" s="1"/>
  <c r="D34" i="124"/>
  <c r="E34" i="124" s="1"/>
  <c r="G34" i="124" s="1"/>
  <c r="D34" i="123"/>
  <c r="E34" i="123" s="1"/>
  <c r="G34" i="123" s="1"/>
  <c r="D33" i="123"/>
  <c r="E33" i="123" s="1"/>
  <c r="G33" i="123" s="1"/>
  <c r="D35" i="126"/>
  <c r="E35" i="126" s="1"/>
  <c r="G35" i="126" s="1"/>
  <c r="D34" i="126"/>
  <c r="E34" i="126" s="1"/>
  <c r="G34" i="126" s="1"/>
  <c r="D35" i="125"/>
  <c r="E35" i="125" s="1"/>
  <c r="G35" i="125" s="1"/>
  <c r="D34" i="125"/>
  <c r="E34" i="125" s="1"/>
  <c r="G34" i="125" s="1"/>
  <c r="D34" i="122"/>
  <c r="E34" i="122" s="1"/>
  <c r="G34" i="122" s="1"/>
  <c r="H38" i="122" s="1"/>
  <c r="D34" i="120"/>
  <c r="E34" i="120" s="1"/>
  <c r="G34" i="120" s="1"/>
  <c r="H38" i="120" s="1"/>
  <c r="D34" i="117"/>
  <c r="E34" i="117" s="1"/>
  <c r="G34" i="117" s="1"/>
  <c r="H38" i="117" s="1"/>
  <c r="D34" i="115"/>
  <c r="E34" i="115" s="1"/>
  <c r="G34" i="115" s="1"/>
  <c r="H38" i="115" s="1"/>
  <c r="D33" i="113"/>
  <c r="E33" i="113" s="1"/>
  <c r="G33" i="113" s="1"/>
  <c r="H37" i="113" s="1"/>
  <c r="D34" i="110"/>
  <c r="E34" i="110" s="1"/>
  <c r="G34" i="110" s="1"/>
  <c r="H38" i="110" s="1"/>
  <c r="H40" i="110" s="1"/>
  <c r="D34" i="109"/>
  <c r="E34" i="109" s="1"/>
  <c r="G34" i="109" s="1"/>
  <c r="H38" i="109" s="1"/>
  <c r="H40" i="109" s="1"/>
  <c r="D35" i="107"/>
  <c r="E35" i="107" s="1"/>
  <c r="G35" i="107" s="1"/>
  <c r="D34" i="107"/>
  <c r="E34" i="107" s="1"/>
  <c r="G34" i="107" s="1"/>
  <c r="D34" i="121"/>
  <c r="E34" i="121" s="1"/>
  <c r="G34" i="121" s="1"/>
  <c r="H38" i="121" s="1"/>
  <c r="D34" i="119"/>
  <c r="E34" i="119" s="1"/>
  <c r="G34" i="119" s="1"/>
  <c r="H38" i="119" s="1"/>
  <c r="D34" i="116"/>
  <c r="E34" i="116" s="1"/>
  <c r="G34" i="116" s="1"/>
  <c r="H38" i="116" s="1"/>
  <c r="D33" i="114"/>
  <c r="E33" i="114" s="1"/>
  <c r="G33" i="114" s="1"/>
  <c r="H37" i="114" s="1"/>
  <c r="D33" i="112"/>
  <c r="E33" i="112" s="1"/>
  <c r="G33" i="112" s="1"/>
  <c r="H37" i="112" s="1"/>
  <c r="D33" i="111"/>
  <c r="E33" i="111" s="1"/>
  <c r="G33" i="111" s="1"/>
  <c r="H37" i="111" s="1"/>
  <c r="D35" i="108"/>
  <c r="E35" i="108" s="1"/>
  <c r="G35" i="108" s="1"/>
  <c r="D34" i="108"/>
  <c r="E34" i="108" s="1"/>
  <c r="G34" i="108" s="1"/>
  <c r="D35" i="106"/>
  <c r="E35" i="106" s="1"/>
  <c r="G35" i="106" s="1"/>
  <c r="D34" i="105"/>
  <c r="E34" i="105" s="1"/>
  <c r="G34" i="105" s="1"/>
  <c r="H38" i="105" s="1"/>
  <c r="D34" i="103"/>
  <c r="E34" i="103" s="1"/>
  <c r="G34" i="103" s="1"/>
  <c r="H38" i="103" s="1"/>
  <c r="D34" i="106"/>
  <c r="E34" i="106" s="1"/>
  <c r="G34" i="106" s="1"/>
  <c r="D34" i="101"/>
  <c r="E34" i="101" s="1"/>
  <c r="G34" i="101" s="1"/>
  <c r="H38" i="101" s="1"/>
  <c r="D35" i="99"/>
  <c r="E35" i="99" s="1"/>
  <c r="G35" i="99" s="1"/>
  <c r="D34" i="99"/>
  <c r="E34" i="99" s="1"/>
  <c r="G34" i="99" s="1"/>
  <c r="D35" i="98"/>
  <c r="E35" i="98" s="1"/>
  <c r="G35" i="98" s="1"/>
  <c r="D35" i="96"/>
  <c r="E35" i="96" s="1"/>
  <c r="G35" i="96" s="1"/>
  <c r="D37" i="95"/>
  <c r="E37" i="95" s="1"/>
  <c r="G37" i="95" s="1"/>
  <c r="D38" i="95"/>
  <c r="E38" i="95" s="1"/>
  <c r="G38" i="95" s="1"/>
  <c r="D39" i="94"/>
  <c r="E39" i="94" s="1"/>
  <c r="G39" i="94" s="1"/>
  <c r="D38" i="94"/>
  <c r="E38" i="94" s="1"/>
  <c r="G38" i="94" s="1"/>
  <c r="D35" i="92"/>
  <c r="E35" i="92" s="1"/>
  <c r="G35" i="92" s="1"/>
  <c r="D34" i="100"/>
  <c r="E34" i="100" s="1"/>
  <c r="G34" i="100" s="1"/>
  <c r="H38" i="100" s="1"/>
  <c r="D36" i="98"/>
  <c r="E36" i="98" s="1"/>
  <c r="G36" i="98" s="1"/>
  <c r="D37" i="97"/>
  <c r="E37" i="97" s="1"/>
  <c r="G37" i="97" s="1"/>
  <c r="D36" i="97"/>
  <c r="E36" i="97" s="1"/>
  <c r="G36" i="97" s="1"/>
  <c r="D35" i="97"/>
  <c r="E35" i="97" s="1"/>
  <c r="G35" i="97" s="1"/>
  <c r="D36" i="96"/>
  <c r="E36" i="96" s="1"/>
  <c r="G36" i="96" s="1"/>
  <c r="D37" i="94"/>
  <c r="E37" i="94" s="1"/>
  <c r="G37" i="94" s="1"/>
  <c r="D36" i="92"/>
  <c r="E36" i="92" s="1"/>
  <c r="G36" i="92" s="1"/>
  <c r="D38" i="89"/>
  <c r="E38" i="89" s="1"/>
  <c r="G38" i="89" s="1"/>
  <c r="D37" i="89"/>
  <c r="E37" i="89" s="1"/>
  <c r="D38" i="88"/>
  <c r="E38" i="88" s="1"/>
  <c r="G38" i="88" s="1"/>
  <c r="D37" i="88"/>
  <c r="E37" i="88" s="1"/>
  <c r="G37" i="88" s="1"/>
  <c r="D32" i="74"/>
  <c r="E32" i="74" s="1"/>
  <c r="G32" i="74" s="1"/>
  <c r="H36" i="74" s="1"/>
  <c r="D34" i="73"/>
  <c r="E34" i="73" s="1"/>
  <c r="G34" i="73" s="1"/>
  <c r="H38" i="73" s="1"/>
  <c r="D34" i="68"/>
  <c r="E34" i="68" s="1"/>
  <c r="G34" i="68" s="1"/>
  <c r="D34" i="72"/>
  <c r="E34" i="72" s="1"/>
  <c r="G34" i="72" s="1"/>
  <c r="H38" i="72" s="1"/>
  <c r="D34" i="71"/>
  <c r="E34" i="71" s="1"/>
  <c r="G34" i="71" s="1"/>
  <c r="H38" i="71" s="1"/>
  <c r="D34" i="70"/>
  <c r="E34" i="70" s="1"/>
  <c r="G34" i="70" s="1"/>
  <c r="H38" i="70" s="1"/>
  <c r="D34" i="69"/>
  <c r="E34" i="69" s="1"/>
  <c r="G34" i="69" s="1"/>
  <c r="H38" i="69" s="1"/>
  <c r="D34" i="67"/>
  <c r="E34" i="67" s="1"/>
  <c r="G34" i="67" s="1"/>
  <c r="H38" i="67" s="1"/>
  <c r="D34" i="66"/>
  <c r="E34" i="66" s="1"/>
  <c r="G34" i="66" s="1"/>
  <c r="H38" i="66" s="1"/>
  <c r="D34" i="65"/>
  <c r="E34" i="65" s="1"/>
  <c r="G34" i="65" s="1"/>
  <c r="H38" i="65" s="1"/>
  <c r="D34" i="64"/>
  <c r="E34" i="64" s="1"/>
  <c r="G34" i="64" s="1"/>
  <c r="H38" i="64" s="1"/>
  <c r="G12" i="64" s="1"/>
  <c r="D34" i="60"/>
  <c r="E34" i="60" s="1"/>
  <c r="G34" i="60" s="1"/>
  <c r="D34" i="63"/>
  <c r="E34" i="63" s="1"/>
  <c r="G34" i="63" s="1"/>
  <c r="H38" i="63" s="1"/>
  <c r="G12" i="63" s="1"/>
  <c r="H18" i="63" s="1"/>
  <c r="D34" i="62"/>
  <c r="E34" i="62" s="1"/>
  <c r="G34" i="62" s="1"/>
  <c r="H38" i="62" s="1"/>
  <c r="G12" i="62" s="1"/>
  <c r="D34" i="59"/>
  <c r="E34" i="59" s="1"/>
  <c r="D34" i="58"/>
  <c r="E34" i="58" s="1"/>
  <c r="G34" i="58" s="1"/>
  <c r="D34" i="55"/>
  <c r="E34" i="55" s="1"/>
  <c r="G34" i="55" s="1"/>
  <c r="H38" i="55" s="1"/>
  <c r="D34" i="54"/>
  <c r="E34" i="54" s="1"/>
  <c r="G34" i="54" s="1"/>
  <c r="H38" i="54" s="1"/>
  <c r="D34" i="46"/>
  <c r="E34" i="46" s="1"/>
  <c r="D32" i="44"/>
  <c r="E32" i="44" s="1"/>
  <c r="G32" i="44" s="1"/>
  <c r="H36" i="44" s="1"/>
  <c r="D34" i="56"/>
  <c r="E34" i="56" s="1"/>
  <c r="G34" i="56" s="1"/>
  <c r="H38" i="56" s="1"/>
  <c r="D34" i="53"/>
  <c r="E34" i="53" s="1"/>
  <c r="G34" i="53" s="1"/>
  <c r="H38" i="53" s="1"/>
  <c r="G12" i="53" s="1"/>
  <c r="H18" i="53" s="1"/>
  <c r="H40" i="53" s="1"/>
  <c r="D34" i="51"/>
  <c r="E34" i="51" s="1"/>
  <c r="G34" i="51" s="1"/>
  <c r="H38" i="51" s="1"/>
  <c r="G12" i="51" s="1"/>
  <c r="D34" i="50"/>
  <c r="E34" i="50" s="1"/>
  <c r="G34" i="50" s="1"/>
  <c r="H38" i="50" s="1"/>
  <c r="D34" i="49"/>
  <c r="E34" i="49" s="1"/>
  <c r="G34" i="49" s="1"/>
  <c r="H38" i="49" s="1"/>
  <c r="D34" i="45"/>
  <c r="E34" i="45" s="1"/>
  <c r="D33" i="40"/>
  <c r="E33" i="40" s="1"/>
  <c r="G33" i="40" s="1"/>
  <c r="H37" i="40" s="1"/>
  <c r="D34" i="37"/>
  <c r="E34" i="37" s="1"/>
  <c r="G34" i="37" s="1"/>
  <c r="H38" i="37" s="1"/>
  <c r="G12" i="37" s="1"/>
  <c r="H38" i="302" l="1"/>
  <c r="G12" i="302" s="1"/>
  <c r="H38" i="365"/>
  <c r="H38" i="412"/>
  <c r="G12" i="412" s="1"/>
  <c r="H18" i="412" s="1"/>
  <c r="H40" i="412" s="1"/>
  <c r="G43" i="412" s="1"/>
  <c r="H38" i="414"/>
  <c r="G12" i="414" s="1"/>
  <c r="H18" i="414" s="1"/>
  <c r="H40" i="414" s="1"/>
  <c r="G44" i="414" s="1"/>
  <c r="H38" i="413"/>
  <c r="G12" i="413" s="1"/>
  <c r="H18" i="413" s="1"/>
  <c r="H40" i="413" s="1"/>
  <c r="G45" i="413" s="1"/>
  <c r="G43" i="305"/>
  <c r="G44" i="305"/>
  <c r="G45" i="305"/>
  <c r="G12" i="323"/>
  <c r="H18" i="323" s="1"/>
  <c r="H40" i="323" s="1"/>
  <c r="G12" i="342"/>
  <c r="H18" i="342" s="1"/>
  <c r="H40" i="342" s="1"/>
  <c r="G12" i="344"/>
  <c r="H18" i="344" s="1"/>
  <c r="H40" i="344" s="1"/>
  <c r="G12" i="346"/>
  <c r="H18" i="346" s="1"/>
  <c r="H40" i="346" s="1"/>
  <c r="G12" i="348"/>
  <c r="H18" i="348" s="1"/>
  <c r="H40" i="348" s="1"/>
  <c r="G12" i="341"/>
  <c r="H18" i="341" s="1"/>
  <c r="H40" i="341" s="1"/>
  <c r="H38" i="407"/>
  <c r="G12" i="407" s="1"/>
  <c r="H18" i="407" s="1"/>
  <c r="H40" i="407" s="1"/>
  <c r="G45" i="407" s="1"/>
  <c r="H37" i="409"/>
  <c r="G12" i="409" s="1"/>
  <c r="H17" i="409" s="1"/>
  <c r="H39" i="409" s="1"/>
  <c r="G43" i="409" s="1"/>
  <c r="H38" i="411"/>
  <c r="G12" i="411" s="1"/>
  <c r="H18" i="411" s="1"/>
  <c r="H40" i="411" s="1"/>
  <c r="G44" i="411" s="1"/>
  <c r="H41" i="88"/>
  <c r="G12" i="105"/>
  <c r="H18" i="105" s="1"/>
  <c r="H40" i="105" s="1"/>
  <c r="G13" i="122"/>
  <c r="H18" i="122" s="1"/>
  <c r="H40" i="122" s="1"/>
  <c r="J34" i="190"/>
  <c r="J35" i="190" s="1"/>
  <c r="G34" i="190"/>
  <c r="H37" i="410"/>
  <c r="G12" i="410" s="1"/>
  <c r="H17" i="410" s="1"/>
  <c r="H39" i="410" s="1"/>
  <c r="G13" i="121"/>
  <c r="H18" i="121" s="1"/>
  <c r="H40" i="121" s="1"/>
  <c r="G13" i="120"/>
  <c r="H18" i="120" s="1"/>
  <c r="H40" i="120" s="1"/>
  <c r="G13" i="119"/>
  <c r="H18" i="119" s="1"/>
  <c r="H40" i="119" s="1"/>
  <c r="G12" i="111"/>
  <c r="H38" i="408"/>
  <c r="G12" i="408" s="1"/>
  <c r="H18" i="408" s="1"/>
  <c r="H40" i="408" s="1"/>
  <c r="G12" i="249"/>
  <c r="H18" i="249" s="1"/>
  <c r="H40" i="249" s="1"/>
  <c r="H18" i="302"/>
  <c r="H40" i="302" s="1"/>
  <c r="G12" i="301"/>
  <c r="H18" i="301" s="1"/>
  <c r="H40" i="301" s="1"/>
  <c r="G12" i="250"/>
  <c r="H18" i="250" s="1"/>
  <c r="H40" i="250" s="1"/>
  <c r="G12" i="114"/>
  <c r="H17" i="114" s="1"/>
  <c r="H39" i="114" s="1"/>
  <c r="G12" i="113"/>
  <c r="H17" i="113" s="1"/>
  <c r="H39" i="113" s="1"/>
  <c r="G12" i="112"/>
  <c r="H17" i="112" s="1"/>
  <c r="H39" i="112" s="1"/>
  <c r="G12" i="56"/>
  <c r="H18" i="56" s="1"/>
  <c r="H40" i="56" s="1"/>
  <c r="G12" i="55"/>
  <c r="H18" i="55" s="1"/>
  <c r="H40" i="55" s="1"/>
  <c r="G44" i="407"/>
  <c r="G12" i="266"/>
  <c r="H18" i="266" s="1"/>
  <c r="H40" i="266" s="1"/>
  <c r="H38" i="52"/>
  <c r="G12" i="52" s="1"/>
  <c r="H18" i="52" s="1"/>
  <c r="H40" i="52" s="1"/>
  <c r="G45" i="52" s="1"/>
  <c r="H38" i="68"/>
  <c r="G12" i="68" s="1"/>
  <c r="H18" i="68" s="1"/>
  <c r="H40" i="68" s="1"/>
  <c r="G12" i="54"/>
  <c r="H18" i="54" s="1"/>
  <c r="H40" i="54" s="1"/>
  <c r="G12" i="116"/>
  <c r="H18" i="116" s="1"/>
  <c r="H40" i="116" s="1"/>
  <c r="G12" i="117"/>
  <c r="H18" i="117" s="1"/>
  <c r="H40" i="117" s="1"/>
  <c r="G12" i="115"/>
  <c r="H18" i="115" s="1"/>
  <c r="H40" i="115" s="1"/>
  <c r="H41" i="94"/>
  <c r="G12" i="66"/>
  <c r="H18" i="66" s="1"/>
  <c r="H40" i="66" s="1"/>
  <c r="G12" i="69"/>
  <c r="H18" i="69" s="1"/>
  <c r="H40" i="69" s="1"/>
  <c r="G12" i="71"/>
  <c r="H18" i="71" s="1"/>
  <c r="H40" i="71" s="1"/>
  <c r="G10" i="74"/>
  <c r="H16" i="74" s="1"/>
  <c r="H38" i="74" s="1"/>
  <c r="G12" i="65"/>
  <c r="H18" i="65" s="1"/>
  <c r="H40" i="65" s="1"/>
  <c r="G12" i="67"/>
  <c r="H18" i="67" s="1"/>
  <c r="H40" i="67" s="1"/>
  <c r="G12" i="70"/>
  <c r="H18" i="70" s="1"/>
  <c r="H40" i="70" s="1"/>
  <c r="G12" i="72"/>
  <c r="H18" i="72" s="1"/>
  <c r="H40" i="72" s="1"/>
  <c r="G12" i="73"/>
  <c r="H18" i="73" s="1"/>
  <c r="H40" i="73" s="1"/>
  <c r="H41" i="404"/>
  <c r="I26" i="404" s="1"/>
  <c r="H41" i="403"/>
  <c r="G12" i="403" s="1"/>
  <c r="H18" i="403" s="1"/>
  <c r="H41" i="87"/>
  <c r="G12" i="87" s="1"/>
  <c r="H18" i="87" s="1"/>
  <c r="H38" i="60"/>
  <c r="G12" i="60" s="1"/>
  <c r="H18" i="60" s="1"/>
  <c r="H40" i="60" s="1"/>
  <c r="H18" i="51"/>
  <c r="H40" i="51" s="1"/>
  <c r="G12" i="50"/>
  <c r="H18" i="50" s="1"/>
  <c r="H40" i="50" s="1"/>
  <c r="G11" i="44"/>
  <c r="H16" i="44" s="1"/>
  <c r="H38" i="44" s="1"/>
  <c r="G12" i="101"/>
  <c r="H41" i="95"/>
  <c r="H39" i="92"/>
  <c r="G12" i="100"/>
  <c r="H37" i="304"/>
  <c r="G12" i="304" s="1"/>
  <c r="H17" i="304" s="1"/>
  <c r="H39" i="304" s="1"/>
  <c r="G12" i="404"/>
  <c r="H38" i="398"/>
  <c r="G12" i="398" s="1"/>
  <c r="H18" i="398" s="1"/>
  <c r="H40" i="398" s="1"/>
  <c r="H41" i="402"/>
  <c r="G12" i="402" s="1"/>
  <c r="H18" i="402" s="1"/>
  <c r="H43" i="402" s="1"/>
  <c r="H37" i="303"/>
  <c r="G12" i="303" s="1"/>
  <c r="H17" i="303" s="1"/>
  <c r="H39" i="303" s="1"/>
  <c r="H37" i="319"/>
  <c r="G12" i="319" s="1"/>
  <c r="H17" i="319" s="1"/>
  <c r="H39" i="319" s="1"/>
  <c r="H41" i="401"/>
  <c r="G12" i="401" s="1"/>
  <c r="H18" i="401" s="1"/>
  <c r="H43" i="401" s="1"/>
  <c r="G12" i="365"/>
  <c r="H18" i="365" s="1"/>
  <c r="H40" i="365" s="1"/>
  <c r="G12" i="385"/>
  <c r="H17" i="385" s="1"/>
  <c r="H40" i="385" s="1"/>
  <c r="H37" i="400"/>
  <c r="G12" i="400" s="1"/>
  <c r="H17" i="400" s="1"/>
  <c r="H39" i="400" s="1"/>
  <c r="G12" i="382"/>
  <c r="H17" i="382" s="1"/>
  <c r="H39" i="382" s="1"/>
  <c r="H37" i="399"/>
  <c r="G12" i="399" s="1"/>
  <c r="H17" i="399" s="1"/>
  <c r="H39" i="399" s="1"/>
  <c r="G12" i="352"/>
  <c r="H17" i="352" s="1"/>
  <c r="H39" i="352" s="1"/>
  <c r="G12" i="327"/>
  <c r="H17" i="327" s="1"/>
  <c r="H41" i="327" s="1"/>
  <c r="G12" i="326"/>
  <c r="H17" i="326" s="1"/>
  <c r="H41" i="326" s="1"/>
  <c r="G12" i="324"/>
  <c r="H17" i="324" s="1"/>
  <c r="H41" i="324" s="1"/>
  <c r="G12" i="321"/>
  <c r="H17" i="321" s="1"/>
  <c r="H39" i="321" s="1"/>
  <c r="G12" i="322"/>
  <c r="H17" i="322" s="1"/>
  <c r="H39" i="322" s="1"/>
  <c r="G12" i="320"/>
  <c r="H17" i="320" s="1"/>
  <c r="H39" i="320" s="1"/>
  <c r="G12" i="103"/>
  <c r="H18" i="103" s="1"/>
  <c r="H40" i="103" s="1"/>
  <c r="G12" i="57"/>
  <c r="G12" i="264"/>
  <c r="H18" i="264" s="1"/>
  <c r="H40" i="264" s="1"/>
  <c r="H38" i="58"/>
  <c r="H38" i="397"/>
  <c r="H18" i="64"/>
  <c r="H40" i="64" s="1"/>
  <c r="G34" i="59"/>
  <c r="H38" i="59" s="1"/>
  <c r="G12" i="59" s="1"/>
  <c r="H18" i="59" s="1"/>
  <c r="H40" i="59" s="1"/>
  <c r="H40" i="63"/>
  <c r="H18" i="62"/>
  <c r="H40" i="62" s="1"/>
  <c r="G11" i="40"/>
  <c r="H17" i="40" s="1"/>
  <c r="H39" i="40" s="1"/>
  <c r="G12" i="49"/>
  <c r="H18" i="49" s="1"/>
  <c r="H40" i="49" s="1"/>
  <c r="H18" i="37"/>
  <c r="H40" i="37" s="1"/>
  <c r="H37" i="388"/>
  <c r="H37" i="379"/>
  <c r="H37" i="387"/>
  <c r="H38" i="339"/>
  <c r="H37" i="354"/>
  <c r="H38" i="356"/>
  <c r="H38" i="358"/>
  <c r="H38" i="360"/>
  <c r="H38" i="362"/>
  <c r="H38" i="364"/>
  <c r="H38" i="366"/>
  <c r="H38" i="368"/>
  <c r="H38" i="370"/>
  <c r="H38" i="372"/>
  <c r="H38" i="374"/>
  <c r="H38" i="376"/>
  <c r="H37" i="378"/>
  <c r="H37" i="380"/>
  <c r="H37" i="384"/>
  <c r="H37" i="386"/>
  <c r="H37" i="390"/>
  <c r="H37" i="392"/>
  <c r="H37" i="394"/>
  <c r="H38" i="343"/>
  <c r="H38" i="345"/>
  <c r="H38" i="347"/>
  <c r="H38" i="349"/>
  <c r="H38" i="353"/>
  <c r="H38" i="355"/>
  <c r="H38" i="357"/>
  <c r="H38" i="359"/>
  <c r="H38" i="361"/>
  <c r="H38" i="363"/>
  <c r="H38" i="367"/>
  <c r="H38" i="369"/>
  <c r="H38" i="371"/>
  <c r="H38" i="373"/>
  <c r="H38" i="375"/>
  <c r="H37" i="377"/>
  <c r="H37" i="381"/>
  <c r="H37" i="383"/>
  <c r="H37" i="389"/>
  <c r="H37" i="391"/>
  <c r="H37" i="393"/>
  <c r="H37" i="395"/>
  <c r="H39" i="97"/>
  <c r="H38" i="99"/>
  <c r="H38" i="125"/>
  <c r="G12" i="125" s="1"/>
  <c r="H38" i="126"/>
  <c r="H37" i="123"/>
  <c r="H38" i="124"/>
  <c r="G12" i="124" s="1"/>
  <c r="H38" i="127"/>
  <c r="H38" i="128"/>
  <c r="H38" i="129"/>
  <c r="H38" i="130"/>
  <c r="H38" i="131"/>
  <c r="H38" i="132"/>
  <c r="H38" i="134"/>
  <c r="H38" i="142"/>
  <c r="H38" i="143"/>
  <c r="H38" i="145"/>
  <c r="H38" i="146"/>
  <c r="H38" i="147"/>
  <c r="H38" i="148"/>
  <c r="H38" i="149"/>
  <c r="H38" i="150"/>
  <c r="H38" i="153"/>
  <c r="H37" i="160"/>
  <c r="H37" i="161"/>
  <c r="H38" i="162"/>
  <c r="H38" i="164"/>
  <c r="H38" i="168"/>
  <c r="H38" i="169"/>
  <c r="H38" i="170"/>
  <c r="H38" i="172"/>
  <c r="H38" i="173"/>
  <c r="H38" i="174"/>
  <c r="H37" i="176"/>
  <c r="H37" i="177"/>
  <c r="H38" i="133"/>
  <c r="H38" i="137"/>
  <c r="H38" i="138"/>
  <c r="H38" i="139"/>
  <c r="H38" i="140"/>
  <c r="H38" i="141"/>
  <c r="H38" i="144"/>
  <c r="H38" i="151"/>
  <c r="H38" i="152"/>
  <c r="H38" i="154"/>
  <c r="H38" i="155"/>
  <c r="H38" i="156"/>
  <c r="H38" i="157"/>
  <c r="H38" i="158"/>
  <c r="H37" i="159"/>
  <c r="H38" i="163"/>
  <c r="H38" i="165"/>
  <c r="H38" i="166"/>
  <c r="H38" i="167"/>
  <c r="H38" i="171"/>
  <c r="H38" i="175"/>
  <c r="H37" i="178"/>
  <c r="H37" i="180"/>
  <c r="H38" i="185"/>
  <c r="H38" i="187"/>
  <c r="H38" i="189"/>
  <c r="H38" i="191"/>
  <c r="H38" i="194"/>
  <c r="H38" i="198"/>
  <c r="H38" i="199"/>
  <c r="H38" i="201"/>
  <c r="H38" i="202"/>
  <c r="H38" i="205"/>
  <c r="H38" i="208"/>
  <c r="H38" i="209"/>
  <c r="H38" i="210"/>
  <c r="H38" i="212"/>
  <c r="H37" i="213"/>
  <c r="H38" i="203"/>
  <c r="H38" i="204"/>
  <c r="H38" i="206"/>
  <c r="H38" i="207"/>
  <c r="H38" i="211"/>
  <c r="H37" i="217"/>
  <c r="H37" i="214"/>
  <c r="H37" i="215"/>
  <c r="H37" i="216"/>
  <c r="H37" i="218"/>
  <c r="H37" i="220"/>
  <c r="H37" i="223"/>
  <c r="H37" i="224"/>
  <c r="H37" i="225"/>
  <c r="H37" i="226"/>
  <c r="H38" i="227"/>
  <c r="H38" i="229"/>
  <c r="H38" i="231"/>
  <c r="H38" i="235"/>
  <c r="H38" i="236"/>
  <c r="H38" i="237"/>
  <c r="H37" i="219"/>
  <c r="H37" i="221"/>
  <c r="H38" i="338"/>
  <c r="H38" i="336"/>
  <c r="H38" i="337"/>
  <c r="H37" i="335"/>
  <c r="H38" i="334"/>
  <c r="H38" i="333"/>
  <c r="H38" i="332"/>
  <c r="H38" i="328"/>
  <c r="H37" i="331"/>
  <c r="H38" i="329"/>
  <c r="H37" i="330"/>
  <c r="H39" i="325"/>
  <c r="G12" i="325" s="1"/>
  <c r="H38" i="316"/>
  <c r="H38" i="318"/>
  <c r="H38" i="317"/>
  <c r="H38" i="315"/>
  <c r="H38" i="314"/>
  <c r="H38" i="313"/>
  <c r="H38" i="312"/>
  <c r="H38" i="310"/>
  <c r="H38" i="311"/>
  <c r="H38" i="309"/>
  <c r="H38" i="307"/>
  <c r="H38" i="308"/>
  <c r="H38" i="306"/>
  <c r="H38" i="300"/>
  <c r="G12" i="300" s="1"/>
  <c r="H38" i="299"/>
  <c r="H38" i="298"/>
  <c r="H37" i="297"/>
  <c r="H39" i="295"/>
  <c r="H38" i="296"/>
  <c r="H38" i="294"/>
  <c r="H38" i="293"/>
  <c r="H38" i="292"/>
  <c r="H40" i="291"/>
  <c r="H38" i="289"/>
  <c r="H38" i="290"/>
  <c r="H38" i="288"/>
  <c r="H38" i="287"/>
  <c r="H38" i="286"/>
  <c r="H38" i="285"/>
  <c r="H38" i="284"/>
  <c r="H38" i="283"/>
  <c r="H38" i="281"/>
  <c r="H38" i="282"/>
  <c r="H38" i="280"/>
  <c r="H38" i="279"/>
  <c r="H38" i="278"/>
  <c r="H38" i="277"/>
  <c r="H38" i="276"/>
  <c r="H38" i="275"/>
  <c r="H38" i="274"/>
  <c r="H38" i="273"/>
  <c r="H38" i="272"/>
  <c r="H38" i="270"/>
  <c r="H38" i="271"/>
  <c r="H38" i="269"/>
  <c r="H40" i="252"/>
  <c r="H38" i="267"/>
  <c r="H38" i="268"/>
  <c r="H38" i="260"/>
  <c r="H38" i="262"/>
  <c r="H38" i="261"/>
  <c r="H37" i="259"/>
  <c r="H38" i="258"/>
  <c r="H38" i="257"/>
  <c r="H38" i="255"/>
  <c r="G12" i="255" s="1"/>
  <c r="H18" i="255" s="1"/>
  <c r="H38" i="256"/>
  <c r="H39" i="251"/>
  <c r="H38" i="254"/>
  <c r="H40" i="253"/>
  <c r="H38" i="247"/>
  <c r="H38" i="248"/>
  <c r="H37" i="222"/>
  <c r="H37" i="228"/>
  <c r="H38" i="230"/>
  <c r="H38" i="232"/>
  <c r="H38" i="238"/>
  <c r="H38" i="246"/>
  <c r="H38" i="239"/>
  <c r="H38" i="241"/>
  <c r="H38" i="240"/>
  <c r="H38" i="245"/>
  <c r="H39" i="244"/>
  <c r="G44" i="53"/>
  <c r="G45" i="53"/>
  <c r="G43" i="53"/>
  <c r="H39" i="96"/>
  <c r="G43" i="110"/>
  <c r="G45" i="110"/>
  <c r="G44" i="110"/>
  <c r="H38" i="135"/>
  <c r="G34" i="45"/>
  <c r="G12" i="88"/>
  <c r="H19" i="88" s="1"/>
  <c r="G37" i="89"/>
  <c r="H41" i="89" s="1"/>
  <c r="G12" i="89" s="1"/>
  <c r="H19" i="89" s="1"/>
  <c r="H39" i="98"/>
  <c r="H38" i="106"/>
  <c r="G12" i="106" s="1"/>
  <c r="H18" i="106" s="1"/>
  <c r="H38" i="108"/>
  <c r="H38" i="107"/>
  <c r="G12" i="107" s="1"/>
  <c r="H18" i="107" s="1"/>
  <c r="G44" i="109"/>
  <c r="G43" i="109"/>
  <c r="G45" i="109"/>
  <c r="H38" i="136"/>
  <c r="H38" i="200"/>
  <c r="H37" i="179"/>
  <c r="H37" i="181"/>
  <c r="H37" i="182"/>
  <c r="H38" i="183"/>
  <c r="H38" i="184"/>
  <c r="H38" i="186"/>
  <c r="H38" i="188"/>
  <c r="H38" i="190"/>
  <c r="H38" i="192"/>
  <c r="H38" i="193"/>
  <c r="H38" i="195"/>
  <c r="H38" i="196"/>
  <c r="H38" i="197"/>
  <c r="G34" i="46"/>
  <c r="H38" i="46" s="1"/>
  <c r="H37" i="35"/>
  <c r="H39" i="35" s="1"/>
  <c r="G45" i="412" l="1"/>
  <c r="G43" i="407"/>
  <c r="G44" i="412"/>
  <c r="G45" i="414"/>
  <c r="G43" i="411"/>
  <c r="G42" i="44"/>
  <c r="G43" i="414"/>
  <c r="H46" i="414" s="1"/>
  <c r="H48" i="414" s="1"/>
  <c r="D322" i="24" s="1"/>
  <c r="F322" i="24" s="1"/>
  <c r="H46" i="412"/>
  <c r="H48" i="412" s="1"/>
  <c r="D323" i="24" s="1"/>
  <c r="G43" i="413"/>
  <c r="G44" i="413"/>
  <c r="G44" i="341"/>
  <c r="G45" i="341"/>
  <c r="G43" i="341"/>
  <c r="G43" i="346"/>
  <c r="G45" i="346"/>
  <c r="G44" i="346"/>
  <c r="G44" i="342"/>
  <c r="G43" i="342"/>
  <c r="G45" i="342"/>
  <c r="G44" i="348"/>
  <c r="G43" i="348"/>
  <c r="G45" i="348"/>
  <c r="G44" i="344"/>
  <c r="G45" i="344"/>
  <c r="G43" i="344"/>
  <c r="G44" i="323"/>
  <c r="G43" i="323"/>
  <c r="G45" i="323"/>
  <c r="G13" i="258"/>
  <c r="H18" i="258" s="1"/>
  <c r="H40" i="258" s="1"/>
  <c r="G12" i="306"/>
  <c r="H18" i="306" s="1"/>
  <c r="H40" i="306" s="1"/>
  <c r="G12" i="307"/>
  <c r="H18" i="307" s="1"/>
  <c r="H40" i="307" s="1"/>
  <c r="G12" i="311"/>
  <c r="H18" i="311" s="1"/>
  <c r="H40" i="311" s="1"/>
  <c r="G12" i="312"/>
  <c r="H18" i="312" s="1"/>
  <c r="H40" i="312" s="1"/>
  <c r="G12" i="314"/>
  <c r="H18" i="314" s="1"/>
  <c r="H40" i="314" s="1"/>
  <c r="G12" i="317"/>
  <c r="H18" i="317" s="1"/>
  <c r="H40" i="317" s="1"/>
  <c r="G12" i="316"/>
  <c r="H18" i="316" s="1"/>
  <c r="H40" i="316" s="1"/>
  <c r="G12" i="329"/>
  <c r="H18" i="329" s="1"/>
  <c r="H40" i="329" s="1"/>
  <c r="G12" i="328"/>
  <c r="H18" i="328" s="1"/>
  <c r="H40" i="328" s="1"/>
  <c r="G12" i="333"/>
  <c r="H18" i="333" s="1"/>
  <c r="H40" i="333" s="1"/>
  <c r="G12" i="336"/>
  <c r="H18" i="336" s="1"/>
  <c r="H40" i="336" s="1"/>
  <c r="G12" i="347"/>
  <c r="H18" i="347" s="1"/>
  <c r="H40" i="347" s="1"/>
  <c r="G12" i="343"/>
  <c r="H18" i="343" s="1"/>
  <c r="H40" i="343" s="1"/>
  <c r="G12" i="256"/>
  <c r="H18" i="256" s="1"/>
  <c r="H40" i="256" s="1"/>
  <c r="G13" i="257"/>
  <c r="H18" i="257" s="1"/>
  <c r="H40" i="257" s="1"/>
  <c r="G12" i="308"/>
  <c r="H18" i="308" s="1"/>
  <c r="H40" i="308" s="1"/>
  <c r="G12" i="309"/>
  <c r="H18" i="309" s="1"/>
  <c r="H40" i="309" s="1"/>
  <c r="G12" i="310"/>
  <c r="H18" i="310" s="1"/>
  <c r="H40" i="310" s="1"/>
  <c r="G12" i="313"/>
  <c r="H18" i="313" s="1"/>
  <c r="H40" i="313" s="1"/>
  <c r="G12" i="315"/>
  <c r="H18" i="315" s="1"/>
  <c r="H40" i="315" s="1"/>
  <c r="G12" i="318"/>
  <c r="H18" i="318" s="1"/>
  <c r="H40" i="318" s="1"/>
  <c r="G12" i="332"/>
  <c r="H18" i="332" s="1"/>
  <c r="H40" i="332" s="1"/>
  <c r="G12" i="334"/>
  <c r="H18" i="334" s="1"/>
  <c r="H40" i="334" s="1"/>
  <c r="G12" i="337"/>
  <c r="H18" i="337" s="1"/>
  <c r="H40" i="337" s="1"/>
  <c r="G12" i="338"/>
  <c r="H18" i="338" s="1"/>
  <c r="H40" i="338" s="1"/>
  <c r="G12" i="349"/>
  <c r="H18" i="349" s="1"/>
  <c r="H40" i="349" s="1"/>
  <c r="G12" i="345"/>
  <c r="H18" i="345" s="1"/>
  <c r="H40" i="345" s="1"/>
  <c r="G12" i="380"/>
  <c r="H17" i="380" s="1"/>
  <c r="H39" i="380" s="1"/>
  <c r="G12" i="339"/>
  <c r="H18" i="339" s="1"/>
  <c r="H40" i="339" s="1"/>
  <c r="H46" i="305"/>
  <c r="H48" i="305" s="1"/>
  <c r="D327" i="24" s="1"/>
  <c r="G44" i="409"/>
  <c r="G42" i="409"/>
  <c r="G45" i="411"/>
  <c r="H46" i="411" s="1"/>
  <c r="H48" i="411" s="1"/>
  <c r="D320" i="24" s="1"/>
  <c r="F320" i="24" s="1"/>
  <c r="G44" i="121"/>
  <c r="G43" i="121"/>
  <c r="G45" i="121"/>
  <c r="G45" i="122"/>
  <c r="G43" i="122"/>
  <c r="G44" i="122"/>
  <c r="G43" i="105"/>
  <c r="G45" i="105"/>
  <c r="G44" i="105"/>
  <c r="G12" i="277"/>
  <c r="H18" i="277" s="1"/>
  <c r="H40" i="277" s="1"/>
  <c r="G12" i="282"/>
  <c r="H18" i="282" s="1"/>
  <c r="H40" i="282" s="1"/>
  <c r="G12" i="283"/>
  <c r="H18" i="283" s="1"/>
  <c r="H40" i="283" s="1"/>
  <c r="G12" i="285"/>
  <c r="H18" i="285" s="1"/>
  <c r="H40" i="285" s="1"/>
  <c r="G12" i="287"/>
  <c r="H18" i="287" s="1"/>
  <c r="H40" i="287" s="1"/>
  <c r="H17" i="111"/>
  <c r="H39" i="111" s="1"/>
  <c r="G12" i="276"/>
  <c r="H18" i="276" s="1"/>
  <c r="H40" i="276" s="1"/>
  <c r="G12" i="281"/>
  <c r="H18" i="281" s="1"/>
  <c r="H40" i="281" s="1"/>
  <c r="G12" i="284"/>
  <c r="H18" i="284" s="1"/>
  <c r="H40" i="284" s="1"/>
  <c r="G12" i="286"/>
  <c r="H18" i="286" s="1"/>
  <c r="H40" i="286" s="1"/>
  <c r="G44" i="410"/>
  <c r="G43" i="410"/>
  <c r="G42" i="410"/>
  <c r="G43" i="120"/>
  <c r="G44" i="120"/>
  <c r="G45" i="120"/>
  <c r="G43" i="119"/>
  <c r="G45" i="119"/>
  <c r="G44" i="119"/>
  <c r="G12" i="280"/>
  <c r="H18" i="280" s="1"/>
  <c r="H40" i="280" s="1"/>
  <c r="G12" i="279"/>
  <c r="H18" i="279" s="1"/>
  <c r="H40" i="279" s="1"/>
  <c r="G12" i="278"/>
  <c r="H18" i="278" s="1"/>
  <c r="H40" i="278" s="1"/>
  <c r="G45" i="408"/>
  <c r="G43" i="408"/>
  <c r="G44" i="408"/>
  <c r="G44" i="112"/>
  <c r="G43" i="112"/>
  <c r="G45" i="249"/>
  <c r="G44" i="249"/>
  <c r="G43" i="249"/>
  <c r="G12" i="108"/>
  <c r="H18" i="108" s="1"/>
  <c r="H40" i="108" s="1"/>
  <c r="G12" i="247"/>
  <c r="H18" i="247" s="1"/>
  <c r="H40" i="247" s="1"/>
  <c r="G12" i="261"/>
  <c r="H18" i="261" s="1"/>
  <c r="H40" i="261" s="1"/>
  <c r="G12" i="260"/>
  <c r="H18" i="260" s="1"/>
  <c r="H40" i="260" s="1"/>
  <c r="G45" i="302"/>
  <c r="G43" i="302"/>
  <c r="G44" i="302"/>
  <c r="G43" i="301"/>
  <c r="G44" i="301"/>
  <c r="G45" i="301"/>
  <c r="G44" i="113"/>
  <c r="G42" i="113"/>
  <c r="G43" i="113"/>
  <c r="G12" i="289"/>
  <c r="H18" i="289" s="1"/>
  <c r="H40" i="289" s="1"/>
  <c r="G12" i="262"/>
  <c r="H18" i="262" s="1"/>
  <c r="H40" i="262" s="1"/>
  <c r="G43" i="250"/>
  <c r="G45" i="250"/>
  <c r="G44" i="250"/>
  <c r="G12" i="248"/>
  <c r="H18" i="248" s="1"/>
  <c r="H40" i="248" s="1"/>
  <c r="G44" i="114"/>
  <c r="G42" i="114"/>
  <c r="G43" i="114"/>
  <c r="G42" i="112"/>
  <c r="G45" i="56"/>
  <c r="G43" i="56"/>
  <c r="G44" i="56"/>
  <c r="G44" i="55"/>
  <c r="G45" i="55"/>
  <c r="G43" i="55"/>
  <c r="G12" i="267"/>
  <c r="H18" i="267" s="1"/>
  <c r="H40" i="267" s="1"/>
  <c r="G43" i="266"/>
  <c r="G44" i="266"/>
  <c r="G45" i="266"/>
  <c r="H46" i="407"/>
  <c r="H48" i="407" s="1"/>
  <c r="D199" i="24" s="1"/>
  <c r="G13" i="237"/>
  <c r="H18" i="237" s="1"/>
  <c r="H40" i="237" s="1"/>
  <c r="G12" i="235"/>
  <c r="H18" i="235" s="1"/>
  <c r="H40" i="235" s="1"/>
  <c r="G13" i="239"/>
  <c r="H18" i="239" s="1"/>
  <c r="H40" i="239" s="1"/>
  <c r="G13" i="238"/>
  <c r="H18" i="238" s="1"/>
  <c r="H40" i="238" s="1"/>
  <c r="G12" i="236"/>
  <c r="H18" i="236" s="1"/>
  <c r="H40" i="236" s="1"/>
  <c r="G13" i="241"/>
  <c r="H18" i="241" s="1"/>
  <c r="H40" i="241" s="1"/>
  <c r="G13" i="240"/>
  <c r="H18" i="240" s="1"/>
  <c r="H40" i="240" s="1"/>
  <c r="G12" i="192"/>
  <c r="H18" i="192" s="1"/>
  <c r="H40" i="192" s="1"/>
  <c r="G13" i="188"/>
  <c r="G13" i="211"/>
  <c r="H18" i="211" s="1"/>
  <c r="H40" i="211" s="1"/>
  <c r="G12" i="206"/>
  <c r="H18" i="206" s="1"/>
  <c r="H40" i="206" s="1"/>
  <c r="G12" i="203"/>
  <c r="H18" i="203" s="1"/>
  <c r="H40" i="203" s="1"/>
  <c r="G13" i="212"/>
  <c r="H18" i="212" s="1"/>
  <c r="H40" i="212" s="1"/>
  <c r="G12" i="209"/>
  <c r="H18" i="209" s="1"/>
  <c r="H40" i="209" s="1"/>
  <c r="G12" i="205"/>
  <c r="H18" i="205" s="1"/>
  <c r="H40" i="205" s="1"/>
  <c r="G12" i="207"/>
  <c r="H18" i="207" s="1"/>
  <c r="H40" i="207" s="1"/>
  <c r="G13" i="210"/>
  <c r="H18" i="210" s="1"/>
  <c r="H40" i="210" s="1"/>
  <c r="G12" i="208"/>
  <c r="H18" i="208" s="1"/>
  <c r="H40" i="208" s="1"/>
  <c r="G12" i="202"/>
  <c r="H18" i="202" s="1"/>
  <c r="H40" i="202" s="1"/>
  <c r="G13" i="174"/>
  <c r="G12" i="204"/>
  <c r="H18" i="204" s="1"/>
  <c r="H40" i="204" s="1"/>
  <c r="G12" i="190"/>
  <c r="H18" i="190" s="1"/>
  <c r="H40" i="190" s="1"/>
  <c r="G13" i="201"/>
  <c r="H18" i="201" s="1"/>
  <c r="H40" i="201" s="1"/>
  <c r="G13" i="200"/>
  <c r="H18" i="200" s="1"/>
  <c r="H40" i="200" s="1"/>
  <c r="G13" i="199"/>
  <c r="H18" i="199" s="1"/>
  <c r="H40" i="199" s="1"/>
  <c r="G12" i="198"/>
  <c r="H18" i="198" s="1"/>
  <c r="H40" i="198" s="1"/>
  <c r="G12" i="197"/>
  <c r="H18" i="197" s="1"/>
  <c r="H40" i="197" s="1"/>
  <c r="G12" i="196"/>
  <c r="H18" i="196" s="1"/>
  <c r="H40" i="196" s="1"/>
  <c r="G12" i="195"/>
  <c r="H18" i="195" s="1"/>
  <c r="H40" i="195" s="1"/>
  <c r="G12" i="194"/>
  <c r="H18" i="194" s="1"/>
  <c r="H40" i="194" s="1"/>
  <c r="G12" i="193"/>
  <c r="H18" i="193" s="1"/>
  <c r="H40" i="193" s="1"/>
  <c r="G12" i="191"/>
  <c r="H18" i="191" s="1"/>
  <c r="H40" i="191" s="1"/>
  <c r="G13" i="189"/>
  <c r="G13" i="175"/>
  <c r="G13" i="187"/>
  <c r="H18" i="187" s="1"/>
  <c r="H40" i="187" s="1"/>
  <c r="G13" i="173"/>
  <c r="G13" i="186"/>
  <c r="G13" i="172"/>
  <c r="G13" i="185"/>
  <c r="G13" i="171"/>
  <c r="G13" i="184"/>
  <c r="G13" i="170"/>
  <c r="H18" i="170" s="1"/>
  <c r="H40" i="170" s="1"/>
  <c r="G13" i="183"/>
  <c r="G13" i="169"/>
  <c r="H18" i="169" s="1"/>
  <c r="H40" i="169" s="1"/>
  <c r="G13" i="167"/>
  <c r="H18" i="167" s="1"/>
  <c r="H40" i="167" s="1"/>
  <c r="G13" i="166"/>
  <c r="G13" i="168"/>
  <c r="H18" i="168" s="1"/>
  <c r="H40" i="168" s="1"/>
  <c r="G13" i="165"/>
  <c r="H18" i="165" s="1"/>
  <c r="H40" i="165" s="1"/>
  <c r="G13" i="164"/>
  <c r="G13" i="163"/>
  <c r="G13" i="162"/>
  <c r="G12" i="161"/>
  <c r="G12" i="160"/>
  <c r="H17" i="160" s="1"/>
  <c r="H39" i="160" s="1"/>
  <c r="G12" i="159"/>
  <c r="G12" i="158"/>
  <c r="G12" i="157"/>
  <c r="G12" i="156"/>
  <c r="G12" i="137"/>
  <c r="G12" i="155"/>
  <c r="G12" i="154"/>
  <c r="G12" i="153"/>
  <c r="G13" i="143"/>
  <c r="H18" i="143" s="1"/>
  <c r="H40" i="143" s="1"/>
  <c r="G13" i="142"/>
  <c r="H18" i="142" s="1"/>
  <c r="H40" i="142" s="1"/>
  <c r="G13" i="141"/>
  <c r="H18" i="141" s="1"/>
  <c r="H40" i="141" s="1"/>
  <c r="G12" i="140"/>
  <c r="G12" i="139"/>
  <c r="G12" i="138"/>
  <c r="G12" i="136"/>
  <c r="G12" i="135"/>
  <c r="G43" i="74"/>
  <c r="G42" i="74"/>
  <c r="G41" i="74"/>
  <c r="G43" i="73"/>
  <c r="G44" i="73"/>
  <c r="G45" i="73"/>
  <c r="G44" i="72"/>
  <c r="G45" i="72"/>
  <c r="G43" i="72"/>
  <c r="G43" i="71"/>
  <c r="G44" i="71"/>
  <c r="G45" i="71"/>
  <c r="G44" i="70"/>
  <c r="G45" i="70"/>
  <c r="G43" i="70"/>
  <c r="G43" i="69"/>
  <c r="G44" i="69"/>
  <c r="G45" i="69"/>
  <c r="G43" i="67"/>
  <c r="G44" i="67"/>
  <c r="G45" i="67"/>
  <c r="G44" i="66"/>
  <c r="G43" i="66"/>
  <c r="G45" i="66"/>
  <c r="G45" i="65"/>
  <c r="G44" i="65"/>
  <c r="G43" i="65"/>
  <c r="G45" i="54"/>
  <c r="G44" i="54"/>
  <c r="G43" i="54"/>
  <c r="G44" i="116"/>
  <c r="G43" i="116"/>
  <c r="G45" i="116"/>
  <c r="G45" i="117"/>
  <c r="G43" i="117"/>
  <c r="G44" i="117"/>
  <c r="G45" i="115"/>
  <c r="G43" i="115"/>
  <c r="G44" i="115"/>
  <c r="H18" i="300"/>
  <c r="H40" i="300" s="1"/>
  <c r="G12" i="299"/>
  <c r="H18" i="299" s="1"/>
  <c r="H40" i="299" s="1"/>
  <c r="G12" i="298"/>
  <c r="H18" i="298" s="1"/>
  <c r="H40" i="298" s="1"/>
  <c r="G12" i="254"/>
  <c r="H18" i="254" s="1"/>
  <c r="G12" i="253"/>
  <c r="H18" i="253" s="1"/>
  <c r="G12" i="246"/>
  <c r="H18" i="246" s="1"/>
  <c r="G12" i="245"/>
  <c r="H18" i="245" s="1"/>
  <c r="G12" i="58"/>
  <c r="H18" i="58" s="1"/>
  <c r="H40" i="58" s="1"/>
  <c r="H18" i="101"/>
  <c r="H40" i="101" s="1"/>
  <c r="G12" i="296"/>
  <c r="H18" i="296" s="1"/>
  <c r="H40" i="296" s="1"/>
  <c r="G12" i="397"/>
  <c r="H18" i="397" s="1"/>
  <c r="H40" i="397" s="1"/>
  <c r="G12" i="244"/>
  <c r="H18" i="244" s="1"/>
  <c r="G12" i="252"/>
  <c r="H18" i="252" s="1"/>
  <c r="G45" i="68"/>
  <c r="G43" i="68"/>
  <c r="G44" i="68"/>
  <c r="H46" i="53"/>
  <c r="H48" i="53" s="1"/>
  <c r="G43" i="52"/>
  <c r="G44" i="52"/>
  <c r="G45" i="51"/>
  <c r="G44" i="51"/>
  <c r="G43" i="51"/>
  <c r="G44" i="50"/>
  <c r="G45" i="50"/>
  <c r="G43" i="50"/>
  <c r="G13" i="46"/>
  <c r="H18" i="46" s="1"/>
  <c r="H40" i="46" s="1"/>
  <c r="G41" i="44"/>
  <c r="G43" i="44"/>
  <c r="H18" i="100"/>
  <c r="H40" i="100" s="1"/>
  <c r="G44" i="100" s="1"/>
  <c r="G12" i="288"/>
  <c r="H18" i="288" s="1"/>
  <c r="H40" i="288" s="1"/>
  <c r="G44" i="288" s="1"/>
  <c r="H43" i="403"/>
  <c r="H18" i="404"/>
  <c r="H43" i="404" s="1"/>
  <c r="G12" i="275"/>
  <c r="H18" i="275" s="1"/>
  <c r="H40" i="275" s="1"/>
  <c r="G12" i="274"/>
  <c r="H18" i="274" s="1"/>
  <c r="H40" i="274" s="1"/>
  <c r="G12" i="273"/>
  <c r="H18" i="273" s="1"/>
  <c r="H40" i="273" s="1"/>
  <c r="G12" i="272"/>
  <c r="H18" i="272" s="1"/>
  <c r="H40" i="272" s="1"/>
  <c r="G12" i="271"/>
  <c r="H18" i="271" s="1"/>
  <c r="H40" i="271" s="1"/>
  <c r="G12" i="270"/>
  <c r="H18" i="270" s="1"/>
  <c r="H40" i="270" s="1"/>
  <c r="G12" i="269"/>
  <c r="H18" i="269" s="1"/>
  <c r="H40" i="269" s="1"/>
  <c r="G12" i="268"/>
  <c r="H18" i="268" s="1"/>
  <c r="H40" i="268" s="1"/>
  <c r="G12" i="290"/>
  <c r="H18" i="290" s="1"/>
  <c r="H40" i="290" s="1"/>
  <c r="G43" i="398"/>
  <c r="G45" i="398"/>
  <c r="G44" i="398"/>
  <c r="G47" i="402"/>
  <c r="G46" i="402"/>
  <c r="G48" i="402"/>
  <c r="G47" i="401"/>
  <c r="G46" i="401"/>
  <c r="G48" i="401"/>
  <c r="G12" i="148"/>
  <c r="G12" i="182"/>
  <c r="G12" i="181"/>
  <c r="G12" i="180"/>
  <c r="G12" i="179"/>
  <c r="G12" i="178"/>
  <c r="G12" i="177"/>
  <c r="G12" i="176"/>
  <c r="G12" i="152"/>
  <c r="G12" i="151"/>
  <c r="G12" i="150"/>
  <c r="G12" i="149"/>
  <c r="G12" i="147"/>
  <c r="H18" i="147" s="1"/>
  <c r="H40" i="147" s="1"/>
  <c r="G12" i="146"/>
  <c r="H18" i="146" s="1"/>
  <c r="H40" i="146" s="1"/>
  <c r="G12" i="145"/>
  <c r="H18" i="145" s="1"/>
  <c r="H40" i="145" s="1"/>
  <c r="G12" i="144"/>
  <c r="H18" i="144" s="1"/>
  <c r="H40" i="144" s="1"/>
  <c r="G12" i="134"/>
  <c r="G12" i="133"/>
  <c r="G12" i="132"/>
  <c r="G12" i="131"/>
  <c r="G12" i="130"/>
  <c r="G12" i="129"/>
  <c r="G12" i="128"/>
  <c r="G12" i="127"/>
  <c r="G12" i="126"/>
  <c r="G43" i="304"/>
  <c r="G44" i="304"/>
  <c r="G42" i="304"/>
  <c r="G44" i="385"/>
  <c r="G45" i="385"/>
  <c r="G43" i="385"/>
  <c r="G43" i="382"/>
  <c r="G42" i="382"/>
  <c r="G44" i="382"/>
  <c r="G43" i="365"/>
  <c r="G44" i="365"/>
  <c r="G45" i="365"/>
  <c r="G12" i="393"/>
  <c r="H17" i="393" s="1"/>
  <c r="H39" i="393" s="1"/>
  <c r="G12" i="389"/>
  <c r="H17" i="389" s="1"/>
  <c r="H39" i="389" s="1"/>
  <c r="G12" i="381"/>
  <c r="H17" i="381" s="1"/>
  <c r="H39" i="381" s="1"/>
  <c r="G12" i="371"/>
  <c r="H18" i="371" s="1"/>
  <c r="H40" i="371" s="1"/>
  <c r="G12" i="367"/>
  <c r="H18" i="367" s="1"/>
  <c r="H40" i="367" s="1"/>
  <c r="G12" i="361"/>
  <c r="H18" i="361" s="1"/>
  <c r="H40" i="361" s="1"/>
  <c r="G12" i="357"/>
  <c r="H18" i="357" s="1"/>
  <c r="H40" i="357" s="1"/>
  <c r="G12" i="392"/>
  <c r="H17" i="392" s="1"/>
  <c r="H39" i="392" s="1"/>
  <c r="G12" i="386"/>
  <c r="H17" i="386" s="1"/>
  <c r="H39" i="386" s="1"/>
  <c r="G12" i="372"/>
  <c r="H18" i="372" s="1"/>
  <c r="H40" i="372" s="1"/>
  <c r="G12" i="368"/>
  <c r="H18" i="368" s="1"/>
  <c r="H40" i="368" s="1"/>
  <c r="G12" i="364"/>
  <c r="H18" i="364" s="1"/>
  <c r="H40" i="364" s="1"/>
  <c r="G12" i="360"/>
  <c r="H18" i="360" s="1"/>
  <c r="H40" i="360" s="1"/>
  <c r="G12" i="356"/>
  <c r="H18" i="356" s="1"/>
  <c r="H40" i="356" s="1"/>
  <c r="G12" i="387"/>
  <c r="H17" i="387" s="1"/>
  <c r="H39" i="387" s="1"/>
  <c r="G12" i="388"/>
  <c r="H17" i="388" s="1"/>
  <c r="H39" i="388" s="1"/>
  <c r="G42" i="399"/>
  <c r="G44" i="399"/>
  <c r="G43" i="399"/>
  <c r="G12" i="395"/>
  <c r="H17" i="395" s="1"/>
  <c r="H39" i="395" s="1"/>
  <c r="G12" i="391"/>
  <c r="H17" i="391" s="1"/>
  <c r="H39" i="391" s="1"/>
  <c r="G12" i="383"/>
  <c r="H17" i="383" s="1"/>
  <c r="H39" i="383" s="1"/>
  <c r="G12" i="373"/>
  <c r="H18" i="373" s="1"/>
  <c r="H40" i="373" s="1"/>
  <c r="G12" i="369"/>
  <c r="H18" i="369" s="1"/>
  <c r="H40" i="369" s="1"/>
  <c r="G12" i="363"/>
  <c r="H18" i="363" s="1"/>
  <c r="H40" i="363" s="1"/>
  <c r="G12" i="359"/>
  <c r="H18" i="359" s="1"/>
  <c r="H40" i="359" s="1"/>
  <c r="G12" i="394"/>
  <c r="H17" i="394" s="1"/>
  <c r="H39" i="394" s="1"/>
  <c r="G12" i="390"/>
  <c r="H17" i="390" s="1"/>
  <c r="H39" i="390" s="1"/>
  <c r="G12" i="384"/>
  <c r="H17" i="384" s="1"/>
  <c r="H39" i="384" s="1"/>
  <c r="G12" i="370"/>
  <c r="H18" i="370" s="1"/>
  <c r="H40" i="370" s="1"/>
  <c r="G12" i="366"/>
  <c r="H18" i="366" s="1"/>
  <c r="H40" i="366" s="1"/>
  <c r="G12" i="362"/>
  <c r="H18" i="362" s="1"/>
  <c r="H40" i="362" s="1"/>
  <c r="G12" i="358"/>
  <c r="H18" i="358" s="1"/>
  <c r="H40" i="358" s="1"/>
  <c r="G43" i="400"/>
  <c r="G44" i="400"/>
  <c r="G42" i="400"/>
  <c r="G12" i="355"/>
  <c r="H18" i="355" s="1"/>
  <c r="H40" i="355" s="1"/>
  <c r="G12" i="354"/>
  <c r="H17" i="354" s="1"/>
  <c r="H39" i="354" s="1"/>
  <c r="G12" i="353"/>
  <c r="H18" i="353" s="1"/>
  <c r="H40" i="353" s="1"/>
  <c r="G42" i="352"/>
  <c r="G43" i="352"/>
  <c r="G44" i="352"/>
  <c r="G12" i="379"/>
  <c r="H17" i="379" s="1"/>
  <c r="H39" i="379" s="1"/>
  <c r="G44" i="379" s="1"/>
  <c r="G12" i="378"/>
  <c r="H17" i="378" s="1"/>
  <c r="H39" i="378" s="1"/>
  <c r="G12" i="377"/>
  <c r="H17" i="377" s="1"/>
  <c r="H39" i="377" s="1"/>
  <c r="G12" i="376"/>
  <c r="H17" i="376" s="1"/>
  <c r="H40" i="376" s="1"/>
  <c r="G12" i="375"/>
  <c r="H17" i="375" s="1"/>
  <c r="H40" i="375" s="1"/>
  <c r="G12" i="374"/>
  <c r="H17" i="374" s="1"/>
  <c r="H40" i="374" s="1"/>
  <c r="G12" i="331"/>
  <c r="H17" i="331" s="1"/>
  <c r="H39" i="331" s="1"/>
  <c r="G12" i="330"/>
  <c r="H17" i="330" s="1"/>
  <c r="H39" i="330" s="1"/>
  <c r="G44" i="303"/>
  <c r="G43" i="303"/>
  <c r="G42" i="303"/>
  <c r="G45" i="327"/>
  <c r="G46" i="327"/>
  <c r="G44" i="327"/>
  <c r="G44" i="326"/>
  <c r="G45" i="326"/>
  <c r="G46" i="326"/>
  <c r="H17" i="325"/>
  <c r="H41" i="325" s="1"/>
  <c r="G46" i="324"/>
  <c r="G44" i="324"/>
  <c r="G45" i="324"/>
  <c r="G43" i="321"/>
  <c r="G42" i="321"/>
  <c r="G44" i="321"/>
  <c r="G44" i="322"/>
  <c r="G42" i="322"/>
  <c r="G43" i="322"/>
  <c r="G43" i="320"/>
  <c r="G44" i="320"/>
  <c r="G42" i="320"/>
  <c r="G44" i="319"/>
  <c r="G43" i="319"/>
  <c r="G42" i="319"/>
  <c r="G44" i="264"/>
  <c r="G43" i="264"/>
  <c r="G45" i="264"/>
  <c r="G44" i="103"/>
  <c r="G43" i="103"/>
  <c r="G45" i="103"/>
  <c r="G12" i="98"/>
  <c r="H18" i="98" s="1"/>
  <c r="G12" i="96"/>
  <c r="G12" i="222"/>
  <c r="H17" i="222" s="1"/>
  <c r="H39" i="222" s="1"/>
  <c r="G12" i="259"/>
  <c r="H17" i="259" s="1"/>
  <c r="H39" i="259" s="1"/>
  <c r="G12" i="335"/>
  <c r="H17" i="335" s="1"/>
  <c r="H39" i="335" s="1"/>
  <c r="G12" i="221"/>
  <c r="H17" i="221" s="1"/>
  <c r="H39" i="221" s="1"/>
  <c r="G12" i="223"/>
  <c r="H17" i="223" s="1"/>
  <c r="H39" i="223" s="1"/>
  <c r="G12" i="218"/>
  <c r="H17" i="218" s="1"/>
  <c r="H39" i="218" s="1"/>
  <c r="G12" i="215"/>
  <c r="H17" i="215" s="1"/>
  <c r="H39" i="215" s="1"/>
  <c r="G12" i="217"/>
  <c r="H17" i="217" s="1"/>
  <c r="H39" i="217" s="1"/>
  <c r="G12" i="213"/>
  <c r="H17" i="213" s="1"/>
  <c r="H39" i="213" s="1"/>
  <c r="H18" i="124"/>
  <c r="H40" i="124" s="1"/>
  <c r="G12" i="99"/>
  <c r="H18" i="99" s="1"/>
  <c r="G12" i="251"/>
  <c r="H17" i="251" s="1"/>
  <c r="G12" i="224"/>
  <c r="H17" i="224" s="1"/>
  <c r="H39" i="224" s="1"/>
  <c r="G12" i="220"/>
  <c r="H17" i="220" s="1"/>
  <c r="H39" i="220" s="1"/>
  <c r="G12" i="216"/>
  <c r="H17" i="216" s="1"/>
  <c r="H39" i="216" s="1"/>
  <c r="G12" i="97"/>
  <c r="G12" i="123"/>
  <c r="H17" i="123" s="1"/>
  <c r="G12" i="95"/>
  <c r="G12" i="94"/>
  <c r="H19" i="94" s="1"/>
  <c r="G12" i="297"/>
  <c r="H17" i="297" s="1"/>
  <c r="H39" i="297" s="1"/>
  <c r="G13" i="232"/>
  <c r="H18" i="232" s="1"/>
  <c r="H40" i="232" s="1"/>
  <c r="G13" i="231"/>
  <c r="H18" i="231" s="1"/>
  <c r="H40" i="231" s="1"/>
  <c r="G13" i="230"/>
  <c r="H18" i="230" s="1"/>
  <c r="H40" i="230" s="1"/>
  <c r="G13" i="229"/>
  <c r="H18" i="229" s="1"/>
  <c r="H40" i="229" s="1"/>
  <c r="G13" i="227"/>
  <c r="H18" i="227" s="1"/>
  <c r="H40" i="227" s="1"/>
  <c r="G12" i="228"/>
  <c r="H17" i="228" s="1"/>
  <c r="H39" i="228" s="1"/>
  <c r="G12" i="226"/>
  <c r="H17" i="226" s="1"/>
  <c r="H39" i="226" s="1"/>
  <c r="G12" i="225"/>
  <c r="H17" i="225" s="1"/>
  <c r="H39" i="225" s="1"/>
  <c r="G12" i="219"/>
  <c r="H17" i="219" s="1"/>
  <c r="H39" i="219" s="1"/>
  <c r="G12" i="214"/>
  <c r="H17" i="214" s="1"/>
  <c r="H39" i="214" s="1"/>
  <c r="G12" i="291"/>
  <c r="H18" i="291" s="1"/>
  <c r="H42" i="291" s="1"/>
  <c r="G12" i="294"/>
  <c r="H18" i="294" s="1"/>
  <c r="H40" i="294" s="1"/>
  <c r="G12" i="293"/>
  <c r="H18" i="293" s="1"/>
  <c r="H40" i="293" s="1"/>
  <c r="G13" i="292"/>
  <c r="H18" i="292" s="1"/>
  <c r="H40" i="292" s="1"/>
  <c r="G12" i="295"/>
  <c r="H18" i="295" s="1"/>
  <c r="H41" i="295" s="1"/>
  <c r="H18" i="125"/>
  <c r="H40" i="125" s="1"/>
  <c r="G44" i="63"/>
  <c r="G43" i="63"/>
  <c r="G45" i="63"/>
  <c r="G45" i="64"/>
  <c r="G44" i="64"/>
  <c r="G43" i="64"/>
  <c r="G45" i="62"/>
  <c r="G44" i="62"/>
  <c r="G43" i="62"/>
  <c r="G43" i="60"/>
  <c r="G45" i="60"/>
  <c r="G44" i="60"/>
  <c r="G44" i="59"/>
  <c r="G45" i="59"/>
  <c r="G43" i="59"/>
  <c r="G44" i="40"/>
  <c r="G42" i="40"/>
  <c r="G43" i="40"/>
  <c r="G12" i="92"/>
  <c r="H17" i="92" s="1"/>
  <c r="H38" i="45"/>
  <c r="H18" i="57"/>
  <c r="H40" i="57" s="1"/>
  <c r="G44" i="49"/>
  <c r="G43" i="49"/>
  <c r="G45" i="49"/>
  <c r="G45" i="37"/>
  <c r="G44" i="37"/>
  <c r="G43" i="37"/>
  <c r="H43" i="89"/>
  <c r="H43" i="88"/>
  <c r="H43" i="87"/>
  <c r="H46" i="341"/>
  <c r="H48" i="341" s="1"/>
  <c r="D366" i="24" s="1"/>
  <c r="H46" i="348"/>
  <c r="H48" i="348" s="1"/>
  <c r="D373" i="24" s="1"/>
  <c r="H46" i="346"/>
  <c r="H48" i="346" s="1"/>
  <c r="D371" i="24" s="1"/>
  <c r="H46" i="344"/>
  <c r="H48" i="344" s="1"/>
  <c r="D369" i="24" s="1"/>
  <c r="H46" i="342"/>
  <c r="H48" i="342" s="1"/>
  <c r="D367" i="24" s="1"/>
  <c r="H46" i="323"/>
  <c r="H48" i="323" s="1"/>
  <c r="D348" i="24" s="1"/>
  <c r="H46" i="51"/>
  <c r="H48" i="51" s="1"/>
  <c r="D25" i="24" s="1"/>
  <c r="H46" i="109"/>
  <c r="H48" i="109" s="1"/>
  <c r="D98" i="24" s="1"/>
  <c r="H46" i="73"/>
  <c r="H48" i="73" s="1"/>
  <c r="D50" i="24" s="1"/>
  <c r="H46" i="72"/>
  <c r="H48" i="72" s="1"/>
  <c r="D49" i="24" s="1"/>
  <c r="H46" i="65"/>
  <c r="H48" i="65" s="1"/>
  <c r="D40" i="24" s="1"/>
  <c r="H46" i="110"/>
  <c r="H48" i="110" s="1"/>
  <c r="H46" i="66"/>
  <c r="H48" i="66" s="1"/>
  <c r="D41" i="24" s="1"/>
  <c r="G44" i="35"/>
  <c r="G43" i="35"/>
  <c r="G42" i="35"/>
  <c r="F323" i="24" l="1"/>
  <c r="H46" i="408"/>
  <c r="H48" i="408" s="1"/>
  <c r="D213" i="24" s="1"/>
  <c r="H213" i="24" s="1"/>
  <c r="G46" i="87"/>
  <c r="H40" i="24"/>
  <c r="F40" i="24"/>
  <c r="H50" i="24"/>
  <c r="F50" i="24"/>
  <c r="H25" i="24"/>
  <c r="F25" i="24"/>
  <c r="H367" i="24"/>
  <c r="F367" i="24"/>
  <c r="H371" i="24"/>
  <c r="F371" i="24"/>
  <c r="H366" i="24"/>
  <c r="F366" i="24"/>
  <c r="H41" i="24"/>
  <c r="F41" i="24"/>
  <c r="H49" i="24"/>
  <c r="F49" i="24"/>
  <c r="H98" i="24"/>
  <c r="F98" i="24"/>
  <c r="H348" i="24"/>
  <c r="F348" i="24"/>
  <c r="H369" i="24"/>
  <c r="F369" i="24"/>
  <c r="H373" i="24"/>
  <c r="F373" i="24"/>
  <c r="H199" i="24"/>
  <c r="F199" i="24"/>
  <c r="H327" i="24"/>
  <c r="F327" i="24"/>
  <c r="H46" i="413"/>
  <c r="H48" i="413" s="1"/>
  <c r="D321" i="24" s="1"/>
  <c r="F321" i="24" s="1"/>
  <c r="G42" i="380"/>
  <c r="G43" i="380"/>
  <c r="G44" i="380"/>
  <c r="G44" i="349"/>
  <c r="G45" i="349"/>
  <c r="G43" i="349"/>
  <c r="G44" i="337"/>
  <c r="G45" i="337"/>
  <c r="G43" i="337"/>
  <c r="G45" i="332"/>
  <c r="G43" i="332"/>
  <c r="G44" i="332"/>
  <c r="G45" i="315"/>
  <c r="G43" i="315"/>
  <c r="G44" i="315"/>
  <c r="G44" i="310"/>
  <c r="G45" i="310"/>
  <c r="G43" i="310"/>
  <c r="G45" i="308"/>
  <c r="G44" i="308"/>
  <c r="G43" i="308"/>
  <c r="G45" i="256"/>
  <c r="G44" i="256"/>
  <c r="G43" i="256"/>
  <c r="G43" i="339"/>
  <c r="G44" i="339"/>
  <c r="G45" i="339"/>
  <c r="G43" i="345"/>
  <c r="G44" i="345"/>
  <c r="G45" i="345"/>
  <c r="G43" i="338"/>
  <c r="G44" i="338"/>
  <c r="G45" i="338"/>
  <c r="G45" i="334"/>
  <c r="G44" i="334"/>
  <c r="G43" i="334"/>
  <c r="G43" i="318"/>
  <c r="G45" i="318"/>
  <c r="G44" i="318"/>
  <c r="G43" i="313"/>
  <c r="G45" i="313"/>
  <c r="G44" i="313"/>
  <c r="G43" i="309"/>
  <c r="G44" i="309"/>
  <c r="G45" i="309"/>
  <c r="G44" i="257"/>
  <c r="G43" i="257"/>
  <c r="G45" i="257"/>
  <c r="G45" i="343"/>
  <c r="G43" i="343"/>
  <c r="G44" i="343"/>
  <c r="G45" i="336"/>
  <c r="G44" i="336"/>
  <c r="G43" i="336"/>
  <c r="G43" i="328"/>
  <c r="G44" i="328"/>
  <c r="G45" i="328"/>
  <c r="G43" i="316"/>
  <c r="G45" i="316"/>
  <c r="G44" i="316"/>
  <c r="G43" i="314"/>
  <c r="G45" i="314"/>
  <c r="G44" i="314"/>
  <c r="G45" i="311"/>
  <c r="G44" i="311"/>
  <c r="G43" i="311"/>
  <c r="G43" i="306"/>
  <c r="G45" i="306"/>
  <c r="G44" i="306"/>
  <c r="G45" i="347"/>
  <c r="G43" i="347"/>
  <c r="G44" i="347"/>
  <c r="G43" i="333"/>
  <c r="G44" i="333"/>
  <c r="G45" i="333"/>
  <c r="G43" i="329"/>
  <c r="G44" i="329"/>
  <c r="G45" i="329"/>
  <c r="G43" i="317"/>
  <c r="G44" i="317"/>
  <c r="G45" i="317"/>
  <c r="G43" i="312"/>
  <c r="G45" i="312"/>
  <c r="G44" i="312"/>
  <c r="G44" i="307"/>
  <c r="G45" i="307"/>
  <c r="G43" i="307"/>
  <c r="G44" i="258"/>
  <c r="G45" i="258"/>
  <c r="G43" i="258"/>
  <c r="H45" i="409"/>
  <c r="H47" i="409" s="1"/>
  <c r="D237" i="24" s="1"/>
  <c r="H46" i="249"/>
  <c r="H48" i="249" s="1"/>
  <c r="D266" i="24" s="1"/>
  <c r="H46" i="120"/>
  <c r="H48" i="120" s="1"/>
  <c r="D108" i="24" s="1"/>
  <c r="H46" i="105"/>
  <c r="H48" i="105" s="1"/>
  <c r="D94" i="24" s="1"/>
  <c r="H46" i="122"/>
  <c r="H48" i="122" s="1"/>
  <c r="D110" i="24" s="1"/>
  <c r="H46" i="121"/>
  <c r="H48" i="121" s="1"/>
  <c r="D109" i="24" s="1"/>
  <c r="H46" i="250"/>
  <c r="H48" i="250" s="1"/>
  <c r="D267" i="24" s="1"/>
  <c r="G43" i="284"/>
  <c r="G44" i="284"/>
  <c r="G45" i="284"/>
  <c r="G45" i="276"/>
  <c r="G44" i="276"/>
  <c r="G43" i="276"/>
  <c r="G44" i="287"/>
  <c r="G45" i="287"/>
  <c r="G43" i="287"/>
  <c r="G43" i="283"/>
  <c r="G45" i="283"/>
  <c r="G44" i="283"/>
  <c r="G43" i="277"/>
  <c r="G44" i="277"/>
  <c r="G45" i="277"/>
  <c r="G43" i="286"/>
  <c r="G44" i="286"/>
  <c r="G45" i="286"/>
  <c r="G43" i="281"/>
  <c r="G44" i="281"/>
  <c r="G45" i="281"/>
  <c r="G42" i="111"/>
  <c r="G43" i="111"/>
  <c r="G44" i="111"/>
  <c r="G45" i="285"/>
  <c r="G44" i="285"/>
  <c r="G43" i="285"/>
  <c r="G43" i="282"/>
  <c r="G44" i="282"/>
  <c r="G45" i="282"/>
  <c r="H45" i="410"/>
  <c r="H47" i="410" s="1"/>
  <c r="D228" i="24" s="1"/>
  <c r="H46" i="115"/>
  <c r="H48" i="115" s="1"/>
  <c r="D103" i="24" s="1"/>
  <c r="H46" i="54"/>
  <c r="H48" i="54" s="1"/>
  <c r="H46" i="69"/>
  <c r="H48" i="69" s="1"/>
  <c r="D45" i="24" s="1"/>
  <c r="H46" i="71"/>
  <c r="H48" i="71" s="1"/>
  <c r="D47" i="24" s="1"/>
  <c r="H46" i="55"/>
  <c r="H48" i="55" s="1"/>
  <c r="D27" i="24" s="1"/>
  <c r="H45" i="113"/>
  <c r="H47" i="113" s="1"/>
  <c r="D101" i="24" s="1"/>
  <c r="H46" i="119"/>
  <c r="H48" i="119" s="1"/>
  <c r="D107" i="24" s="1"/>
  <c r="H46" i="385"/>
  <c r="H48" i="385" s="1"/>
  <c r="D417" i="24" s="1"/>
  <c r="H46" i="117"/>
  <c r="H48" i="117" s="1"/>
  <c r="D105" i="24" s="1"/>
  <c r="H46" i="70"/>
  <c r="H48" i="70" s="1"/>
  <c r="D46" i="24" s="1"/>
  <c r="H44" i="74"/>
  <c r="H46" i="74" s="1"/>
  <c r="D51" i="24" s="1"/>
  <c r="H46" i="56"/>
  <c r="H48" i="56" s="1"/>
  <c r="D28" i="24" s="1"/>
  <c r="H45" i="114"/>
  <c r="H47" i="114" s="1"/>
  <c r="D102" i="24" s="1"/>
  <c r="H46" i="116"/>
  <c r="H48" i="116" s="1"/>
  <c r="D104" i="24" s="1"/>
  <c r="H46" i="67"/>
  <c r="H48" i="67" s="1"/>
  <c r="D42" i="24" s="1"/>
  <c r="H45" i="112"/>
  <c r="H47" i="112" s="1"/>
  <c r="D100" i="24" s="1"/>
  <c r="H45" i="382"/>
  <c r="H47" i="382" s="1"/>
  <c r="D412" i="24" s="1"/>
  <c r="G44" i="280"/>
  <c r="G45" i="280"/>
  <c r="G43" i="280"/>
  <c r="G45" i="279"/>
  <c r="G44" i="279"/>
  <c r="G43" i="279"/>
  <c r="G44" i="278"/>
  <c r="G43" i="278"/>
  <c r="G45" i="278"/>
  <c r="H46" i="266"/>
  <c r="H48" i="266" s="1"/>
  <c r="D283" i="24" s="1"/>
  <c r="G44" i="261"/>
  <c r="G45" i="261"/>
  <c r="G43" i="261"/>
  <c r="G45" i="108"/>
  <c r="G43" i="108"/>
  <c r="G44" i="108"/>
  <c r="G43" i="260"/>
  <c r="G45" i="260"/>
  <c r="G44" i="260"/>
  <c r="G44" i="247"/>
  <c r="G45" i="247"/>
  <c r="G43" i="247"/>
  <c r="H46" i="302"/>
  <c r="H48" i="302" s="1"/>
  <c r="D319" i="24" s="1"/>
  <c r="H46" i="301"/>
  <c r="H48" i="301" s="1"/>
  <c r="D318" i="24" s="1"/>
  <c r="G44" i="289"/>
  <c r="G43" i="289"/>
  <c r="G45" i="289"/>
  <c r="G44" i="262"/>
  <c r="G43" i="262"/>
  <c r="G45" i="262"/>
  <c r="G44" i="248"/>
  <c r="G43" i="248"/>
  <c r="G45" i="248"/>
  <c r="G45" i="267"/>
  <c r="G43" i="267"/>
  <c r="G44" i="267"/>
  <c r="H18" i="188"/>
  <c r="H40" i="188" s="1"/>
  <c r="G44" i="188" s="1"/>
  <c r="G44" i="238"/>
  <c r="G45" i="238"/>
  <c r="G43" i="238"/>
  <c r="G44" i="235"/>
  <c r="G43" i="235"/>
  <c r="G45" i="235"/>
  <c r="G44" i="236"/>
  <c r="G45" i="236"/>
  <c r="G43" i="236"/>
  <c r="G45" i="239"/>
  <c r="G43" i="239"/>
  <c r="G44" i="239"/>
  <c r="G44" i="237"/>
  <c r="G45" i="237"/>
  <c r="G43" i="237"/>
  <c r="G44" i="241"/>
  <c r="G45" i="241"/>
  <c r="G43" i="241"/>
  <c r="G43" i="240"/>
  <c r="G45" i="240"/>
  <c r="G44" i="240"/>
  <c r="H46" i="365"/>
  <c r="H48" i="365" s="1"/>
  <c r="D393" i="24" s="1"/>
  <c r="H18" i="185"/>
  <c r="H40" i="185" s="1"/>
  <c r="G44" i="185" s="1"/>
  <c r="H18" i="189"/>
  <c r="H40" i="189" s="1"/>
  <c r="G44" i="189" s="1"/>
  <c r="G45" i="208"/>
  <c r="G43" i="208"/>
  <c r="G44" i="208"/>
  <c r="G43" i="207"/>
  <c r="G45" i="207"/>
  <c r="G44" i="207"/>
  <c r="G44" i="209"/>
  <c r="G43" i="209"/>
  <c r="G45" i="209"/>
  <c r="G44" i="203"/>
  <c r="G43" i="203"/>
  <c r="G45" i="203"/>
  <c r="G43" i="211"/>
  <c r="G45" i="211"/>
  <c r="G44" i="211"/>
  <c r="G43" i="202"/>
  <c r="G44" i="202"/>
  <c r="G45" i="202"/>
  <c r="G45" i="210"/>
  <c r="G43" i="210"/>
  <c r="G44" i="210"/>
  <c r="G44" i="205"/>
  <c r="G43" i="205"/>
  <c r="G45" i="205"/>
  <c r="H46" i="205" s="1"/>
  <c r="H48" i="205" s="1"/>
  <c r="D214" i="24" s="1"/>
  <c r="F214" i="24" s="1"/>
  <c r="G44" i="212"/>
  <c r="G45" i="212"/>
  <c r="G43" i="212"/>
  <c r="G44" i="206"/>
  <c r="H46" i="206" s="1"/>
  <c r="H48" i="206" s="1"/>
  <c r="D215" i="24" s="1"/>
  <c r="F215" i="24" s="1"/>
  <c r="G43" i="206"/>
  <c r="G45" i="206"/>
  <c r="G45" i="192"/>
  <c r="G44" i="192"/>
  <c r="G43" i="192"/>
  <c r="H18" i="171"/>
  <c r="H40" i="171" s="1"/>
  <c r="G45" i="171" s="1"/>
  <c r="H18" i="174"/>
  <c r="H40" i="174" s="1"/>
  <c r="H18" i="186"/>
  <c r="H40" i="186" s="1"/>
  <c r="G44" i="186" s="1"/>
  <c r="G43" i="204"/>
  <c r="G44" i="204"/>
  <c r="G45" i="204"/>
  <c r="G45" i="190"/>
  <c r="G43" i="190"/>
  <c r="G44" i="190"/>
  <c r="G44" i="201"/>
  <c r="G43" i="201"/>
  <c r="G45" i="201"/>
  <c r="G44" i="200"/>
  <c r="G45" i="200"/>
  <c r="G43" i="200"/>
  <c r="G44" i="199"/>
  <c r="G43" i="199"/>
  <c r="G45" i="199"/>
  <c r="G44" i="198"/>
  <c r="H46" i="198" s="1"/>
  <c r="H48" i="198" s="1"/>
  <c r="D204" i="24" s="1"/>
  <c r="G45" i="198"/>
  <c r="G43" i="198"/>
  <c r="G43" i="197"/>
  <c r="G44" i="197"/>
  <c r="G45" i="197"/>
  <c r="G43" i="196"/>
  <c r="G44" i="196"/>
  <c r="G45" i="196"/>
  <c r="G43" i="195"/>
  <c r="G44" i="195"/>
  <c r="G45" i="195"/>
  <c r="G45" i="194"/>
  <c r="H46" i="194" s="1"/>
  <c r="H48" i="194" s="1"/>
  <c r="D200" i="24" s="1"/>
  <c r="G44" i="194"/>
  <c r="G43" i="194"/>
  <c r="G43" i="193"/>
  <c r="G44" i="193"/>
  <c r="G45" i="193"/>
  <c r="G44" i="191"/>
  <c r="G43" i="191"/>
  <c r="G45" i="191"/>
  <c r="H18" i="175"/>
  <c r="H40" i="175" s="1"/>
  <c r="G44" i="175" s="1"/>
  <c r="G43" i="187"/>
  <c r="G45" i="187"/>
  <c r="G44" i="187"/>
  <c r="H18" i="173"/>
  <c r="H40" i="173" s="1"/>
  <c r="G45" i="173" s="1"/>
  <c r="H18" i="172"/>
  <c r="H40" i="172" s="1"/>
  <c r="G45" i="185"/>
  <c r="H18" i="184"/>
  <c r="H40" i="184" s="1"/>
  <c r="G44" i="184" s="1"/>
  <c r="G43" i="170"/>
  <c r="G44" i="170"/>
  <c r="G45" i="170"/>
  <c r="H18" i="183"/>
  <c r="H40" i="183" s="1"/>
  <c r="G44" i="183" s="1"/>
  <c r="G45" i="169"/>
  <c r="G43" i="169"/>
  <c r="G44" i="169"/>
  <c r="G44" i="167"/>
  <c r="G45" i="167"/>
  <c r="G43" i="167"/>
  <c r="H18" i="166"/>
  <c r="H40" i="166" s="1"/>
  <c r="G44" i="168"/>
  <c r="G45" i="168"/>
  <c r="G43" i="168"/>
  <c r="G44" i="165"/>
  <c r="G43" i="165"/>
  <c r="G45" i="165"/>
  <c r="H18" i="164"/>
  <c r="H40" i="164" s="1"/>
  <c r="H18" i="163"/>
  <c r="H40" i="163" s="1"/>
  <c r="G45" i="163" s="1"/>
  <c r="H18" i="162"/>
  <c r="H40" i="162" s="1"/>
  <c r="G44" i="162" s="1"/>
  <c r="H17" i="161"/>
  <c r="H39" i="161" s="1"/>
  <c r="G43" i="160"/>
  <c r="G44" i="160"/>
  <c r="G42" i="160"/>
  <c r="H17" i="159"/>
  <c r="H39" i="159" s="1"/>
  <c r="G42" i="159" s="1"/>
  <c r="H18" i="158"/>
  <c r="H40" i="158" s="1"/>
  <c r="H18" i="157"/>
  <c r="H40" i="157" s="1"/>
  <c r="G44" i="157" s="1"/>
  <c r="H18" i="156"/>
  <c r="H40" i="156" s="1"/>
  <c r="G44" i="156" s="1"/>
  <c r="H18" i="137"/>
  <c r="H40" i="137" s="1"/>
  <c r="H18" i="155"/>
  <c r="H40" i="155" s="1"/>
  <c r="G44" i="155" s="1"/>
  <c r="H18" i="154"/>
  <c r="H40" i="154" s="1"/>
  <c r="G44" i="154" s="1"/>
  <c r="H18" i="153"/>
  <c r="H40" i="153" s="1"/>
  <c r="G43" i="143"/>
  <c r="G44" i="143"/>
  <c r="G45" i="143"/>
  <c r="G45" i="142"/>
  <c r="G43" i="142"/>
  <c r="G44" i="142"/>
  <c r="G45" i="141"/>
  <c r="G43" i="141"/>
  <c r="G44" i="141"/>
  <c r="H18" i="140"/>
  <c r="H40" i="140" s="1"/>
  <c r="H18" i="139"/>
  <c r="H40" i="139" s="1"/>
  <c r="G45" i="139" s="1"/>
  <c r="H18" i="138"/>
  <c r="H40" i="138" s="1"/>
  <c r="H18" i="136"/>
  <c r="H40" i="136" s="1"/>
  <c r="G43" i="136" s="1"/>
  <c r="H18" i="135"/>
  <c r="H40" i="135" s="1"/>
  <c r="G43" i="300"/>
  <c r="G44" i="300"/>
  <c r="G45" i="300"/>
  <c r="G45" i="299"/>
  <c r="G44" i="299"/>
  <c r="G43" i="299"/>
  <c r="G43" i="298"/>
  <c r="G44" i="298"/>
  <c r="G45" i="298"/>
  <c r="G45" i="101"/>
  <c r="G44" i="101"/>
  <c r="G43" i="101"/>
  <c r="G43" i="296"/>
  <c r="G44" i="296"/>
  <c r="H46" i="296" s="1"/>
  <c r="H48" i="296" s="1"/>
  <c r="D313" i="24" s="1"/>
  <c r="G45" i="296"/>
  <c r="G44" i="58"/>
  <c r="G45" i="58"/>
  <c r="G43" i="58"/>
  <c r="H46" i="52"/>
  <c r="H48" i="52" s="1"/>
  <c r="D26" i="24" s="1"/>
  <c r="H18" i="148"/>
  <c r="H40" i="148" s="1"/>
  <c r="G45" i="148" s="1"/>
  <c r="G44" i="397"/>
  <c r="G45" i="397"/>
  <c r="G43" i="397"/>
  <c r="H46" i="68"/>
  <c r="H48" i="68" s="1"/>
  <c r="D43" i="24" s="1"/>
  <c r="H46" i="50"/>
  <c r="H48" i="50" s="1"/>
  <c r="D23" i="24" s="1"/>
  <c r="H44" i="44"/>
  <c r="H46" i="44" s="1"/>
  <c r="D19" i="24" s="1"/>
  <c r="G45" i="46"/>
  <c r="G43" i="46"/>
  <c r="G44" i="46"/>
  <c r="G13" i="45"/>
  <c r="H18" i="45" s="1"/>
  <c r="H40" i="45" s="1"/>
  <c r="G43" i="100"/>
  <c r="G45" i="100"/>
  <c r="G43" i="288"/>
  <c r="G45" i="288"/>
  <c r="H18" i="97"/>
  <c r="H41" i="97" s="1"/>
  <c r="H18" i="96"/>
  <c r="H41" i="96" s="1"/>
  <c r="H18" i="95"/>
  <c r="H43" i="95" s="1"/>
  <c r="H43" i="94"/>
  <c r="G46" i="404"/>
  <c r="G48" i="404"/>
  <c r="G47" i="404"/>
  <c r="G46" i="403"/>
  <c r="G48" i="403"/>
  <c r="G47" i="403"/>
  <c r="H45" i="304"/>
  <c r="H47" i="304" s="1"/>
  <c r="D326" i="24" s="1"/>
  <c r="H46" i="398"/>
  <c r="H48" i="398" s="1"/>
  <c r="H45" i="303"/>
  <c r="H47" i="303" s="1"/>
  <c r="D325" i="24" s="1"/>
  <c r="G43" i="275"/>
  <c r="G45" i="275"/>
  <c r="G44" i="275"/>
  <c r="G44" i="274"/>
  <c r="G45" i="274"/>
  <c r="G43" i="274"/>
  <c r="G45" i="273"/>
  <c r="G44" i="273"/>
  <c r="G43" i="273"/>
  <c r="G43" i="272"/>
  <c r="G45" i="272"/>
  <c r="G44" i="272"/>
  <c r="G43" i="271"/>
  <c r="G45" i="271"/>
  <c r="G44" i="271"/>
  <c r="G45" i="270"/>
  <c r="G43" i="270"/>
  <c r="G44" i="270"/>
  <c r="G43" i="269"/>
  <c r="G44" i="269"/>
  <c r="G45" i="269"/>
  <c r="G44" i="268"/>
  <c r="G43" i="268"/>
  <c r="G45" i="268"/>
  <c r="G43" i="290"/>
  <c r="G45" i="290"/>
  <c r="G44" i="290"/>
  <c r="H45" i="321"/>
  <c r="H47" i="321" s="1"/>
  <c r="D346" i="24" s="1"/>
  <c r="H45" i="352"/>
  <c r="H47" i="352" s="1"/>
  <c r="D379" i="24" s="1"/>
  <c r="H46" i="204"/>
  <c r="H48" i="204" s="1"/>
  <c r="D212" i="24" s="1"/>
  <c r="F212" i="24" s="1"/>
  <c r="H17" i="176"/>
  <c r="H39" i="176" s="1"/>
  <c r="G44" i="176" s="1"/>
  <c r="H17" i="177"/>
  <c r="H39" i="177" s="1"/>
  <c r="G44" i="177" s="1"/>
  <c r="H17" i="178"/>
  <c r="H39" i="178" s="1"/>
  <c r="G42" i="178" s="1"/>
  <c r="H17" i="180"/>
  <c r="H39" i="180" s="1"/>
  <c r="G43" i="180" s="1"/>
  <c r="H49" i="402"/>
  <c r="H51" i="402" s="1"/>
  <c r="D82" i="24" s="1"/>
  <c r="F82" i="24" s="1"/>
  <c r="G43" i="362"/>
  <c r="G45" i="362"/>
  <c r="G44" i="362"/>
  <c r="G45" i="370"/>
  <c r="G43" i="370"/>
  <c r="G44" i="370"/>
  <c r="G42" i="390"/>
  <c r="G44" i="390"/>
  <c r="G43" i="390"/>
  <c r="G45" i="359"/>
  <c r="G44" i="359"/>
  <c r="G43" i="359"/>
  <c r="G44" i="369"/>
  <c r="G45" i="369"/>
  <c r="G43" i="369"/>
  <c r="G44" i="383"/>
  <c r="G43" i="383"/>
  <c r="G42" i="383"/>
  <c r="G42" i="395"/>
  <c r="G43" i="395"/>
  <c r="G44" i="395"/>
  <c r="G43" i="358"/>
  <c r="G44" i="358"/>
  <c r="G45" i="358"/>
  <c r="G43" i="366"/>
  <c r="G45" i="366"/>
  <c r="G44" i="366"/>
  <c r="G43" i="384"/>
  <c r="G44" i="384"/>
  <c r="G42" i="384"/>
  <c r="G42" i="394"/>
  <c r="G43" i="394"/>
  <c r="G44" i="394"/>
  <c r="G43" i="363"/>
  <c r="G45" i="363"/>
  <c r="G44" i="363"/>
  <c r="G44" i="373"/>
  <c r="G45" i="373"/>
  <c r="G43" i="373"/>
  <c r="G42" i="391"/>
  <c r="G43" i="391"/>
  <c r="G44" i="391"/>
  <c r="H18" i="127"/>
  <c r="H40" i="127" s="1"/>
  <c r="G43" i="127" s="1"/>
  <c r="H18" i="128"/>
  <c r="H40" i="128" s="1"/>
  <c r="G44" i="128" s="1"/>
  <c r="H18" i="131"/>
  <c r="H40" i="131" s="1"/>
  <c r="G44" i="131" s="1"/>
  <c r="H18" i="132"/>
  <c r="H40" i="132" s="1"/>
  <c r="G45" i="132" s="1"/>
  <c r="H18" i="134"/>
  <c r="H40" i="134" s="1"/>
  <c r="H49" i="401"/>
  <c r="H51" i="401" s="1"/>
  <c r="D80" i="24" s="1"/>
  <c r="F80" i="24" s="1"/>
  <c r="H45" i="400"/>
  <c r="H47" i="400" s="1"/>
  <c r="D344" i="24" s="1"/>
  <c r="H17" i="182"/>
  <c r="H39" i="182" s="1"/>
  <c r="G42" i="182" s="1"/>
  <c r="H17" i="181"/>
  <c r="H39" i="181" s="1"/>
  <c r="H17" i="179"/>
  <c r="H39" i="179" s="1"/>
  <c r="H18" i="152"/>
  <c r="H40" i="152" s="1"/>
  <c r="G43" i="152" s="1"/>
  <c r="H18" i="151"/>
  <c r="H40" i="151" s="1"/>
  <c r="G44" i="151" s="1"/>
  <c r="H18" i="150"/>
  <c r="H40" i="150" s="1"/>
  <c r="H18" i="149"/>
  <c r="H40" i="149" s="1"/>
  <c r="G43" i="149" s="1"/>
  <c r="G43" i="148"/>
  <c r="G44" i="148"/>
  <c r="H18" i="130"/>
  <c r="H40" i="130" s="1"/>
  <c r="G45" i="130" s="1"/>
  <c r="H18" i="129"/>
  <c r="H40" i="129" s="1"/>
  <c r="G44" i="129" s="1"/>
  <c r="G44" i="147"/>
  <c r="G43" i="147"/>
  <c r="G45" i="147"/>
  <c r="G44" i="146"/>
  <c r="G43" i="146"/>
  <c r="G45" i="146"/>
  <c r="G43" i="145"/>
  <c r="G44" i="145"/>
  <c r="G45" i="145"/>
  <c r="G45" i="144"/>
  <c r="G44" i="144"/>
  <c r="G43" i="144"/>
  <c r="H18" i="133"/>
  <c r="H40" i="133" s="1"/>
  <c r="H18" i="126"/>
  <c r="H40" i="126" s="1"/>
  <c r="G43" i="388"/>
  <c r="G42" i="388"/>
  <c r="G44" i="388"/>
  <c r="G43" i="356"/>
  <c r="G45" i="356"/>
  <c r="G44" i="356"/>
  <c r="G44" i="364"/>
  <c r="G43" i="364"/>
  <c r="G45" i="364"/>
  <c r="G44" i="372"/>
  <c r="G45" i="372"/>
  <c r="G43" i="372"/>
  <c r="G42" i="392"/>
  <c r="G43" i="392"/>
  <c r="G44" i="392"/>
  <c r="G45" i="361"/>
  <c r="G44" i="361"/>
  <c r="G43" i="361"/>
  <c r="G45" i="371"/>
  <c r="G44" i="371"/>
  <c r="G43" i="371"/>
  <c r="G42" i="389"/>
  <c r="G43" i="389"/>
  <c r="G44" i="389"/>
  <c r="G44" i="387"/>
  <c r="G43" i="387"/>
  <c r="G42" i="387"/>
  <c r="G44" i="360"/>
  <c r="G45" i="360"/>
  <c r="G43" i="360"/>
  <c r="G43" i="368"/>
  <c r="G44" i="368"/>
  <c r="G45" i="368"/>
  <c r="G43" i="386"/>
  <c r="G44" i="386"/>
  <c r="G42" i="386"/>
  <c r="G45" i="357"/>
  <c r="G44" i="357"/>
  <c r="G43" i="357"/>
  <c r="G44" i="367"/>
  <c r="G43" i="367"/>
  <c r="G45" i="367"/>
  <c r="G42" i="381"/>
  <c r="G43" i="381"/>
  <c r="G44" i="381"/>
  <c r="G42" i="393"/>
  <c r="G43" i="393"/>
  <c r="G44" i="393"/>
  <c r="H45" i="399"/>
  <c r="H47" i="399" s="1"/>
  <c r="D343" i="24" s="1"/>
  <c r="G44" i="355"/>
  <c r="G45" i="355"/>
  <c r="G43" i="355"/>
  <c r="G43" i="354"/>
  <c r="G44" i="354"/>
  <c r="G42" i="354"/>
  <c r="G45" i="353"/>
  <c r="G43" i="353"/>
  <c r="G44" i="353"/>
  <c r="G42" i="379"/>
  <c r="G43" i="379"/>
  <c r="G42" i="378"/>
  <c r="G43" i="378"/>
  <c r="G44" i="378"/>
  <c r="G43" i="377"/>
  <c r="G42" i="377"/>
  <c r="G44" i="377"/>
  <c r="G45" i="376"/>
  <c r="G44" i="376"/>
  <c r="G43" i="376"/>
  <c r="G44" i="375"/>
  <c r="G45" i="375"/>
  <c r="G43" i="375"/>
  <c r="G43" i="374"/>
  <c r="G44" i="374"/>
  <c r="G45" i="374"/>
  <c r="G44" i="331"/>
  <c r="G43" i="331"/>
  <c r="G42" i="331"/>
  <c r="G44" i="330"/>
  <c r="G43" i="330"/>
  <c r="G42" i="330"/>
  <c r="H47" i="324"/>
  <c r="H49" i="324" s="1"/>
  <c r="D349" i="24" s="1"/>
  <c r="H47" i="327"/>
  <c r="H49" i="327" s="1"/>
  <c r="D352" i="24" s="1"/>
  <c r="H46" i="103"/>
  <c r="H48" i="103" s="1"/>
  <c r="D92" i="24" s="1"/>
  <c r="H47" i="326"/>
  <c r="H49" i="326" s="1"/>
  <c r="D351" i="24" s="1"/>
  <c r="H46" i="264"/>
  <c r="H48" i="264" s="1"/>
  <c r="D282" i="24" s="1"/>
  <c r="G48" i="87"/>
  <c r="H45" i="322"/>
  <c r="H47" i="322" s="1"/>
  <c r="D347" i="24" s="1"/>
  <c r="G44" i="325"/>
  <c r="G46" i="325"/>
  <c r="G45" i="325"/>
  <c r="H45" i="320"/>
  <c r="H47" i="320" s="1"/>
  <c r="D345" i="24" s="1"/>
  <c r="H45" i="319"/>
  <c r="H47" i="319" s="1"/>
  <c r="D342" i="24" s="1"/>
  <c r="G44" i="295"/>
  <c r="G46" i="295"/>
  <c r="G44" i="216"/>
  <c r="G42" i="216"/>
  <c r="G43" i="216"/>
  <c r="G44" i="224"/>
  <c r="G42" i="224"/>
  <c r="G43" i="224"/>
  <c r="G43" i="124"/>
  <c r="G45" i="124"/>
  <c r="G44" i="124"/>
  <c r="G44" i="217"/>
  <c r="G42" i="217"/>
  <c r="G43" i="217"/>
  <c r="G44" i="218"/>
  <c r="G42" i="218"/>
  <c r="G43" i="218"/>
  <c r="G43" i="221"/>
  <c r="G44" i="221"/>
  <c r="G42" i="221"/>
  <c r="G42" i="259"/>
  <c r="G44" i="259"/>
  <c r="G43" i="259"/>
  <c r="G44" i="220"/>
  <c r="G43" i="220"/>
  <c r="G42" i="220"/>
  <c r="G42" i="213"/>
  <c r="G44" i="213"/>
  <c r="G43" i="213"/>
  <c r="G44" i="215"/>
  <c r="G42" i="215"/>
  <c r="G43" i="215"/>
  <c r="G43" i="223"/>
  <c r="G44" i="223"/>
  <c r="G42" i="223"/>
  <c r="G43" i="335"/>
  <c r="G44" i="335"/>
  <c r="G42" i="335"/>
  <c r="G42" i="222"/>
  <c r="G43" i="222"/>
  <c r="G44" i="222"/>
  <c r="H41" i="92"/>
  <c r="G44" i="297"/>
  <c r="G43" i="297"/>
  <c r="G42" i="297"/>
  <c r="G43" i="232"/>
  <c r="G45" i="232"/>
  <c r="G44" i="232"/>
  <c r="G43" i="231"/>
  <c r="G45" i="231"/>
  <c r="G44" i="231"/>
  <c r="G43" i="230"/>
  <c r="G45" i="230"/>
  <c r="G44" i="230"/>
  <c r="G44" i="229"/>
  <c r="G45" i="229"/>
  <c r="G43" i="229"/>
  <c r="G44" i="227"/>
  <c r="G45" i="227"/>
  <c r="G43" i="227"/>
  <c r="G42" i="228"/>
  <c r="G43" i="228"/>
  <c r="G44" i="228"/>
  <c r="G44" i="226"/>
  <c r="G42" i="226"/>
  <c r="G43" i="226"/>
  <c r="G44" i="225"/>
  <c r="G43" i="225"/>
  <c r="G42" i="225"/>
  <c r="G44" i="219"/>
  <c r="G42" i="219"/>
  <c r="G43" i="219"/>
  <c r="G44" i="214"/>
  <c r="G43" i="214"/>
  <c r="G42" i="214"/>
  <c r="G45" i="291"/>
  <c r="G47" i="291"/>
  <c r="G46" i="291"/>
  <c r="G43" i="294"/>
  <c r="G44" i="294"/>
  <c r="G45" i="294"/>
  <c r="G43" i="293"/>
  <c r="G44" i="293"/>
  <c r="G45" i="293"/>
  <c r="G44" i="292"/>
  <c r="G43" i="292"/>
  <c r="G45" i="292"/>
  <c r="G45" i="295"/>
  <c r="G43" i="125"/>
  <c r="G44" i="125"/>
  <c r="G45" i="125"/>
  <c r="H46" i="208"/>
  <c r="H48" i="208" s="1"/>
  <c r="D217" i="24" s="1"/>
  <c r="F217" i="24" s="1"/>
  <c r="H46" i="202"/>
  <c r="H48" i="202" s="1"/>
  <c r="D210" i="24" s="1"/>
  <c r="F210" i="24" s="1"/>
  <c r="H46" i="37"/>
  <c r="H48" i="37" s="1"/>
  <c r="D12" i="24" s="1"/>
  <c r="H46" i="49"/>
  <c r="H48" i="49" s="1"/>
  <c r="D22" i="24" s="1"/>
  <c r="H45" i="40"/>
  <c r="H47" i="40" s="1"/>
  <c r="D15" i="24" s="1"/>
  <c r="H46" i="62"/>
  <c r="H48" i="62" s="1"/>
  <c r="D36" i="24" s="1"/>
  <c r="H46" i="64"/>
  <c r="H48" i="64" s="1"/>
  <c r="D38" i="24" s="1"/>
  <c r="H46" i="63"/>
  <c r="H48" i="63" s="1"/>
  <c r="D37" i="24" s="1"/>
  <c r="H46" i="260"/>
  <c r="H48" i="260" s="1"/>
  <c r="D278" i="24" s="1"/>
  <c r="H46" i="207"/>
  <c r="H48" i="207" s="1"/>
  <c r="D216" i="24" s="1"/>
  <c r="F216" i="24" s="1"/>
  <c r="H46" i="60"/>
  <c r="H48" i="60" s="1"/>
  <c r="D34" i="24" s="1"/>
  <c r="H46" i="59"/>
  <c r="H48" i="59" s="1"/>
  <c r="D33" i="24" s="1"/>
  <c r="G44" i="57"/>
  <c r="G43" i="57"/>
  <c r="G45" i="57"/>
  <c r="H46" i="203"/>
  <c r="H48" i="203" s="1"/>
  <c r="D211" i="24" s="1"/>
  <c r="F211" i="24" s="1"/>
  <c r="G48" i="89"/>
  <c r="G46" i="89"/>
  <c r="G47" i="89"/>
  <c r="G48" i="88"/>
  <c r="G46" i="88"/>
  <c r="G47" i="88"/>
  <c r="G47" i="87"/>
  <c r="H45" i="380"/>
  <c r="H47" i="380" s="1"/>
  <c r="D410" i="24" s="1"/>
  <c r="H46" i="343"/>
  <c r="H48" i="343" s="1"/>
  <c r="D368" i="24" s="1"/>
  <c r="H46" i="349"/>
  <c r="H48" i="349" s="1"/>
  <c r="D374" i="24" s="1"/>
  <c r="H46" i="339"/>
  <c r="H48" i="339" s="1"/>
  <c r="D364" i="24" s="1"/>
  <c r="H46" i="347"/>
  <c r="H48" i="347" s="1"/>
  <c r="D372" i="24" s="1"/>
  <c r="H46" i="345"/>
  <c r="H48" i="345" s="1"/>
  <c r="D370" i="24" s="1"/>
  <c r="H46" i="338"/>
  <c r="H48" i="338" s="1"/>
  <c r="D363" i="24" s="1"/>
  <c r="H46" i="336"/>
  <c r="H48" i="336" s="1"/>
  <c r="D361" i="24" s="1"/>
  <c r="H46" i="337"/>
  <c r="H48" i="337" s="1"/>
  <c r="D362" i="24" s="1"/>
  <c r="H46" i="332"/>
  <c r="H48" i="332" s="1"/>
  <c r="D357" i="24" s="1"/>
  <c r="H46" i="334"/>
  <c r="H48" i="334" s="1"/>
  <c r="D359" i="24" s="1"/>
  <c r="H46" i="333"/>
  <c r="H48" i="333" s="1"/>
  <c r="D358" i="24" s="1"/>
  <c r="H46" i="329"/>
  <c r="H48" i="329" s="1"/>
  <c r="D354" i="24" s="1"/>
  <c r="H46" i="317"/>
  <c r="H48" i="317" s="1"/>
  <c r="D339" i="24" s="1"/>
  <c r="H46" i="318"/>
  <c r="H48" i="318" s="1"/>
  <c r="D340" i="24" s="1"/>
  <c r="H46" i="315"/>
  <c r="H48" i="315" s="1"/>
  <c r="D337" i="24" s="1"/>
  <c r="H46" i="314"/>
  <c r="H48" i="314" s="1"/>
  <c r="D336" i="24" s="1"/>
  <c r="H46" i="313"/>
  <c r="H48" i="313" s="1"/>
  <c r="D335" i="24" s="1"/>
  <c r="H46" i="312"/>
  <c r="H48" i="312" s="1"/>
  <c r="D334" i="24" s="1"/>
  <c r="H46" i="311"/>
  <c r="H48" i="311" s="1"/>
  <c r="D333" i="24" s="1"/>
  <c r="H46" i="310"/>
  <c r="H48" i="310" s="1"/>
  <c r="D332" i="24" s="1"/>
  <c r="H46" i="309"/>
  <c r="H48" i="309" s="1"/>
  <c r="D331" i="24" s="1"/>
  <c r="H46" i="308"/>
  <c r="H48" i="308" s="1"/>
  <c r="D330" i="24" s="1"/>
  <c r="H46" i="306"/>
  <c r="H48" i="306" s="1"/>
  <c r="D328" i="24" s="1"/>
  <c r="H46" i="307"/>
  <c r="H48" i="307" s="1"/>
  <c r="D329" i="24" s="1"/>
  <c r="H46" i="258"/>
  <c r="H48" i="258" s="1"/>
  <c r="D275" i="24" s="1"/>
  <c r="H46" i="257"/>
  <c r="H48" i="257" s="1"/>
  <c r="D274" i="24" s="1"/>
  <c r="H46" i="256"/>
  <c r="H48" i="256" s="1"/>
  <c r="D273" i="24" s="1"/>
  <c r="H46" i="197"/>
  <c r="H48" i="197" s="1"/>
  <c r="D203" i="24" s="1"/>
  <c r="H46" i="190"/>
  <c r="H48" i="190" s="1"/>
  <c r="D195" i="24" s="1"/>
  <c r="H46" i="196"/>
  <c r="H48" i="196" s="1"/>
  <c r="D202" i="24" s="1"/>
  <c r="H46" i="195"/>
  <c r="H48" i="195" s="1"/>
  <c r="D201" i="24" s="1"/>
  <c r="H46" i="193"/>
  <c r="H48" i="193" s="1"/>
  <c r="D198" i="24" s="1"/>
  <c r="H45" i="35"/>
  <c r="H47" i="35" s="1"/>
  <c r="F213" i="24" l="1"/>
  <c r="H46" i="328"/>
  <c r="H48" i="328" s="1"/>
  <c r="D353" i="24" s="1"/>
  <c r="G43" i="134"/>
  <c r="H46" i="357"/>
  <c r="H48" i="357" s="1"/>
  <c r="D384" i="24" s="1"/>
  <c r="H46" i="192"/>
  <c r="H48" i="192" s="1"/>
  <c r="D197" i="24" s="1"/>
  <c r="F197" i="24" s="1"/>
  <c r="H198" i="24"/>
  <c r="F198" i="24"/>
  <c r="H202" i="24"/>
  <c r="F202" i="24"/>
  <c r="H203" i="24"/>
  <c r="F203" i="24"/>
  <c r="H274" i="24"/>
  <c r="F274" i="24"/>
  <c r="H313" i="24"/>
  <c r="F313" i="24"/>
  <c r="H328" i="24"/>
  <c r="F328" i="24"/>
  <c r="H331" i="24"/>
  <c r="F331" i="24"/>
  <c r="H333" i="24"/>
  <c r="F333" i="24"/>
  <c r="H335" i="24"/>
  <c r="F335" i="24"/>
  <c r="H337" i="24"/>
  <c r="F337" i="24"/>
  <c r="H339" i="24"/>
  <c r="F339" i="24"/>
  <c r="H358" i="24"/>
  <c r="F358" i="24"/>
  <c r="H357" i="24"/>
  <c r="F357" i="24"/>
  <c r="H361" i="24"/>
  <c r="F361" i="24"/>
  <c r="H370" i="24"/>
  <c r="F370" i="24"/>
  <c r="H364" i="24"/>
  <c r="F364" i="24"/>
  <c r="H368" i="24"/>
  <c r="F368" i="24"/>
  <c r="H204" i="24"/>
  <c r="F204" i="24"/>
  <c r="H33" i="24"/>
  <c r="F33" i="24"/>
  <c r="H37" i="24"/>
  <c r="F37" i="24"/>
  <c r="H36" i="24"/>
  <c r="F36" i="24"/>
  <c r="H22" i="24"/>
  <c r="F22" i="24"/>
  <c r="H345" i="24"/>
  <c r="F345" i="24"/>
  <c r="H347" i="24"/>
  <c r="F347" i="24"/>
  <c r="H282" i="24"/>
  <c r="F282" i="24"/>
  <c r="H92" i="24"/>
  <c r="F92" i="24"/>
  <c r="H349" i="24"/>
  <c r="F349" i="24"/>
  <c r="H379" i="24"/>
  <c r="F379" i="24"/>
  <c r="H200" i="24"/>
  <c r="F200" i="24"/>
  <c r="H23" i="24"/>
  <c r="F23" i="24"/>
  <c r="H26" i="24"/>
  <c r="F26" i="24"/>
  <c r="H197" i="24"/>
  <c r="H318" i="24"/>
  <c r="F318" i="24"/>
  <c r="H283" i="24"/>
  <c r="F283" i="24"/>
  <c r="H412" i="24"/>
  <c r="F412" i="24"/>
  <c r="H42" i="24"/>
  <c r="F42" i="24"/>
  <c r="H102" i="24"/>
  <c r="F102" i="24"/>
  <c r="H51" i="24"/>
  <c r="F51" i="24"/>
  <c r="H105" i="24"/>
  <c r="F105" i="24"/>
  <c r="H107" i="24"/>
  <c r="F107" i="24"/>
  <c r="H27" i="24"/>
  <c r="F27" i="24"/>
  <c r="H45" i="24"/>
  <c r="F45" i="24"/>
  <c r="H103" i="24"/>
  <c r="F103" i="24"/>
  <c r="H267" i="24"/>
  <c r="F267" i="24"/>
  <c r="H110" i="24"/>
  <c r="F110" i="24"/>
  <c r="H108" i="24"/>
  <c r="F108" i="24"/>
  <c r="H237" i="24"/>
  <c r="F237" i="24"/>
  <c r="H353" i="24"/>
  <c r="F353" i="24"/>
  <c r="H201" i="24"/>
  <c r="F201" i="24"/>
  <c r="H195" i="24"/>
  <c r="F195" i="24"/>
  <c r="H273" i="24"/>
  <c r="F273" i="24"/>
  <c r="H275" i="24"/>
  <c r="F275" i="24"/>
  <c r="H329" i="24"/>
  <c r="F329" i="24"/>
  <c r="H330" i="24"/>
  <c r="F330" i="24"/>
  <c r="H332" i="24"/>
  <c r="F332" i="24"/>
  <c r="H334" i="24"/>
  <c r="F334" i="24"/>
  <c r="H336" i="24"/>
  <c r="F336" i="24"/>
  <c r="H340" i="24"/>
  <c r="F340" i="24"/>
  <c r="H354" i="24"/>
  <c r="F354" i="24"/>
  <c r="H359" i="24"/>
  <c r="F359" i="24"/>
  <c r="H362" i="24"/>
  <c r="F362" i="24"/>
  <c r="H363" i="24"/>
  <c r="F363" i="24"/>
  <c r="H372" i="24"/>
  <c r="F372" i="24"/>
  <c r="H374" i="24"/>
  <c r="F374" i="24"/>
  <c r="H410" i="24"/>
  <c r="F410" i="24"/>
  <c r="H34" i="24"/>
  <c r="F34" i="24"/>
  <c r="H278" i="24"/>
  <c r="F278" i="24"/>
  <c r="H38" i="24"/>
  <c r="F38" i="24"/>
  <c r="H15" i="24"/>
  <c r="F15" i="24"/>
  <c r="H12" i="24"/>
  <c r="F12" i="24"/>
  <c r="H342" i="24"/>
  <c r="F342" i="24"/>
  <c r="H351" i="24"/>
  <c r="F351" i="24"/>
  <c r="H352" i="24"/>
  <c r="F352" i="24"/>
  <c r="H343" i="24"/>
  <c r="F343" i="24"/>
  <c r="H384" i="24"/>
  <c r="F384" i="24"/>
  <c r="H344" i="24"/>
  <c r="F344" i="24"/>
  <c r="H346" i="24"/>
  <c r="F346" i="24"/>
  <c r="H325" i="24"/>
  <c r="F325" i="24"/>
  <c r="H326" i="24"/>
  <c r="F326" i="24"/>
  <c r="H19" i="24"/>
  <c r="F19" i="24"/>
  <c r="H43" i="24"/>
  <c r="F43" i="24"/>
  <c r="H393" i="24"/>
  <c r="F393" i="24"/>
  <c r="H319" i="24"/>
  <c r="F319" i="24"/>
  <c r="H100" i="24"/>
  <c r="F100" i="24"/>
  <c r="H104" i="24"/>
  <c r="F104" i="24"/>
  <c r="H28" i="24"/>
  <c r="F28" i="24"/>
  <c r="H46" i="24"/>
  <c r="F46" i="24"/>
  <c r="H417" i="24"/>
  <c r="F417" i="24"/>
  <c r="H101" i="24"/>
  <c r="F101" i="24"/>
  <c r="H47" i="24"/>
  <c r="F47" i="24"/>
  <c r="H228" i="24"/>
  <c r="F228" i="24"/>
  <c r="H109" i="24"/>
  <c r="F109" i="24"/>
  <c r="H94" i="24"/>
  <c r="F94" i="24"/>
  <c r="H266" i="24"/>
  <c r="F266" i="24"/>
  <c r="H46" i="316"/>
  <c r="H48" i="316" s="1"/>
  <c r="D338" i="24" s="1"/>
  <c r="H46" i="148"/>
  <c r="H48" i="148" s="1"/>
  <c r="D143" i="24" s="1"/>
  <c r="H46" i="276"/>
  <c r="H48" i="276" s="1"/>
  <c r="D293" i="24" s="1"/>
  <c r="H46" i="286"/>
  <c r="H48" i="286" s="1"/>
  <c r="D303" i="24" s="1"/>
  <c r="H46" i="281"/>
  <c r="H48" i="281" s="1"/>
  <c r="D298" i="24" s="1"/>
  <c r="H46" i="236"/>
  <c r="H48" i="236" s="1"/>
  <c r="D253" i="24" s="1"/>
  <c r="H46" i="267"/>
  <c r="H48" i="267" s="1"/>
  <c r="D284" i="24" s="1"/>
  <c r="H46" i="247"/>
  <c r="H48" i="247" s="1"/>
  <c r="D264" i="24" s="1"/>
  <c r="H46" i="279"/>
  <c r="H48" i="279" s="1"/>
  <c r="D296" i="24" s="1"/>
  <c r="H46" i="284"/>
  <c r="H48" i="284" s="1"/>
  <c r="D301" i="24" s="1"/>
  <c r="H46" i="290"/>
  <c r="H48" i="290" s="1"/>
  <c r="D307" i="24" s="1"/>
  <c r="H46" i="282"/>
  <c r="H48" i="282" s="1"/>
  <c r="D299" i="24" s="1"/>
  <c r="H46" i="285"/>
  <c r="H48" i="285" s="1"/>
  <c r="D302" i="24" s="1"/>
  <c r="H46" i="277"/>
  <c r="H48" i="277" s="1"/>
  <c r="D294" i="24" s="1"/>
  <c r="H46" i="283"/>
  <c r="H48" i="283" s="1"/>
  <c r="D300" i="24" s="1"/>
  <c r="H46" i="287"/>
  <c r="H48" i="287" s="1"/>
  <c r="D304" i="24" s="1"/>
  <c r="H46" i="262"/>
  <c r="H48" i="262" s="1"/>
  <c r="D280" i="24" s="1"/>
  <c r="F280" i="24" s="1"/>
  <c r="H45" i="111"/>
  <c r="H47" i="111" s="1"/>
  <c r="D99" i="24" s="1"/>
  <c r="H46" i="235"/>
  <c r="H48" i="235" s="1"/>
  <c r="D252" i="24" s="1"/>
  <c r="F252" i="24" s="1"/>
  <c r="H46" i="261"/>
  <c r="H48" i="261" s="1"/>
  <c r="D279" i="24" s="1"/>
  <c r="H46" i="278"/>
  <c r="H48" i="278" s="1"/>
  <c r="D295" i="24" s="1"/>
  <c r="H46" i="248"/>
  <c r="H48" i="248" s="1"/>
  <c r="D265" i="24" s="1"/>
  <c r="H46" i="363"/>
  <c r="H48" i="363" s="1"/>
  <c r="D391" i="24" s="1"/>
  <c r="H45" i="387"/>
  <c r="H47" i="387" s="1"/>
  <c r="D419" i="24" s="1"/>
  <c r="D86" i="24"/>
  <c r="F86" i="24" s="1"/>
  <c r="H46" i="280"/>
  <c r="H48" i="280" s="1"/>
  <c r="D297" i="24" s="1"/>
  <c r="H46" i="142"/>
  <c r="H48" i="142" s="1"/>
  <c r="D135" i="24" s="1"/>
  <c r="H45" i="160"/>
  <c r="H47" i="160" s="1"/>
  <c r="D157" i="24" s="1"/>
  <c r="H46" i="165"/>
  <c r="H48" i="165" s="1"/>
  <c r="D164" i="24" s="1"/>
  <c r="H46" i="168"/>
  <c r="H48" i="168" s="1"/>
  <c r="D167" i="24" s="1"/>
  <c r="H46" i="167"/>
  <c r="H48" i="167" s="1"/>
  <c r="D166" i="24" s="1"/>
  <c r="H46" i="170"/>
  <c r="H48" i="170" s="1"/>
  <c r="D170" i="24" s="1"/>
  <c r="H46" i="210"/>
  <c r="H48" i="210" s="1"/>
  <c r="D219" i="24" s="1"/>
  <c r="H46" i="240"/>
  <c r="H48" i="240" s="1"/>
  <c r="D257" i="24" s="1"/>
  <c r="H46" i="241"/>
  <c r="H48" i="241" s="1"/>
  <c r="D258" i="24" s="1"/>
  <c r="H46" i="239"/>
  <c r="H48" i="239" s="1"/>
  <c r="D256" i="24" s="1"/>
  <c r="H46" i="238"/>
  <c r="H48" i="238" s="1"/>
  <c r="D255" i="24" s="1"/>
  <c r="G43" i="186"/>
  <c r="G45" i="189"/>
  <c r="H46" i="189" s="1"/>
  <c r="H48" i="189" s="1"/>
  <c r="D192" i="24" s="1"/>
  <c r="H46" i="300"/>
  <c r="H48" i="300" s="1"/>
  <c r="D317" i="24" s="1"/>
  <c r="G43" i="189"/>
  <c r="G45" i="188"/>
  <c r="H46" i="108"/>
  <c r="H48" i="108" s="1"/>
  <c r="D97" i="24" s="1"/>
  <c r="H46" i="237"/>
  <c r="H48" i="237" s="1"/>
  <c r="D254" i="24" s="1"/>
  <c r="H46" i="141"/>
  <c r="H48" i="141" s="1"/>
  <c r="D134" i="24" s="1"/>
  <c r="H46" i="143"/>
  <c r="H48" i="143" s="1"/>
  <c r="D136" i="24" s="1"/>
  <c r="H45" i="386"/>
  <c r="H47" i="386" s="1"/>
  <c r="D418" i="24" s="1"/>
  <c r="H46" i="211"/>
  <c r="H48" i="211" s="1"/>
  <c r="D220" i="24" s="1"/>
  <c r="G43" i="171"/>
  <c r="G43" i="185"/>
  <c r="G45" i="186"/>
  <c r="H46" i="200"/>
  <c r="H48" i="200" s="1"/>
  <c r="D206" i="24" s="1"/>
  <c r="H46" i="185"/>
  <c r="H48" i="185" s="1"/>
  <c r="D188" i="24" s="1"/>
  <c r="H46" i="199"/>
  <c r="H48" i="199" s="1"/>
  <c r="D205" i="24" s="1"/>
  <c r="H46" i="201"/>
  <c r="H48" i="201" s="1"/>
  <c r="D207" i="24" s="1"/>
  <c r="G43" i="188"/>
  <c r="H45" i="384"/>
  <c r="H47" i="384" s="1"/>
  <c r="D414" i="24" s="1"/>
  <c r="H45" i="383"/>
  <c r="H47" i="383" s="1"/>
  <c r="D413" i="24" s="1"/>
  <c r="H45" i="395"/>
  <c r="H47" i="395" s="1"/>
  <c r="D427" i="24" s="1"/>
  <c r="H45" i="394"/>
  <c r="H47" i="394" s="1"/>
  <c r="D426" i="24" s="1"/>
  <c r="H45" i="393"/>
  <c r="H47" i="393" s="1"/>
  <c r="D425" i="24" s="1"/>
  <c r="H45" i="392"/>
  <c r="H47" i="392" s="1"/>
  <c r="D424" i="24" s="1"/>
  <c r="H45" i="391"/>
  <c r="H47" i="391" s="1"/>
  <c r="D423" i="24" s="1"/>
  <c r="H45" i="390"/>
  <c r="H47" i="390" s="1"/>
  <c r="D422" i="24" s="1"/>
  <c r="H45" i="389"/>
  <c r="H47" i="389" s="1"/>
  <c r="D421" i="24" s="1"/>
  <c r="H45" i="388"/>
  <c r="H47" i="388" s="1"/>
  <c r="D420" i="24" s="1"/>
  <c r="H45" i="381"/>
  <c r="H47" i="381" s="1"/>
  <c r="D411" i="24" s="1"/>
  <c r="H280" i="24"/>
  <c r="H46" i="299"/>
  <c r="H48" i="299" s="1"/>
  <c r="D316" i="24" s="1"/>
  <c r="H46" i="298"/>
  <c r="H48" i="298" s="1"/>
  <c r="D315" i="24" s="1"/>
  <c r="H46" i="289"/>
  <c r="H48" i="289" s="1"/>
  <c r="D306" i="24" s="1"/>
  <c r="H46" i="101"/>
  <c r="H48" i="101" s="1"/>
  <c r="D90" i="24" s="1"/>
  <c r="H46" i="212"/>
  <c r="H48" i="212" s="1"/>
  <c r="D221" i="24" s="1"/>
  <c r="H46" i="209"/>
  <c r="H48" i="209" s="1"/>
  <c r="D218" i="24" s="1"/>
  <c r="G44" i="171"/>
  <c r="G45" i="184"/>
  <c r="G43" i="173"/>
  <c r="G44" i="174"/>
  <c r="G45" i="174"/>
  <c r="G43" i="174"/>
  <c r="G45" i="154"/>
  <c r="H46" i="169"/>
  <c r="H48" i="169" s="1"/>
  <c r="D169" i="24" s="1"/>
  <c r="F169" i="24" s="1"/>
  <c r="G45" i="183"/>
  <c r="G45" i="175"/>
  <c r="H217" i="24"/>
  <c r="H216" i="24"/>
  <c r="H215" i="24"/>
  <c r="H214" i="24"/>
  <c r="H212" i="24"/>
  <c r="H211" i="24"/>
  <c r="H210" i="24"/>
  <c r="H46" i="191"/>
  <c r="H48" i="191" s="1"/>
  <c r="D196" i="24" s="1"/>
  <c r="G43" i="175"/>
  <c r="H46" i="187"/>
  <c r="H48" i="187" s="1"/>
  <c r="D190" i="24" s="1"/>
  <c r="G44" i="173"/>
  <c r="G44" i="172"/>
  <c r="G45" i="172"/>
  <c r="G43" i="172"/>
  <c r="G43" i="184"/>
  <c r="G43" i="183"/>
  <c r="G44" i="166"/>
  <c r="G45" i="166"/>
  <c r="G43" i="166"/>
  <c r="G44" i="164"/>
  <c r="G45" i="164"/>
  <c r="G43" i="164"/>
  <c r="G43" i="163"/>
  <c r="G44" i="163"/>
  <c r="G45" i="162"/>
  <c r="G43" i="162"/>
  <c r="G44" i="161"/>
  <c r="G43" i="161"/>
  <c r="G42" i="161"/>
  <c r="G43" i="159"/>
  <c r="G44" i="159"/>
  <c r="G45" i="157"/>
  <c r="G44" i="158"/>
  <c r="G43" i="158"/>
  <c r="G45" i="158"/>
  <c r="G43" i="157"/>
  <c r="H46" i="157" s="1"/>
  <c r="H48" i="157" s="1"/>
  <c r="D154" i="24" s="1"/>
  <c r="G43" i="156"/>
  <c r="G45" i="156"/>
  <c r="G45" i="137"/>
  <c r="G43" i="137"/>
  <c r="G44" i="137"/>
  <c r="G45" i="155"/>
  <c r="G43" i="155"/>
  <c r="G43" i="154"/>
  <c r="G43" i="153"/>
  <c r="G44" i="153"/>
  <c r="G45" i="153"/>
  <c r="H46" i="147"/>
  <c r="H48" i="147" s="1"/>
  <c r="D142" i="24" s="1"/>
  <c r="H46" i="146"/>
  <c r="H48" i="146" s="1"/>
  <c r="D141" i="24" s="1"/>
  <c r="G45" i="140"/>
  <c r="G44" i="140"/>
  <c r="G43" i="140"/>
  <c r="G43" i="139"/>
  <c r="G44" i="139"/>
  <c r="G45" i="138"/>
  <c r="G43" i="138"/>
  <c r="G44" i="138"/>
  <c r="G45" i="136"/>
  <c r="G44" i="136"/>
  <c r="G44" i="135"/>
  <c r="G43" i="135"/>
  <c r="G45" i="135"/>
  <c r="H46" i="58"/>
  <c r="H48" i="58" s="1"/>
  <c r="D32" i="24" s="1"/>
  <c r="H46" i="356"/>
  <c r="H48" i="356" s="1"/>
  <c r="D383" i="24" s="1"/>
  <c r="H46" i="366"/>
  <c r="H48" i="366" s="1"/>
  <c r="D394" i="24" s="1"/>
  <c r="G25" i="252"/>
  <c r="G20" i="123"/>
  <c r="H24" i="123" s="1"/>
  <c r="H39" i="123" s="1"/>
  <c r="G24" i="251"/>
  <c r="H46" i="397"/>
  <c r="H48" i="397" s="1"/>
  <c r="H46" i="367"/>
  <c r="H48" i="367" s="1"/>
  <c r="D395" i="24" s="1"/>
  <c r="H46" i="368"/>
  <c r="H48" i="368" s="1"/>
  <c r="D396" i="24" s="1"/>
  <c r="H46" i="360"/>
  <c r="H48" i="360" s="1"/>
  <c r="D387" i="24" s="1"/>
  <c r="H46" i="371"/>
  <c r="H48" i="371" s="1"/>
  <c r="D399" i="24" s="1"/>
  <c r="G43" i="176"/>
  <c r="H46" i="374"/>
  <c r="H48" i="374" s="1"/>
  <c r="D404" i="24" s="1"/>
  <c r="G44" i="127"/>
  <c r="G43" i="178"/>
  <c r="G42" i="176"/>
  <c r="H45" i="176" s="1"/>
  <c r="H47" i="176" s="1"/>
  <c r="D178" i="24" s="1"/>
  <c r="F178" i="24" s="1"/>
  <c r="G44" i="178"/>
  <c r="H45" i="354"/>
  <c r="H47" i="354" s="1"/>
  <c r="D381" i="24" s="1"/>
  <c r="H46" i="46"/>
  <c r="H48" i="46" s="1"/>
  <c r="D21" i="24" s="1"/>
  <c r="G44" i="45"/>
  <c r="G45" i="45"/>
  <c r="G43" i="45"/>
  <c r="G43" i="131"/>
  <c r="G45" i="134"/>
  <c r="H46" i="100"/>
  <c r="H48" i="100" s="1"/>
  <c r="D89" i="24" s="1"/>
  <c r="H45" i="330"/>
  <c r="H47" i="330" s="1"/>
  <c r="D355" i="24" s="1"/>
  <c r="G45" i="127"/>
  <c r="G45" i="129"/>
  <c r="G44" i="134"/>
  <c r="G42" i="177"/>
  <c r="G44" i="180"/>
  <c r="H49" i="403"/>
  <c r="H51" i="403" s="1"/>
  <c r="H45" i="222"/>
  <c r="H47" i="222" s="1"/>
  <c r="D236" i="24" s="1"/>
  <c r="G44" i="130"/>
  <c r="G44" i="132"/>
  <c r="H46" i="355"/>
  <c r="H48" i="355" s="1"/>
  <c r="D382" i="24" s="1"/>
  <c r="H45" i="377"/>
  <c r="H47" i="377" s="1"/>
  <c r="D407" i="24" s="1"/>
  <c r="H46" i="288"/>
  <c r="H48" i="288" s="1"/>
  <c r="D305" i="24" s="1"/>
  <c r="G45" i="128"/>
  <c r="G43" i="132"/>
  <c r="G43" i="177"/>
  <c r="H49" i="404"/>
  <c r="H51" i="404" s="1"/>
  <c r="D76" i="24" s="1"/>
  <c r="F76" i="24" s="1"/>
  <c r="G46" i="95"/>
  <c r="G47" i="95"/>
  <c r="G48" i="95"/>
  <c r="H46" i="272"/>
  <c r="H48" i="272" s="1"/>
  <c r="D289" i="24" s="1"/>
  <c r="H46" i="269"/>
  <c r="H48" i="269" s="1"/>
  <c r="D286" i="24" s="1"/>
  <c r="H46" i="274"/>
  <c r="H48" i="274" s="1"/>
  <c r="D291" i="24" s="1"/>
  <c r="H46" i="270"/>
  <c r="H48" i="270" s="1"/>
  <c r="D287" i="24" s="1"/>
  <c r="G45" i="96"/>
  <c r="G46" i="96"/>
  <c r="G44" i="96"/>
  <c r="G45" i="97"/>
  <c r="G44" i="97"/>
  <c r="G46" i="97"/>
  <c r="G47" i="94"/>
  <c r="G48" i="94"/>
  <c r="G46" i="94"/>
  <c r="H46" i="271"/>
  <c r="H48" i="271" s="1"/>
  <c r="D288" i="24" s="1"/>
  <c r="H46" i="273"/>
  <c r="H48" i="273" s="1"/>
  <c r="D290" i="24" s="1"/>
  <c r="H46" i="275"/>
  <c r="H48" i="275" s="1"/>
  <c r="D292" i="24" s="1"/>
  <c r="H45" i="226"/>
  <c r="H47" i="226" s="1"/>
  <c r="D243" i="24" s="1"/>
  <c r="H45" i="228"/>
  <c r="H47" i="228" s="1"/>
  <c r="D244" i="24" s="1"/>
  <c r="H45" i="335"/>
  <c r="H47" i="335" s="1"/>
  <c r="D360" i="24" s="1"/>
  <c r="H46" i="268"/>
  <c r="H48" i="268" s="1"/>
  <c r="D285" i="24" s="1"/>
  <c r="H45" i="218"/>
  <c r="H47" i="218" s="1"/>
  <c r="D230" i="24" s="1"/>
  <c r="H45" i="216"/>
  <c r="H47" i="216" s="1"/>
  <c r="D227" i="24" s="1"/>
  <c r="G44" i="182"/>
  <c r="H46" i="373"/>
  <c r="H48" i="373" s="1"/>
  <c r="D401" i="24" s="1"/>
  <c r="F401" i="24" s="1"/>
  <c r="H46" i="358"/>
  <c r="H48" i="358" s="1"/>
  <c r="D385" i="24" s="1"/>
  <c r="H46" i="369"/>
  <c r="H48" i="369" s="1"/>
  <c r="D397" i="24" s="1"/>
  <c r="H45" i="215"/>
  <c r="H47" i="215" s="1"/>
  <c r="D226" i="24" s="1"/>
  <c r="H45" i="217"/>
  <c r="H47" i="217" s="1"/>
  <c r="D229" i="24" s="1"/>
  <c r="H45" i="331"/>
  <c r="H47" i="331" s="1"/>
  <c r="D356" i="24" s="1"/>
  <c r="G43" i="128"/>
  <c r="G43" i="129"/>
  <c r="G42" i="180"/>
  <c r="G43" i="182"/>
  <c r="H46" i="359"/>
  <c r="H48" i="359" s="1"/>
  <c r="D386" i="24" s="1"/>
  <c r="H46" i="370"/>
  <c r="H48" i="370" s="1"/>
  <c r="D398" i="24" s="1"/>
  <c r="H46" i="361"/>
  <c r="H48" i="361" s="1"/>
  <c r="D388" i="24" s="1"/>
  <c r="H46" i="372"/>
  <c r="H48" i="372" s="1"/>
  <c r="D400" i="24" s="1"/>
  <c r="H46" i="364"/>
  <c r="H48" i="364" s="1"/>
  <c r="D392" i="24" s="1"/>
  <c r="G44" i="149"/>
  <c r="H46" i="362"/>
  <c r="H48" i="362" s="1"/>
  <c r="D389" i="24" s="1"/>
  <c r="G45" i="131"/>
  <c r="H46" i="145"/>
  <c r="H48" i="145" s="1"/>
  <c r="D140" i="24" s="1"/>
  <c r="G45" i="151"/>
  <c r="G44" i="181"/>
  <c r="G43" i="181"/>
  <c r="G42" i="181"/>
  <c r="G44" i="179"/>
  <c r="G42" i="179"/>
  <c r="G43" i="179"/>
  <c r="G44" i="152"/>
  <c r="G45" i="152"/>
  <c r="G43" i="151"/>
  <c r="G43" i="150"/>
  <c r="G45" i="150"/>
  <c r="G44" i="150"/>
  <c r="G45" i="149"/>
  <c r="G43" i="130"/>
  <c r="H46" i="144"/>
  <c r="H48" i="144" s="1"/>
  <c r="D139" i="24" s="1"/>
  <c r="G44" i="133"/>
  <c r="G45" i="133"/>
  <c r="G43" i="133"/>
  <c r="G43" i="126"/>
  <c r="G45" i="126"/>
  <c r="G44" i="126"/>
  <c r="H45" i="379"/>
  <c r="H47" i="379" s="1"/>
  <c r="D409" i="24" s="1"/>
  <c r="H45" i="378"/>
  <c r="H47" i="378" s="1"/>
  <c r="D408" i="24" s="1"/>
  <c r="H46" i="353"/>
  <c r="H48" i="353" s="1"/>
  <c r="D380" i="24" s="1"/>
  <c r="H46" i="376"/>
  <c r="H48" i="376" s="1"/>
  <c r="D406" i="24" s="1"/>
  <c r="H45" i="259"/>
  <c r="H47" i="259" s="1"/>
  <c r="D277" i="24" s="1"/>
  <c r="H46" i="375"/>
  <c r="H48" i="375" s="1"/>
  <c r="D405" i="24" s="1"/>
  <c r="H49" i="87"/>
  <c r="H51" i="87" s="1"/>
  <c r="D72" i="24" s="1"/>
  <c r="F72" i="24" s="1"/>
  <c r="H47" i="295"/>
  <c r="H49" i="295" s="1"/>
  <c r="D312" i="24" s="1"/>
  <c r="H45" i="214"/>
  <c r="H47" i="214" s="1"/>
  <c r="D225" i="24" s="1"/>
  <c r="H45" i="219"/>
  <c r="H47" i="219" s="1"/>
  <c r="D231" i="24" s="1"/>
  <c r="H45" i="225"/>
  <c r="H47" i="225" s="1"/>
  <c r="D240" i="24" s="1"/>
  <c r="H45" i="297"/>
  <c r="H47" i="297" s="1"/>
  <c r="D314" i="24" s="1"/>
  <c r="H45" i="223"/>
  <c r="H47" i="223" s="1"/>
  <c r="D238" i="24" s="1"/>
  <c r="H45" i="220"/>
  <c r="H47" i="220" s="1"/>
  <c r="D234" i="24" s="1"/>
  <c r="H45" i="221"/>
  <c r="H47" i="221" s="1"/>
  <c r="D235" i="24" s="1"/>
  <c r="H45" i="224"/>
  <c r="H47" i="224" s="1"/>
  <c r="D239" i="24" s="1"/>
  <c r="H47" i="325"/>
  <c r="H49" i="325" s="1"/>
  <c r="D350" i="24" s="1"/>
  <c r="H46" i="124"/>
  <c r="H48" i="124" s="1"/>
  <c r="D113" i="24" s="1"/>
  <c r="H45" i="213"/>
  <c r="H47" i="213" s="1"/>
  <c r="D224" i="24" s="1"/>
  <c r="F224" i="24" s="1"/>
  <c r="H46" i="227"/>
  <c r="H48" i="227" s="1"/>
  <c r="D245" i="24" s="1"/>
  <c r="H46" i="230"/>
  <c r="H48" i="230" s="1"/>
  <c r="D247" i="24" s="1"/>
  <c r="H46" i="231"/>
  <c r="H48" i="231" s="1"/>
  <c r="D248" i="24" s="1"/>
  <c r="G45" i="92"/>
  <c r="G44" i="92"/>
  <c r="G46" i="92"/>
  <c r="H46" i="229"/>
  <c r="H48" i="229" s="1"/>
  <c r="D246" i="24" s="1"/>
  <c r="H46" i="125"/>
  <c r="H48" i="125" s="1"/>
  <c r="D114" i="24" s="1"/>
  <c r="H46" i="232"/>
  <c r="H48" i="232" s="1"/>
  <c r="D249" i="24" s="1"/>
  <c r="H46" i="292"/>
  <c r="H48" i="292" s="1"/>
  <c r="D309" i="24" s="1"/>
  <c r="H46" i="293"/>
  <c r="H48" i="293" s="1"/>
  <c r="D310" i="24" s="1"/>
  <c r="H48" i="291"/>
  <c r="H50" i="291" s="1"/>
  <c r="D308" i="24" s="1"/>
  <c r="H46" i="294"/>
  <c r="H48" i="294" s="1"/>
  <c r="D311" i="24" s="1"/>
  <c r="H49" i="88"/>
  <c r="H51" i="88" s="1"/>
  <c r="D74" i="24" s="1"/>
  <c r="F74" i="24" s="1"/>
  <c r="H46" i="57"/>
  <c r="H48" i="57" s="1"/>
  <c r="D31" i="24" s="1"/>
  <c r="H49" i="89"/>
  <c r="H51" i="89" s="1"/>
  <c r="D75" i="24" s="1"/>
  <c r="F75" i="24" s="1"/>
  <c r="D10" i="24"/>
  <c r="H252" i="24" l="1"/>
  <c r="H46" i="154"/>
  <c r="H48" i="154" s="1"/>
  <c r="D151" i="24" s="1"/>
  <c r="H308" i="24"/>
  <c r="F308" i="24"/>
  <c r="H309" i="24"/>
  <c r="F309" i="24"/>
  <c r="H114" i="24"/>
  <c r="F114" i="24"/>
  <c r="H247" i="24"/>
  <c r="F247" i="24"/>
  <c r="H350" i="24"/>
  <c r="F350" i="24"/>
  <c r="H235" i="24"/>
  <c r="F235" i="24"/>
  <c r="H238" i="24"/>
  <c r="F238" i="24"/>
  <c r="H240" i="24"/>
  <c r="F240" i="24"/>
  <c r="H225" i="24"/>
  <c r="F225" i="24"/>
  <c r="H277" i="24"/>
  <c r="F277" i="24"/>
  <c r="H380" i="24"/>
  <c r="F380" i="24"/>
  <c r="H409" i="24"/>
  <c r="F409" i="24"/>
  <c r="H400" i="24"/>
  <c r="F400" i="24"/>
  <c r="H398" i="24"/>
  <c r="F398" i="24"/>
  <c r="H356" i="24"/>
  <c r="F356" i="24"/>
  <c r="H226" i="24"/>
  <c r="F226" i="24"/>
  <c r="H385" i="24"/>
  <c r="F385" i="24"/>
  <c r="H230" i="24"/>
  <c r="F230" i="24"/>
  <c r="H360" i="24"/>
  <c r="F360" i="24"/>
  <c r="H243" i="24"/>
  <c r="F243" i="24"/>
  <c r="H290" i="24"/>
  <c r="F290" i="24"/>
  <c r="H291" i="24"/>
  <c r="F291" i="24"/>
  <c r="H289" i="24"/>
  <c r="F289" i="24"/>
  <c r="H305" i="24"/>
  <c r="F305" i="24"/>
  <c r="H382" i="24"/>
  <c r="F382" i="24"/>
  <c r="H355" i="24"/>
  <c r="F355" i="24"/>
  <c r="H381" i="24"/>
  <c r="F381" i="24"/>
  <c r="H387" i="24"/>
  <c r="F387" i="24"/>
  <c r="H395" i="24"/>
  <c r="F395" i="24"/>
  <c r="H383" i="24"/>
  <c r="F383" i="24"/>
  <c r="H142" i="24"/>
  <c r="F142" i="24"/>
  <c r="H151" i="24"/>
  <c r="F151" i="24"/>
  <c r="H154" i="24"/>
  <c r="F154" i="24"/>
  <c r="H190" i="24"/>
  <c r="F190" i="24"/>
  <c r="H196" i="24"/>
  <c r="F196" i="24"/>
  <c r="H218" i="24"/>
  <c r="F218" i="24"/>
  <c r="H221" i="24"/>
  <c r="F221" i="24"/>
  <c r="H306" i="24"/>
  <c r="F306" i="24"/>
  <c r="H316" i="24"/>
  <c r="F316" i="24"/>
  <c r="H411" i="24"/>
  <c r="F411" i="24"/>
  <c r="H421" i="24"/>
  <c r="F421" i="24"/>
  <c r="H423" i="24"/>
  <c r="F423" i="24"/>
  <c r="H425" i="24"/>
  <c r="F425" i="24"/>
  <c r="H427" i="24"/>
  <c r="F427" i="24"/>
  <c r="H414" i="24"/>
  <c r="F414" i="24"/>
  <c r="H207" i="24"/>
  <c r="F207" i="24"/>
  <c r="H188" i="24"/>
  <c r="F188" i="24"/>
  <c r="H206" i="24"/>
  <c r="F206" i="24"/>
  <c r="H220" i="24"/>
  <c r="F220" i="24"/>
  <c r="H136" i="24"/>
  <c r="F136" i="24"/>
  <c r="H254" i="24"/>
  <c r="F254" i="24"/>
  <c r="H317" i="24"/>
  <c r="F317" i="24"/>
  <c r="H256" i="24"/>
  <c r="F256" i="24"/>
  <c r="H257" i="24"/>
  <c r="F257" i="24"/>
  <c r="H170" i="24"/>
  <c r="F170" i="24"/>
  <c r="H167" i="24"/>
  <c r="F167" i="24"/>
  <c r="H157" i="24"/>
  <c r="F157" i="24"/>
  <c r="H297" i="24"/>
  <c r="F297" i="24"/>
  <c r="H419" i="24"/>
  <c r="F419" i="24"/>
  <c r="H265" i="24"/>
  <c r="F265" i="24"/>
  <c r="H279" i="24"/>
  <c r="F279" i="24"/>
  <c r="H99" i="24"/>
  <c r="F99" i="24"/>
  <c r="H304" i="24"/>
  <c r="F304" i="24"/>
  <c r="H294" i="24"/>
  <c r="F294" i="24"/>
  <c r="H299" i="24"/>
  <c r="F299" i="24"/>
  <c r="H301" i="24"/>
  <c r="F301" i="24"/>
  <c r="H264" i="24"/>
  <c r="F264" i="24"/>
  <c r="H253" i="24"/>
  <c r="F253" i="24"/>
  <c r="H303" i="24"/>
  <c r="F303" i="24"/>
  <c r="H143" i="24"/>
  <c r="F143" i="24"/>
  <c r="H10" i="24"/>
  <c r="F10" i="24"/>
  <c r="H31" i="24"/>
  <c r="F31" i="24"/>
  <c r="H311" i="24"/>
  <c r="F311" i="24"/>
  <c r="H310" i="24"/>
  <c r="F310" i="24"/>
  <c r="H249" i="24"/>
  <c r="F249" i="24"/>
  <c r="H246" i="24"/>
  <c r="F246" i="24"/>
  <c r="H248" i="24"/>
  <c r="F248" i="24"/>
  <c r="H245" i="24"/>
  <c r="F245" i="24"/>
  <c r="H113" i="24"/>
  <c r="F113" i="24"/>
  <c r="H239" i="24"/>
  <c r="F239" i="24"/>
  <c r="H234" i="24"/>
  <c r="F234" i="24"/>
  <c r="H314" i="24"/>
  <c r="F314" i="24"/>
  <c r="H231" i="24"/>
  <c r="F231" i="24"/>
  <c r="H312" i="24"/>
  <c r="F312" i="24"/>
  <c r="H405" i="24"/>
  <c r="F405" i="24"/>
  <c r="H406" i="24"/>
  <c r="F406" i="24"/>
  <c r="H408" i="24"/>
  <c r="F408" i="24"/>
  <c r="H139" i="24"/>
  <c r="F139" i="24"/>
  <c r="H140" i="24"/>
  <c r="F140" i="24"/>
  <c r="H389" i="24"/>
  <c r="F389" i="24"/>
  <c r="H392" i="24"/>
  <c r="F392" i="24"/>
  <c r="H388" i="24"/>
  <c r="F388" i="24"/>
  <c r="H386" i="24"/>
  <c r="F386" i="24"/>
  <c r="H229" i="24"/>
  <c r="F229" i="24"/>
  <c r="H397" i="24"/>
  <c r="F397" i="24"/>
  <c r="H227" i="24"/>
  <c r="F227" i="24"/>
  <c r="H285" i="24"/>
  <c r="F285" i="24"/>
  <c r="H244" i="24"/>
  <c r="F244" i="24"/>
  <c r="H292" i="24"/>
  <c r="F292" i="24"/>
  <c r="H288" i="24"/>
  <c r="F288" i="24"/>
  <c r="H287" i="24"/>
  <c r="F287" i="24"/>
  <c r="H286" i="24"/>
  <c r="F286" i="24"/>
  <c r="H407" i="24"/>
  <c r="F407" i="24"/>
  <c r="H236" i="24"/>
  <c r="F236" i="24"/>
  <c r="H89" i="24"/>
  <c r="F89" i="24"/>
  <c r="H21" i="24"/>
  <c r="F21" i="24"/>
  <c r="H404" i="24"/>
  <c r="F404" i="24"/>
  <c r="H399" i="24"/>
  <c r="F399" i="24"/>
  <c r="H396" i="24"/>
  <c r="F396" i="24"/>
  <c r="H394" i="24"/>
  <c r="F394" i="24"/>
  <c r="H32" i="24"/>
  <c r="F32" i="24"/>
  <c r="H141" i="24"/>
  <c r="F141" i="24"/>
  <c r="H90" i="24"/>
  <c r="F90" i="24"/>
  <c r="H315" i="24"/>
  <c r="F315" i="24"/>
  <c r="H420" i="24"/>
  <c r="F420" i="24"/>
  <c r="H422" i="24"/>
  <c r="F422" i="24"/>
  <c r="H424" i="24"/>
  <c r="F424" i="24"/>
  <c r="H426" i="24"/>
  <c r="F426" i="24"/>
  <c r="H413" i="24"/>
  <c r="F413" i="24"/>
  <c r="H205" i="24"/>
  <c r="F205" i="24"/>
  <c r="H192" i="24"/>
  <c r="F192" i="24"/>
  <c r="H418" i="24"/>
  <c r="F418" i="24"/>
  <c r="H134" i="24"/>
  <c r="F134" i="24"/>
  <c r="H97" i="24"/>
  <c r="F97" i="24"/>
  <c r="H255" i="24"/>
  <c r="F255" i="24"/>
  <c r="H258" i="24"/>
  <c r="F258" i="24"/>
  <c r="H219" i="24"/>
  <c r="F219" i="24"/>
  <c r="H166" i="24"/>
  <c r="F166" i="24"/>
  <c r="H164" i="24"/>
  <c r="F164" i="24"/>
  <c r="H135" i="24"/>
  <c r="F135" i="24"/>
  <c r="H391" i="24"/>
  <c r="F391" i="24"/>
  <c r="H295" i="24"/>
  <c r="F295" i="24"/>
  <c r="H300" i="24"/>
  <c r="F300" i="24"/>
  <c r="H302" i="24"/>
  <c r="F302" i="24"/>
  <c r="H307" i="24"/>
  <c r="F307" i="24"/>
  <c r="H296" i="24"/>
  <c r="F296" i="24"/>
  <c r="H284" i="24"/>
  <c r="F284" i="24"/>
  <c r="H298" i="24"/>
  <c r="F298" i="24"/>
  <c r="H293" i="24"/>
  <c r="F293" i="24"/>
  <c r="H338" i="24"/>
  <c r="F338" i="24"/>
  <c r="H46" i="149"/>
  <c r="H48" i="149" s="1"/>
  <c r="D144" i="24" s="1"/>
  <c r="H46" i="171"/>
  <c r="H48" i="171" s="1"/>
  <c r="D171" i="24" s="1"/>
  <c r="D87" i="24"/>
  <c r="F87" i="24" s="1"/>
  <c r="H46" i="173"/>
  <c r="H48" i="173" s="1"/>
  <c r="D173" i="24" s="1"/>
  <c r="H46" i="186"/>
  <c r="H48" i="186" s="1"/>
  <c r="D189" i="24" s="1"/>
  <c r="H46" i="188"/>
  <c r="H48" i="188" s="1"/>
  <c r="D191" i="24" s="1"/>
  <c r="H46" i="175"/>
  <c r="H48" i="175" s="1"/>
  <c r="D175" i="24" s="1"/>
  <c r="H46" i="183"/>
  <c r="H48" i="183" s="1"/>
  <c r="D186" i="24" s="1"/>
  <c r="H46" i="184"/>
  <c r="H48" i="184" s="1"/>
  <c r="D187" i="24" s="1"/>
  <c r="H224" i="24"/>
  <c r="H46" i="155"/>
  <c r="H48" i="155" s="1"/>
  <c r="D152" i="24" s="1"/>
  <c r="H45" i="159"/>
  <c r="H47" i="159" s="1"/>
  <c r="D156" i="24" s="1"/>
  <c r="H169" i="24"/>
  <c r="H46" i="174"/>
  <c r="H48" i="174" s="1"/>
  <c r="D174" i="24" s="1"/>
  <c r="F174" i="24" s="1"/>
  <c r="H46" i="138"/>
  <c r="H48" i="138" s="1"/>
  <c r="D131" i="24" s="1"/>
  <c r="H46" i="136"/>
  <c r="H48" i="136" s="1"/>
  <c r="D129" i="24" s="1"/>
  <c r="H46" i="158"/>
  <c r="H48" i="158" s="1"/>
  <c r="D155" i="24" s="1"/>
  <c r="H46" i="162"/>
  <c r="H48" i="162" s="1"/>
  <c r="D161" i="24" s="1"/>
  <c r="H46" i="163"/>
  <c r="H48" i="163" s="1"/>
  <c r="D162" i="24" s="1"/>
  <c r="F162" i="24" s="1"/>
  <c r="H46" i="172"/>
  <c r="H48" i="172" s="1"/>
  <c r="D172" i="24" s="1"/>
  <c r="F172" i="24" s="1"/>
  <c r="H46" i="166"/>
  <c r="H48" i="166" s="1"/>
  <c r="D165" i="24" s="1"/>
  <c r="F165" i="24" s="1"/>
  <c r="H46" i="164"/>
  <c r="H48" i="164" s="1"/>
  <c r="D163" i="24" s="1"/>
  <c r="F163" i="24" s="1"/>
  <c r="H178" i="24"/>
  <c r="H45" i="161"/>
  <c r="H47" i="161" s="1"/>
  <c r="D158" i="24" s="1"/>
  <c r="H46" i="139"/>
  <c r="H48" i="139" s="1"/>
  <c r="D132" i="24" s="1"/>
  <c r="H46" i="156"/>
  <c r="H48" i="156" s="1"/>
  <c r="D153" i="24" s="1"/>
  <c r="H46" i="137"/>
  <c r="H48" i="137" s="1"/>
  <c r="D130" i="24" s="1"/>
  <c r="H46" i="153"/>
  <c r="H48" i="153" s="1"/>
  <c r="D150" i="24" s="1"/>
  <c r="H46" i="140"/>
  <c r="H48" i="140" s="1"/>
  <c r="D133" i="24" s="1"/>
  <c r="F133" i="24" s="1"/>
  <c r="H46" i="135"/>
  <c r="H48" i="135" s="1"/>
  <c r="D128" i="24" s="1"/>
  <c r="G42" i="123"/>
  <c r="G43" i="123"/>
  <c r="G44" i="123"/>
  <c r="G21" i="107"/>
  <c r="H25" i="107" s="1"/>
  <c r="H40" i="107" s="1"/>
  <c r="G21" i="106"/>
  <c r="H25" i="106" s="1"/>
  <c r="H40" i="106" s="1"/>
  <c r="G21" i="253"/>
  <c r="H27" i="253" s="1"/>
  <c r="H42" i="253" s="1"/>
  <c r="G21" i="255"/>
  <c r="H25" i="255" s="1"/>
  <c r="H40" i="255" s="1"/>
  <c r="G21" i="254"/>
  <c r="H25" i="254" s="1"/>
  <c r="H40" i="254" s="1"/>
  <c r="G22" i="252"/>
  <c r="G21" i="245"/>
  <c r="H25" i="245" s="1"/>
  <c r="H40" i="245" s="1"/>
  <c r="G22" i="246"/>
  <c r="H25" i="246" s="1"/>
  <c r="H40" i="246" s="1"/>
  <c r="G21" i="244"/>
  <c r="H26" i="244" s="1"/>
  <c r="H41" i="244" s="1"/>
  <c r="G21" i="251"/>
  <c r="D73" i="24"/>
  <c r="F73" i="24" s="1"/>
  <c r="H46" i="127"/>
  <c r="H48" i="127" s="1"/>
  <c r="D119" i="24" s="1"/>
  <c r="H46" i="131"/>
  <c r="H48" i="131" s="1"/>
  <c r="D123" i="24" s="1"/>
  <c r="H45" i="178"/>
  <c r="H47" i="178" s="1"/>
  <c r="D180" i="24" s="1"/>
  <c r="F180" i="24" s="1"/>
  <c r="H46" i="134"/>
  <c r="H48" i="134" s="1"/>
  <c r="D126" i="24" s="1"/>
  <c r="H46" i="45"/>
  <c r="H48" i="45" s="1"/>
  <c r="D20" i="24" s="1"/>
  <c r="H46" i="130"/>
  <c r="H48" i="130" s="1"/>
  <c r="D122" i="24" s="1"/>
  <c r="H45" i="182"/>
  <c r="H47" i="182" s="1"/>
  <c r="D184" i="24" s="1"/>
  <c r="F184" i="24" s="1"/>
  <c r="H46" i="129"/>
  <c r="H48" i="129" s="1"/>
  <c r="D121" i="24" s="1"/>
  <c r="H49" i="94"/>
  <c r="H47" i="96"/>
  <c r="H49" i="96" s="1"/>
  <c r="D81" i="24" s="1"/>
  <c r="F81" i="24" s="1"/>
  <c r="H49" i="95"/>
  <c r="H51" i="95" s="1"/>
  <c r="D79" i="24" s="1"/>
  <c r="F79" i="24" s="1"/>
  <c r="H45" i="177"/>
  <c r="H47" i="177" s="1"/>
  <c r="D179" i="24" s="1"/>
  <c r="F179" i="24" s="1"/>
  <c r="H46" i="132"/>
  <c r="H48" i="132" s="1"/>
  <c r="D124" i="24" s="1"/>
  <c r="H45" i="180"/>
  <c r="H47" i="180" s="1"/>
  <c r="D182" i="24" s="1"/>
  <c r="F182" i="24" s="1"/>
  <c r="H46" i="128"/>
  <c r="H48" i="128" s="1"/>
  <c r="D120" i="24" s="1"/>
  <c r="H47" i="97"/>
  <c r="H49" i="97" s="1"/>
  <c r="D83" i="24" s="1"/>
  <c r="F83" i="24" s="1"/>
  <c r="H46" i="152"/>
  <c r="H48" i="152" s="1"/>
  <c r="D147" i="24" s="1"/>
  <c r="H46" i="151"/>
  <c r="H48" i="151" s="1"/>
  <c r="D146" i="24" s="1"/>
  <c r="H45" i="181"/>
  <c r="H47" i="181" s="1"/>
  <c r="D183" i="24" s="1"/>
  <c r="F183" i="24" s="1"/>
  <c r="H45" i="179"/>
  <c r="H47" i="179" s="1"/>
  <c r="D181" i="24" s="1"/>
  <c r="F181" i="24" s="1"/>
  <c r="H46" i="150"/>
  <c r="H48" i="150" s="1"/>
  <c r="D145" i="24" s="1"/>
  <c r="H46" i="133"/>
  <c r="H48" i="133" s="1"/>
  <c r="D125" i="24" s="1"/>
  <c r="H46" i="126"/>
  <c r="H48" i="126" s="1"/>
  <c r="D118" i="24" s="1"/>
  <c r="H47" i="92"/>
  <c r="H49" i="92" s="1"/>
  <c r="H125" i="24" l="1"/>
  <c r="F125" i="24"/>
  <c r="H146" i="24"/>
  <c r="F146" i="24"/>
  <c r="H121" i="24"/>
  <c r="F121" i="24"/>
  <c r="H122" i="24"/>
  <c r="F122" i="24"/>
  <c r="H126" i="24"/>
  <c r="F126" i="24"/>
  <c r="H123" i="24"/>
  <c r="F123" i="24"/>
  <c r="H128" i="24"/>
  <c r="F128" i="24"/>
  <c r="H150" i="24"/>
  <c r="F150" i="24"/>
  <c r="H153" i="24"/>
  <c r="F153" i="24"/>
  <c r="H158" i="24"/>
  <c r="F158" i="24"/>
  <c r="H161" i="24"/>
  <c r="F161" i="24"/>
  <c r="H129" i="24"/>
  <c r="F129" i="24"/>
  <c r="H156" i="24"/>
  <c r="F156" i="24"/>
  <c r="H186" i="24"/>
  <c r="F186" i="24"/>
  <c r="H191" i="24"/>
  <c r="F191" i="24"/>
  <c r="H173" i="24"/>
  <c r="F173" i="24"/>
  <c r="H171" i="24"/>
  <c r="F171" i="24"/>
  <c r="H118" i="24"/>
  <c r="F118" i="24"/>
  <c r="H145" i="24"/>
  <c r="F145" i="24"/>
  <c r="H147" i="24"/>
  <c r="F147" i="24"/>
  <c r="H120" i="24"/>
  <c r="F120" i="24"/>
  <c r="H124" i="24"/>
  <c r="F124" i="24"/>
  <c r="H20" i="24"/>
  <c r="F20" i="24"/>
  <c r="H119" i="24"/>
  <c r="F119" i="24"/>
  <c r="H130" i="24"/>
  <c r="F130" i="24"/>
  <c r="H132" i="24"/>
  <c r="F132" i="24"/>
  <c r="H155" i="24"/>
  <c r="F155" i="24"/>
  <c r="H131" i="24"/>
  <c r="F131" i="24"/>
  <c r="H152" i="24"/>
  <c r="F152" i="24"/>
  <c r="H187" i="24"/>
  <c r="F187" i="24"/>
  <c r="H175" i="24"/>
  <c r="F175" i="24"/>
  <c r="H189" i="24"/>
  <c r="F189" i="24"/>
  <c r="H144" i="24"/>
  <c r="F144" i="24"/>
  <c r="G21" i="252"/>
  <c r="H27" i="252" s="1"/>
  <c r="H42" i="252" s="1"/>
  <c r="G45" i="252" s="1"/>
  <c r="H174" i="24"/>
  <c r="H162" i="24"/>
  <c r="H165" i="24"/>
  <c r="H172" i="24"/>
  <c r="H184" i="24"/>
  <c r="H183" i="24"/>
  <c r="H182" i="24"/>
  <c r="H181" i="24"/>
  <c r="H180" i="24"/>
  <c r="H163" i="24"/>
  <c r="H179" i="24"/>
  <c r="H133" i="24"/>
  <c r="H51" i="94"/>
  <c r="D78" i="24" s="1"/>
  <c r="F78" i="24" s="1"/>
  <c r="H45" i="123"/>
  <c r="H47" i="123" s="1"/>
  <c r="D112" i="24" s="1"/>
  <c r="G45" i="255"/>
  <c r="G43" i="255"/>
  <c r="G44" i="255"/>
  <c r="G44" i="106"/>
  <c r="G43" i="106"/>
  <c r="G45" i="106"/>
  <c r="G43" i="254"/>
  <c r="G45" i="254"/>
  <c r="G44" i="254"/>
  <c r="G46" i="253"/>
  <c r="G45" i="253"/>
  <c r="G47" i="253"/>
  <c r="G45" i="107"/>
  <c r="G43" i="107"/>
  <c r="G44" i="107"/>
  <c r="G20" i="251"/>
  <c r="H26" i="251" s="1"/>
  <c r="H41" i="251" s="1"/>
  <c r="G45" i="244"/>
  <c r="G46" i="244"/>
  <c r="G44" i="244"/>
  <c r="G45" i="246"/>
  <c r="G44" i="246"/>
  <c r="G43" i="246"/>
  <c r="G43" i="245"/>
  <c r="G44" i="245"/>
  <c r="G45" i="245"/>
  <c r="G21" i="98"/>
  <c r="D77" i="24"/>
  <c r="F77" i="24" s="1"/>
  <c r="H112" i="24" l="1"/>
  <c r="F112" i="24"/>
  <c r="G47" i="252"/>
  <c r="G46" i="252"/>
  <c r="H48" i="253"/>
  <c r="H50" i="253" s="1"/>
  <c r="D270" i="24" s="1"/>
  <c r="G21" i="99"/>
  <c r="H25" i="99" s="1"/>
  <c r="H40" i="99" s="1"/>
  <c r="H46" i="255"/>
  <c r="H48" i="255" s="1"/>
  <c r="D272" i="24" s="1"/>
  <c r="H46" i="254"/>
  <c r="H48" i="254" s="1"/>
  <c r="D271" i="24" s="1"/>
  <c r="H46" i="245"/>
  <c r="H48" i="245" s="1"/>
  <c r="D262" i="24" s="1"/>
  <c r="H47" i="244"/>
  <c r="H49" i="244" s="1"/>
  <c r="D261" i="24" s="1"/>
  <c r="F261" i="24" s="1"/>
  <c r="H46" i="107"/>
  <c r="H48" i="107" s="1"/>
  <c r="D96" i="24" s="1"/>
  <c r="H46" i="106"/>
  <c r="H48" i="106" s="1"/>
  <c r="D95" i="24" s="1"/>
  <c r="H46" i="246"/>
  <c r="H48" i="246" s="1"/>
  <c r="D263" i="24" s="1"/>
  <c r="F263" i="24" s="1"/>
  <c r="G45" i="251"/>
  <c r="G46" i="251"/>
  <c r="G44" i="251"/>
  <c r="H26" i="98"/>
  <c r="H41" i="98" s="1"/>
  <c r="H95" i="24" l="1"/>
  <c r="F95" i="24"/>
  <c r="H271" i="24"/>
  <c r="F271" i="24"/>
  <c r="H96" i="24"/>
  <c r="F96" i="24"/>
  <c r="H262" i="24"/>
  <c r="F262" i="24"/>
  <c r="H272" i="24"/>
  <c r="F272" i="24"/>
  <c r="H270" i="24"/>
  <c r="F270" i="24"/>
  <c r="H261" i="24"/>
  <c r="H263" i="24"/>
  <c r="H48" i="252"/>
  <c r="H50" i="252" s="1"/>
  <c r="D269" i="24" s="1"/>
  <c r="G44" i="99"/>
  <c r="G45" i="99"/>
  <c r="G43" i="99"/>
  <c r="H47" i="251"/>
  <c r="H49" i="251" s="1"/>
  <c r="D268" i="24" s="1"/>
  <c r="G44" i="98"/>
  <c r="G45" i="98"/>
  <c r="G46" i="98"/>
  <c r="H268" i="24" l="1"/>
  <c r="F268" i="24"/>
  <c r="H269" i="24"/>
  <c r="F269" i="24"/>
  <c r="H46" i="99"/>
  <c r="H48" i="99" s="1"/>
  <c r="D85" i="24" s="1"/>
  <c r="F85" i="24" s="1"/>
  <c r="H47" i="98"/>
  <c r="H49" i="98" s="1"/>
  <c r="D84" i="24" s="1"/>
  <c r="F84" i="24" s="1"/>
  <c r="F1" i="415" l="1"/>
</calcChain>
</file>

<file path=xl/comments1.xml><?xml version="1.0" encoding="utf-8"?>
<comments xmlns="http://schemas.openxmlformats.org/spreadsheetml/2006/main">
  <authors>
    <author>JECESPEDES</author>
  </authors>
  <commentList>
    <comment ref="D27" authorId="0">
      <text>
        <r>
          <rPr>
            <b/>
            <sz val="9"/>
            <color indexed="81"/>
            <rFont val="Tahoma"/>
            <family val="2"/>
          </rPr>
          <t>JECESPEDES:</t>
        </r>
        <r>
          <rPr>
            <sz val="9"/>
            <color indexed="81"/>
            <rFont val="Tahoma"/>
            <family val="2"/>
          </rPr>
          <t xml:space="preserve">
CONSULTAR CALCULO AREA DE ENTBADO</t>
        </r>
      </text>
    </comment>
    <comment ref="E27" authorId="0">
      <text>
        <r>
          <rPr>
            <b/>
            <sz val="9"/>
            <color indexed="81"/>
            <rFont val="Tahoma"/>
            <family val="2"/>
          </rPr>
          <t>JECESPEDES:</t>
        </r>
        <r>
          <rPr>
            <sz val="9"/>
            <color indexed="81"/>
            <rFont val="Tahoma"/>
            <family val="2"/>
          </rPr>
          <t xml:space="preserve">
</t>
        </r>
      </text>
    </comment>
    <comment ref="D53" authorId="0">
      <text>
        <r>
          <rPr>
            <b/>
            <sz val="9"/>
            <color indexed="81"/>
            <rFont val="Tahoma"/>
            <family val="2"/>
          </rPr>
          <t xml:space="preserve">JECESPEDES:
</t>
        </r>
        <r>
          <rPr>
            <sz val="9"/>
            <color indexed="81"/>
            <rFont val="Tahoma"/>
            <family val="2"/>
          </rPr>
          <t xml:space="preserve"> TUBERIAS A INSTALAR SIN INCLUIR TUNEL, PASOS SUBFLUVIALES Y VIADUCTOS </t>
        </r>
      </text>
    </comment>
  </commentList>
</comments>
</file>

<file path=xl/comments2.xml><?xml version="1.0" encoding="utf-8"?>
<comments xmlns="http://schemas.openxmlformats.org/spreadsheetml/2006/main">
  <authors>
    <author>Javier Susunaga</author>
  </authors>
  <commentList>
    <comment ref="B24" authorId="0">
      <text>
        <r>
          <rPr>
            <sz val="9"/>
            <color indexed="81"/>
            <rFont val="Tahoma"/>
            <family val="2"/>
          </rPr>
          <t xml:space="preserve">VALOR DOTACION
</t>
        </r>
      </text>
    </comment>
    <comment ref="C24" authorId="0">
      <text>
        <r>
          <rPr>
            <sz val="9"/>
            <color indexed="81"/>
            <rFont val="Tahoma"/>
            <family val="2"/>
          </rPr>
          <t xml:space="preserve">TRES DOTACIONES EN EL AÑO
</t>
        </r>
      </text>
    </comment>
  </commentList>
</comments>
</file>

<file path=xl/comments3.xml><?xml version="1.0" encoding="utf-8"?>
<comments xmlns="http://schemas.openxmlformats.org/spreadsheetml/2006/main">
  <authors>
    <author>Javier Susunaga</author>
  </authors>
  <commentList>
    <comment ref="E3" authorId="0">
      <text>
        <r>
          <rPr>
            <b/>
            <sz val="9"/>
            <color indexed="81"/>
            <rFont val="Tahoma"/>
            <family val="2"/>
          </rPr>
          <t>CLAUDIO GAITAN</t>
        </r>
      </text>
    </comment>
    <comment ref="F3" authorId="0">
      <text>
        <r>
          <rPr>
            <sz val="9"/>
            <color indexed="81"/>
            <rFont val="Tahoma"/>
            <family val="2"/>
          </rPr>
          <t xml:space="preserve">UNIVERSAL DE EQUIPOS
2633364
</t>
        </r>
      </text>
    </comment>
    <comment ref="E4" authorId="0">
      <text>
        <r>
          <rPr>
            <sz val="9"/>
            <color indexed="81"/>
            <rFont val="Tahoma"/>
            <family val="2"/>
          </rPr>
          <t xml:space="preserve">CLAUDIO GAITAN MOVIMIENTOS S.A.S Avenida Ambala Mina El Vergel Teléfono: 2717299
</t>
        </r>
      </text>
    </comment>
    <comment ref="F4" authorId="0">
      <text>
        <r>
          <rPr>
            <sz val="9"/>
            <color indexed="81"/>
            <rFont val="Tahoma"/>
            <family val="2"/>
          </rPr>
          <t xml:space="preserve">PROYECTOS Y MOVIMIENTOS S.A.S Avenida Ambala Mina El Vergel Teléfono: 2717299
</t>
        </r>
      </text>
    </comment>
    <comment ref="E5" authorId="0">
      <text>
        <r>
          <rPr>
            <b/>
            <sz val="9"/>
            <color indexed="81"/>
            <rFont val="Tahoma"/>
            <family val="2"/>
          </rPr>
          <t>CLAUDIO GAITAN</t>
        </r>
        <r>
          <rPr>
            <sz val="9"/>
            <color indexed="81"/>
            <rFont val="Tahoma"/>
            <family val="2"/>
          </rPr>
          <t xml:space="preserve">
</t>
        </r>
      </text>
    </comment>
    <comment ref="E6" authorId="0">
      <text>
        <r>
          <rPr>
            <sz val="9"/>
            <color indexed="81"/>
            <rFont val="Tahoma"/>
            <family val="2"/>
          </rPr>
          <t xml:space="preserve">ARRENDAMOS Tel. 2648128 CENAIDA RESPONDIO LA CONSULTA
</t>
        </r>
      </text>
    </comment>
    <comment ref="F6" authorId="0">
      <text>
        <r>
          <rPr>
            <sz val="9"/>
            <color indexed="81"/>
            <rFont val="Tahoma"/>
            <family val="2"/>
          </rPr>
          <t xml:space="preserve">UNIVERSAL DE EQUIPOS
2633364
</t>
        </r>
      </text>
    </comment>
    <comment ref="E7" authorId="0">
      <text>
        <r>
          <rPr>
            <sz val="9"/>
            <color indexed="81"/>
            <rFont val="Tahoma"/>
            <family val="2"/>
          </rPr>
          <t>ARRENDAMOS Tel. 2648128 CENAIDA RESPONDIO LA CONSULTA</t>
        </r>
      </text>
    </comment>
    <comment ref="F7" authorId="0">
      <text>
        <r>
          <rPr>
            <b/>
            <sz val="9"/>
            <color indexed="81"/>
            <rFont val="Tahoma"/>
            <family val="2"/>
          </rPr>
          <t>UNIVERSAL DE EQUIPOS TEL:2633364</t>
        </r>
        <r>
          <rPr>
            <sz val="9"/>
            <color indexed="81"/>
            <rFont val="Tahoma"/>
            <family val="2"/>
          </rPr>
          <t xml:space="preserve">
</t>
        </r>
      </text>
    </comment>
    <comment ref="E8" authorId="0">
      <text>
        <r>
          <rPr>
            <sz val="9"/>
            <color indexed="81"/>
            <rFont val="Tahoma"/>
            <family val="2"/>
          </rPr>
          <t>ARRENDAMOS Tel. 2648128 CENAIDA RESPONDIO LA CONSULTA</t>
        </r>
      </text>
    </comment>
    <comment ref="F8" authorId="0">
      <text>
        <r>
          <rPr>
            <b/>
            <sz val="9"/>
            <color indexed="81"/>
            <rFont val="Tahoma"/>
            <family val="2"/>
          </rPr>
          <t>UNIVERSAL DE EQUIPOS TEL:2633364</t>
        </r>
        <r>
          <rPr>
            <sz val="9"/>
            <color indexed="81"/>
            <rFont val="Tahoma"/>
            <family val="2"/>
          </rPr>
          <t xml:space="preserve">
</t>
        </r>
      </text>
    </comment>
    <comment ref="E9" authorId="0">
      <text>
        <r>
          <rPr>
            <sz val="9"/>
            <color indexed="81"/>
            <rFont val="Tahoma"/>
            <family val="2"/>
          </rPr>
          <t>ARRENDAMOS Tel. 2648128 CENAIDA RESPONDIO LA CONSULTA</t>
        </r>
      </text>
    </comment>
    <comment ref="F9" authorId="0">
      <text>
        <r>
          <rPr>
            <sz val="9"/>
            <color indexed="81"/>
            <rFont val="Tahoma"/>
            <family val="2"/>
          </rPr>
          <t xml:space="preserve">UNIVERSAL DE EQUIPOS
2633364
</t>
        </r>
      </text>
    </comment>
    <comment ref="E10" authorId="0">
      <text>
        <r>
          <rPr>
            <b/>
            <sz val="9"/>
            <color indexed="81"/>
            <rFont val="Tahoma"/>
            <family val="2"/>
          </rPr>
          <t>CLAUDIO GAITAN</t>
        </r>
      </text>
    </comment>
    <comment ref="F10" authorId="0">
      <text>
        <r>
          <rPr>
            <sz val="9"/>
            <color indexed="81"/>
            <rFont val="Tahoma"/>
            <family val="2"/>
          </rPr>
          <t xml:space="preserve">UNIVERSAL DE EQUIPOS
2633364
</t>
        </r>
      </text>
    </comment>
    <comment ref="E12" authorId="0">
      <text>
        <r>
          <rPr>
            <b/>
            <sz val="9"/>
            <color indexed="81"/>
            <rFont val="Tahoma"/>
            <family val="2"/>
          </rPr>
          <t xml:space="preserve">CLAUDIO GAITAN 
271 7299
</t>
        </r>
        <r>
          <rPr>
            <sz val="9"/>
            <color indexed="81"/>
            <rFont val="Tahoma"/>
            <family val="2"/>
          </rPr>
          <t xml:space="preserve">
</t>
        </r>
      </text>
    </comment>
    <comment ref="E13" authorId="0">
      <text>
        <r>
          <rPr>
            <sz val="9"/>
            <color indexed="81"/>
            <rFont val="Tahoma"/>
            <family val="2"/>
          </rPr>
          <t>ARRENDAMOS Tel. 2648128 CENAIDA RESPONDIO LA CONSULTA</t>
        </r>
      </text>
    </comment>
    <comment ref="F13" authorId="0">
      <text>
        <r>
          <rPr>
            <sz val="9"/>
            <color indexed="81"/>
            <rFont val="Tahoma"/>
            <family val="2"/>
          </rPr>
          <t>UNIVERSAL DE EQUIPOS
2633364</t>
        </r>
      </text>
    </comment>
    <comment ref="E14" authorId="0">
      <text>
        <r>
          <rPr>
            <sz val="9"/>
            <color indexed="81"/>
            <rFont val="Tahoma"/>
            <family val="2"/>
          </rPr>
          <t>ARRENDAMOS Tel. 2648128 CENAIDA RESPONDIO LA CONSULTA</t>
        </r>
      </text>
    </comment>
    <comment ref="F14" authorId="0">
      <text>
        <r>
          <rPr>
            <sz val="9"/>
            <color indexed="81"/>
            <rFont val="Tahoma"/>
            <family val="2"/>
          </rPr>
          <t>UNIVERSAL DE EQUIPOS
2633364</t>
        </r>
      </text>
    </comment>
    <comment ref="E16" authorId="0">
      <text>
        <r>
          <rPr>
            <sz val="9"/>
            <color indexed="81"/>
            <rFont val="Tahoma"/>
            <family val="2"/>
          </rPr>
          <t>ARRENDAMOS Tel. 2648128 CENAIDA RESPONDIO LA CONSULTA</t>
        </r>
      </text>
    </comment>
    <comment ref="F16" authorId="0">
      <text>
        <r>
          <rPr>
            <sz val="9"/>
            <color indexed="81"/>
            <rFont val="Tahoma"/>
            <family val="2"/>
          </rPr>
          <t>UNIVERSAL DE EQUIPOS
2633364</t>
        </r>
      </text>
    </comment>
    <comment ref="E17" authorId="0">
      <text>
        <r>
          <rPr>
            <sz val="9"/>
            <color indexed="81"/>
            <rFont val="Tahoma"/>
            <family val="2"/>
          </rPr>
          <t>ARRENDAMOS Tel. 2648128 CENAIDA RESPONDIO LA CONSULTA</t>
        </r>
      </text>
    </comment>
    <comment ref="F17" authorId="0">
      <text>
        <r>
          <rPr>
            <sz val="9"/>
            <color indexed="81"/>
            <rFont val="Tahoma"/>
            <family val="2"/>
          </rPr>
          <t xml:space="preserve">UNIVERSAL DE EQUIPOS
2633364
</t>
        </r>
      </text>
    </comment>
    <comment ref="E18" authorId="0">
      <text>
        <r>
          <rPr>
            <sz val="9"/>
            <color indexed="81"/>
            <rFont val="Tahoma"/>
            <family val="2"/>
          </rPr>
          <t xml:space="preserve">GEODITEC INGENIERIA S.A.S CEL 3184105785 ATENDIO ISRAEL
</t>
        </r>
      </text>
    </comment>
    <comment ref="E19" authorId="0">
      <text>
        <r>
          <rPr>
            <b/>
            <sz val="9"/>
            <color indexed="81"/>
            <rFont val="Tahoma"/>
            <family val="2"/>
          </rPr>
          <t>Universal de equipos
2633364</t>
        </r>
        <r>
          <rPr>
            <sz val="9"/>
            <color indexed="81"/>
            <rFont val="Tahoma"/>
            <family val="2"/>
          </rPr>
          <t xml:space="preserve">
</t>
        </r>
      </text>
    </comment>
    <comment ref="F19" authorId="0">
      <text>
        <r>
          <rPr>
            <sz val="9"/>
            <color indexed="81"/>
            <rFont val="Tahoma"/>
            <family val="2"/>
          </rPr>
          <t xml:space="preserve">ALFOREQUIPOS DEL TOLIMA TEL,2676148
</t>
        </r>
      </text>
    </comment>
    <comment ref="E26" authorId="0">
      <text>
        <r>
          <rPr>
            <sz val="9"/>
            <color indexed="81"/>
            <rFont val="Tahoma"/>
            <family val="2"/>
          </rPr>
          <t>ARRENDAMOS Tel. 2648128 CENAIDA RESPONDIO LA CONSULTA</t>
        </r>
      </text>
    </comment>
    <comment ref="F29" authorId="0">
      <text>
        <r>
          <rPr>
            <sz val="9"/>
            <color indexed="81"/>
            <rFont val="Tahoma"/>
            <family val="2"/>
          </rPr>
          <t xml:space="preserve">PROYECTOS Y MOVIMIENTOS S.A.S Avenida Ambala Mina El Vergel Teléfono: 2717299
</t>
        </r>
      </text>
    </comment>
    <comment ref="F31" authorId="0">
      <text>
        <r>
          <rPr>
            <sz val="9"/>
            <color indexed="81"/>
            <rFont val="Tahoma"/>
            <family val="2"/>
          </rPr>
          <t xml:space="preserve">PROYECTOS Y MOVIMIENTOS S.A.S Avenida Ambala Mina El Vergel Teléfono: 2717299
</t>
        </r>
      </text>
    </comment>
  </commentList>
</comments>
</file>

<file path=xl/comments4.xml><?xml version="1.0" encoding="utf-8"?>
<comments xmlns="http://schemas.openxmlformats.org/spreadsheetml/2006/main">
  <authors>
    <author>Javier Susunaga</author>
  </authors>
  <commentList>
    <comment ref="E3" authorId="0">
      <text>
        <r>
          <rPr>
            <b/>
            <sz val="9"/>
            <color indexed="81"/>
            <rFont val="Tahoma"/>
            <family val="2"/>
          </rPr>
          <t>Javier Susunaga:</t>
        </r>
        <r>
          <rPr>
            <sz val="9"/>
            <color indexed="81"/>
            <rFont val="Tahoma"/>
            <family val="2"/>
          </rPr>
          <t xml:space="preserve">
CENTRAL PECUARIA BULTO DE UREA $ 56,000
</t>
        </r>
      </text>
    </comment>
    <comment ref="F3" authorId="0">
      <text>
        <r>
          <rPr>
            <b/>
            <sz val="9"/>
            <color indexed="81"/>
            <rFont val="Tahoma"/>
            <family val="2"/>
          </rPr>
          <t>Javier Susunaga:</t>
        </r>
        <r>
          <rPr>
            <sz val="9"/>
            <color indexed="81"/>
            <rFont val="Tahoma"/>
            <family val="2"/>
          </rPr>
          <t xml:space="preserve">
DIAGROTOL UREA BULTO $63,000</t>
        </r>
      </text>
    </comment>
    <comment ref="B5" authorId="0">
      <text>
        <r>
          <rPr>
            <sz val="9"/>
            <color indexed="81"/>
            <rFont val="Tahoma"/>
            <family val="2"/>
          </rPr>
          <t xml:space="preserve">varilla corrugada 
</t>
        </r>
      </text>
    </comment>
    <comment ref="E5" authorId="0">
      <text>
        <r>
          <rPr>
            <sz val="9"/>
            <color indexed="81"/>
            <rFont val="Tahoma"/>
            <family val="2"/>
          </rPr>
          <t xml:space="preserve">HIERROS DE OCCIDENTE IBAGUE ATENDIO OLGA LUCI TEL. 2611473
</t>
        </r>
      </text>
    </comment>
    <comment ref="F5" authorId="0">
      <text>
        <r>
          <rPr>
            <sz val="9"/>
            <color indexed="81"/>
            <rFont val="Tahoma"/>
            <family val="2"/>
          </rPr>
          <t xml:space="preserve">HIFER 2634605 ATENDIO ANTONIO
</t>
        </r>
      </text>
    </comment>
    <comment ref="B6" authorId="0">
      <text>
        <r>
          <rPr>
            <sz val="9"/>
            <color indexed="81"/>
            <rFont val="Tahoma"/>
            <family val="2"/>
          </rPr>
          <t xml:space="preserve">varilla lisa
</t>
        </r>
      </text>
    </comment>
    <comment ref="D6" authorId="0">
      <text>
        <r>
          <rPr>
            <sz val="9"/>
            <color indexed="81"/>
            <rFont val="Tahoma"/>
            <family val="2"/>
          </rPr>
          <t xml:space="preserve">HIFER 2634605
</t>
        </r>
      </text>
    </comment>
    <comment ref="E6" authorId="0">
      <text>
        <r>
          <rPr>
            <sz val="9"/>
            <color indexed="81"/>
            <rFont val="Tahoma"/>
            <family val="2"/>
          </rPr>
          <t xml:space="preserve">HIERROS DE OCCIDENTE IBAGUE ATENDIO OLGA LUCI TEL. 2611473
</t>
        </r>
      </text>
    </comment>
    <comment ref="F6" authorId="0">
      <text>
        <r>
          <rPr>
            <sz val="9"/>
            <color indexed="81"/>
            <rFont val="Tahoma"/>
            <family val="2"/>
          </rPr>
          <t xml:space="preserve">HIERROS DE OCCIDENTE IBAGUE ATENDIO OLGA LUCI TEL. 2611473
</t>
        </r>
      </text>
    </comment>
    <comment ref="F7" authorId="0">
      <text>
        <r>
          <rPr>
            <sz val="9"/>
            <color indexed="81"/>
            <rFont val="Tahoma"/>
            <family val="2"/>
          </rPr>
          <t xml:space="preserve">HIERROS DE OCCIDENTE TEL. 2611473 ATENDIO OLGA LUCIA
</t>
        </r>
      </text>
    </comment>
    <comment ref="E9" authorId="0">
      <text>
        <r>
          <rPr>
            <sz val="9"/>
            <color indexed="81"/>
            <rFont val="Tahoma"/>
            <family val="2"/>
          </rPr>
          <t xml:space="preserve">CENTRAL PECUARIA IBAGUE TEL. 2641160
</t>
        </r>
      </text>
    </comment>
    <comment ref="F9" authorId="0">
      <text>
        <r>
          <rPr>
            <sz val="9"/>
            <color indexed="81"/>
            <rFont val="Tahoma"/>
            <family val="2"/>
          </rPr>
          <t xml:space="preserve">PRECIO HIFER IBAGUE TEL. 2634633
</t>
        </r>
      </text>
    </comment>
    <comment ref="E11" authorId="0">
      <text>
        <r>
          <rPr>
            <sz val="9"/>
            <color indexed="81"/>
            <rFont val="Tahoma"/>
            <family val="2"/>
          </rPr>
          <t xml:space="preserve">PRECIO HIFER IBAGUE TEL. 2634633
</t>
        </r>
      </text>
    </comment>
    <comment ref="F11" authorId="0">
      <text>
        <r>
          <rPr>
            <sz val="9"/>
            <color indexed="81"/>
            <rFont val="Tahoma"/>
            <family val="2"/>
          </rPr>
          <t xml:space="preserve">HIERROS DE OCCIDENTE TEL. 2611473 ATENDIO OLGA LUCIA
</t>
        </r>
      </text>
    </comment>
    <comment ref="E15" authorId="0">
      <text>
        <r>
          <rPr>
            <sz val="9"/>
            <color indexed="81"/>
            <rFont val="Tahoma"/>
            <family val="2"/>
          </rPr>
          <t xml:space="preserve">JUAN CARLOS PARRA TEL. 2691070 - 3134952351 ATENDIO JIMENA
</t>
        </r>
      </text>
    </comment>
    <comment ref="F15" authorId="0">
      <text>
        <r>
          <rPr>
            <sz val="9"/>
            <color indexed="81"/>
            <rFont val="Tahoma"/>
            <family val="2"/>
          </rPr>
          <t xml:space="preserve">CONSTRUCCIONES Y AGRAGADOS CUCUANA CEL. 3156310478  2672921, ATENDIO LEIDY
</t>
        </r>
      </text>
    </comment>
    <comment ref="E18" authorId="0">
      <text>
        <r>
          <rPr>
            <sz val="9"/>
            <color indexed="81"/>
            <rFont val="Tahoma"/>
            <family val="2"/>
          </rPr>
          <t xml:space="preserve">LA CAIMA CEL. 3107546936
</t>
        </r>
      </text>
    </comment>
    <comment ref="F18" authorId="0">
      <text>
        <r>
          <rPr>
            <sz val="9"/>
            <color indexed="81"/>
            <rFont val="Tahoma"/>
            <family val="2"/>
          </rPr>
          <t xml:space="preserve">RECEBERA EL PORVENIR JORGE ARIEL TRUJILLO ARCINIEGAS TEL, 3212163548
</t>
        </r>
      </text>
    </comment>
    <comment ref="E32" authorId="0">
      <text>
        <r>
          <rPr>
            <sz val="9"/>
            <color indexed="81"/>
            <rFont val="Tahoma"/>
            <family val="2"/>
          </rPr>
          <t xml:space="preserve">MADERAS MIROLINDO TEL. 2644017 - 3125822275 ATENDIO ADELAIDA ROMAN
</t>
        </r>
      </text>
    </comment>
    <comment ref="F32" authorId="0">
      <text>
        <r>
          <rPr>
            <sz val="9"/>
            <color indexed="81"/>
            <rFont val="Tahoma"/>
            <family val="2"/>
          </rPr>
          <t xml:space="preserve">MADERAS M DEL TOLIMA TEL.2622437 ATENDIO ARIEL
</t>
        </r>
      </text>
    </comment>
    <comment ref="D39" authorId="0">
      <text>
        <r>
          <rPr>
            <sz val="9"/>
            <color indexed="81"/>
            <rFont val="Tahoma"/>
            <family val="2"/>
          </rPr>
          <t>Guadua de 8mts
2622437</t>
        </r>
      </text>
    </comment>
    <comment ref="E39" authorId="0">
      <text>
        <r>
          <rPr>
            <sz val="9"/>
            <color indexed="81"/>
            <rFont val="Tahoma"/>
            <family val="2"/>
          </rPr>
          <t xml:space="preserve">MADERAS MIROLINDO TEL. 2644017 - 3125822275 ATENDIO ADELAIDA ROMAN
</t>
        </r>
      </text>
    </comment>
    <comment ref="F39" authorId="0">
      <text>
        <r>
          <rPr>
            <sz val="9"/>
            <color indexed="81"/>
            <rFont val="Tahoma"/>
            <family val="2"/>
          </rPr>
          <t xml:space="preserve">MADERAS M DEL TOLIMA TEL.2622437 ATENDIO ARIEL
</t>
        </r>
      </text>
    </comment>
    <comment ref="E44" authorId="0">
      <text>
        <r>
          <rPr>
            <sz val="9"/>
            <color indexed="81"/>
            <rFont val="Tahoma"/>
            <family val="2"/>
          </rPr>
          <t xml:space="preserve">MOLIMALLAS carrera 7 A # 27A - 49 , Belalcazar Ibagué, Tolim Cel. 315 899 8126
</t>
        </r>
      </text>
    </comment>
    <comment ref="F44" authorId="0">
      <text>
        <r>
          <rPr>
            <sz val="9"/>
            <color indexed="81"/>
            <rFont val="Tahoma"/>
            <family val="2"/>
          </rPr>
          <t xml:space="preserve">TOLIMALLAS TEL. 2661903-2661227 ATENDIO JULIAN RODRIGUEZ
</t>
        </r>
      </text>
    </comment>
    <comment ref="E50" authorId="0">
      <text>
        <r>
          <rPr>
            <sz val="9"/>
            <color indexed="81"/>
            <rFont val="Tahoma"/>
            <family val="2"/>
          </rPr>
          <t xml:space="preserve">LA CAIMA CEL. 3107546936
</t>
        </r>
      </text>
    </comment>
    <comment ref="E51" authorId="0">
      <text>
        <r>
          <rPr>
            <sz val="9"/>
            <color indexed="81"/>
            <rFont val="Tahoma"/>
            <family val="2"/>
          </rPr>
          <t xml:space="preserve">LA CAIMA CEL. 3107546936
</t>
        </r>
      </text>
    </comment>
    <comment ref="F51" authorId="0">
      <text>
        <r>
          <rPr>
            <sz val="9"/>
            <color indexed="81"/>
            <rFont val="Tahoma"/>
            <family val="2"/>
          </rPr>
          <t xml:space="preserve">CONSTRUCCIONES Y AGRAGADOS CUCUANA CEL. 3156310478  2672921
</t>
        </r>
      </text>
    </comment>
    <comment ref="E54" authorId="0">
      <text>
        <r>
          <rPr>
            <sz val="9"/>
            <color indexed="81"/>
            <rFont val="Tahoma"/>
            <family val="2"/>
          </rPr>
          <t xml:space="preserve">LA CAIMA CEL. 3107546936
</t>
        </r>
      </text>
    </comment>
    <comment ref="F54" authorId="0">
      <text>
        <r>
          <rPr>
            <sz val="9"/>
            <color indexed="81"/>
            <rFont val="Tahoma"/>
            <family val="2"/>
          </rPr>
          <t xml:space="preserve">RECEBERA EL PORVENIR JORGE ARIEL TRUJILLO ARCINIEGAS TEL, 3212163548
</t>
        </r>
      </text>
    </comment>
    <comment ref="D55" authorId="0">
      <text>
        <r>
          <rPr>
            <sz val="9"/>
            <color indexed="81"/>
            <rFont val="Tahoma"/>
            <family val="2"/>
          </rPr>
          <t>Guadua de 8mts
2622437</t>
        </r>
      </text>
    </comment>
    <comment ref="E55" authorId="0">
      <text>
        <r>
          <rPr>
            <sz val="9"/>
            <color indexed="81"/>
            <rFont val="Tahoma"/>
            <family val="2"/>
          </rPr>
          <t xml:space="preserve">MADERAS MIROLINDO TEL. 2644017 - 3125822275 ATENDIO ADELAIDA ROMAN
</t>
        </r>
      </text>
    </comment>
    <comment ref="F55" authorId="0">
      <text>
        <r>
          <rPr>
            <sz val="9"/>
            <color indexed="81"/>
            <rFont val="Tahoma"/>
            <family val="2"/>
          </rPr>
          <t xml:space="preserve">MADERAS M DEL TOLIMA TEL.2622437 ATENDIO ARIEL
</t>
        </r>
      </text>
    </comment>
    <comment ref="E56" authorId="0">
      <text>
        <r>
          <rPr>
            <sz val="9"/>
            <color indexed="81"/>
            <rFont val="Tahoma"/>
            <family val="2"/>
          </rPr>
          <t xml:space="preserve">MADERAS MIROLINDO TEL. 2644017 - 3125822275 ATENDIO ADELAIDA ROMAN
</t>
        </r>
      </text>
    </comment>
    <comment ref="F56" authorId="0">
      <text>
        <r>
          <rPr>
            <sz val="9"/>
            <color indexed="81"/>
            <rFont val="Tahoma"/>
            <family val="2"/>
          </rPr>
          <t xml:space="preserve">MADERAS M DEL TOLIMA TEL.2622437 ATENDIO ARIEL
</t>
        </r>
      </text>
    </comment>
    <comment ref="B58" authorId="0">
      <text>
        <r>
          <rPr>
            <sz val="9"/>
            <color indexed="81"/>
            <rFont val="Tahoma"/>
            <family val="2"/>
          </rPr>
          <t xml:space="preserve">VALOR ROLLO $ 145000
</t>
        </r>
      </text>
    </comment>
    <comment ref="D58" authorId="0">
      <text>
        <r>
          <rPr>
            <sz val="9"/>
            <color indexed="81"/>
            <rFont val="Tahoma"/>
            <family val="2"/>
          </rPr>
          <t xml:space="preserve">PLASRICOS CALYPSO IBAGUE TEL. 2618582
</t>
        </r>
      </text>
    </comment>
    <comment ref="E62" authorId="0">
      <text>
        <r>
          <rPr>
            <sz val="9"/>
            <color indexed="81"/>
            <rFont val="Tahoma"/>
            <family val="2"/>
          </rPr>
          <t xml:space="preserve">JUAN CARLOS PARRA TEL. 2691070 - 3134952351 ATENDIO JIMENA
</t>
        </r>
      </text>
    </comment>
    <comment ref="F62" authorId="0">
      <text>
        <r>
          <rPr>
            <sz val="9"/>
            <color indexed="81"/>
            <rFont val="Tahoma"/>
            <family val="2"/>
          </rPr>
          <t xml:space="preserve">CONSTRUCCIONES Y AGRAGADOS CUCUANA CEL. 3156310478  2672921
</t>
        </r>
      </text>
    </comment>
    <comment ref="E64" authorId="0">
      <text>
        <r>
          <rPr>
            <sz val="9"/>
            <color indexed="81"/>
            <rFont val="Tahoma"/>
            <family val="2"/>
          </rPr>
          <t xml:space="preserve">PRECIO HIFER IBAGUE TEL. 2634633
</t>
        </r>
      </text>
    </comment>
    <comment ref="F64" authorId="0">
      <text>
        <r>
          <rPr>
            <sz val="9"/>
            <color indexed="81"/>
            <rFont val="Tahoma"/>
            <family val="2"/>
          </rPr>
          <t xml:space="preserve">HIERROS DE OCCIDENTE TEL. 2611473 ATENDIO OLGA LUCIA
</t>
        </r>
      </text>
    </comment>
    <comment ref="E68" authorId="0">
      <text>
        <r>
          <rPr>
            <sz val="9"/>
            <color indexed="81"/>
            <rFont val="Tahoma"/>
            <family val="2"/>
          </rPr>
          <t xml:space="preserve">M&amp;M CONSTRUCCIONES JOSE RAMIRO GARZON CESPEDES TEL. 3006790238
</t>
        </r>
      </text>
    </comment>
    <comment ref="F68" authorId="0">
      <text>
        <r>
          <rPr>
            <sz val="9"/>
            <color indexed="81"/>
            <rFont val="Tahoma"/>
            <family val="2"/>
          </rPr>
          <t xml:space="preserve">RECEBERA EL PORVENIR JORGE ARIEL TRUJILLO ARCINIEGAS TEL, 3212163548
</t>
        </r>
      </text>
    </comment>
    <comment ref="E72" authorId="0">
      <text>
        <r>
          <rPr>
            <sz val="9"/>
            <color indexed="81"/>
            <rFont val="Tahoma"/>
            <family val="2"/>
          </rPr>
          <t xml:space="preserve">ASFALTEMOS Direccion: Av Ambala 69-80 - C.C Plazas del Bosque Ofic. 303 - Ibague, Colombia - Teléfono +(57) 8 2755410 
</t>
        </r>
      </text>
    </comment>
    <comment ref="E73" authorId="0">
      <text>
        <r>
          <rPr>
            <sz val="9"/>
            <color indexed="81"/>
            <rFont val="Tahoma"/>
            <family val="2"/>
          </rPr>
          <t xml:space="preserve">M&amp;M CONSTRUCCIONES JOSE RAMIRO GARZON CESPEDES TEL. 3006790238
</t>
        </r>
      </text>
    </comment>
    <comment ref="F73" authorId="0">
      <text>
        <r>
          <rPr>
            <sz val="9"/>
            <color indexed="81"/>
            <rFont val="Tahoma"/>
            <family val="2"/>
          </rPr>
          <t xml:space="preserve">LADRILLERA CALAMAR BARRIO MIRAMAR IBAGUE TEL.2604717 ATENDIO LILIANA
</t>
        </r>
      </text>
    </comment>
    <comment ref="D75" authorId="0">
      <text>
        <r>
          <rPr>
            <sz val="9"/>
            <color indexed="81"/>
            <rFont val="Tahoma"/>
            <family val="2"/>
          </rPr>
          <t xml:space="preserve">DROGUERIA COLONY TEL. 0382668184
</t>
        </r>
      </text>
    </comment>
    <comment ref="E136" authorId="0">
      <text>
        <r>
          <rPr>
            <sz val="9"/>
            <color indexed="81"/>
            <rFont val="Tahoma"/>
            <family val="2"/>
          </rPr>
          <t xml:space="preserve">ACUATUBOS
</t>
        </r>
      </text>
    </comment>
    <comment ref="E137" authorId="0">
      <text>
        <r>
          <rPr>
            <sz val="9"/>
            <color indexed="81"/>
            <rFont val="Tahoma"/>
            <family val="2"/>
          </rPr>
          <t xml:space="preserve">ACUATUBOS
</t>
        </r>
      </text>
    </comment>
    <comment ref="E138" authorId="0">
      <text>
        <r>
          <rPr>
            <sz val="9"/>
            <color indexed="81"/>
            <rFont val="Tahoma"/>
            <family val="2"/>
          </rPr>
          <t xml:space="preserve">ACUATUBOS
</t>
        </r>
      </text>
    </comment>
    <comment ref="E139" authorId="0">
      <text>
        <r>
          <rPr>
            <sz val="9"/>
            <color indexed="81"/>
            <rFont val="Tahoma"/>
            <family val="2"/>
          </rPr>
          <t xml:space="preserve">ACUATUBOS
</t>
        </r>
      </text>
    </comment>
    <comment ref="E153" authorId="0">
      <text>
        <r>
          <rPr>
            <sz val="9"/>
            <color indexed="81"/>
            <rFont val="Tahoma"/>
            <family val="2"/>
          </rPr>
          <t xml:space="preserve">ACUATUBOS
</t>
        </r>
      </text>
    </comment>
    <comment ref="E154" authorId="0">
      <text>
        <r>
          <rPr>
            <sz val="9"/>
            <color indexed="81"/>
            <rFont val="Tahoma"/>
            <family val="2"/>
          </rPr>
          <t xml:space="preserve">ACUATUBOS
</t>
        </r>
      </text>
    </comment>
    <comment ref="E155" authorId="0">
      <text>
        <r>
          <rPr>
            <sz val="9"/>
            <color indexed="81"/>
            <rFont val="Tahoma"/>
            <family val="2"/>
          </rPr>
          <t xml:space="preserve">ACUATUBOS
</t>
        </r>
      </text>
    </comment>
    <comment ref="E156" authorId="0">
      <text>
        <r>
          <rPr>
            <sz val="9"/>
            <color indexed="81"/>
            <rFont val="Tahoma"/>
            <family val="2"/>
          </rPr>
          <t xml:space="preserve">ACUATUBOS
</t>
        </r>
      </text>
    </comment>
    <comment ref="E244" authorId="0">
      <text>
        <r>
          <rPr>
            <b/>
            <sz val="9"/>
            <color indexed="81"/>
            <rFont val="Tahoma"/>
            <family val="2"/>
          </rPr>
          <t>Javier Susunaga:</t>
        </r>
        <r>
          <rPr>
            <sz val="9"/>
            <color indexed="81"/>
            <rFont val="Tahoma"/>
            <family val="2"/>
          </rPr>
          <t xml:space="preserve">
TUBERIA SUPRAMEC UNION MECANICA</t>
        </r>
      </text>
    </comment>
    <comment ref="F244" authorId="0">
      <text>
        <r>
          <rPr>
            <b/>
            <sz val="9"/>
            <color indexed="81"/>
            <rFont val="Tahoma"/>
            <family val="2"/>
          </rPr>
          <t>Javier Susunaga:</t>
        </r>
        <r>
          <rPr>
            <sz val="9"/>
            <color indexed="81"/>
            <rFont val="Tahoma"/>
            <family val="2"/>
          </rPr>
          <t xml:space="preserve">
UNION PLATINO</t>
        </r>
      </text>
    </comment>
    <comment ref="E299" authorId="0">
      <text>
        <r>
          <rPr>
            <b/>
            <sz val="9"/>
            <color indexed="81"/>
            <rFont val="Tahoma"/>
            <family val="2"/>
          </rPr>
          <t>Javier Susunaga:</t>
        </r>
        <r>
          <rPr>
            <sz val="9"/>
            <color indexed="81"/>
            <rFont val="Tahoma"/>
            <family val="2"/>
          </rPr>
          <t xml:space="preserve">
TUBERIA SUPRAFORT DE 6" A 20" Y 24", 27", 30" SUPRAFORT - 33, 36, 39, 42 SUPRALOC</t>
        </r>
      </text>
    </comment>
    <comment ref="F299" authorId="0">
      <text>
        <r>
          <rPr>
            <b/>
            <sz val="9"/>
            <color indexed="81"/>
            <rFont val="Tahoma"/>
            <family val="2"/>
          </rPr>
          <t>Javier Susunaga:</t>
        </r>
        <r>
          <rPr>
            <sz val="9"/>
            <color indexed="81"/>
            <rFont val="Tahoma"/>
            <family val="2"/>
          </rPr>
          <t xml:space="preserve">
NOVAFORT</t>
        </r>
      </text>
    </comment>
  </commentList>
</comments>
</file>

<file path=xl/sharedStrings.xml><?xml version="1.0" encoding="utf-8"?>
<sst xmlns="http://schemas.openxmlformats.org/spreadsheetml/2006/main" count="22928" uniqueCount="2352">
  <si>
    <t>UNIDAD</t>
  </si>
  <si>
    <t>ML</t>
  </si>
  <si>
    <t>GLB</t>
  </si>
  <si>
    <t>HERRAMIENTA MENOR</t>
  </si>
  <si>
    <t>PRECIO</t>
  </si>
  <si>
    <t>M3/KM</t>
  </si>
  <si>
    <t>HR</t>
  </si>
  <si>
    <t>VOL. TUBO</t>
  </si>
  <si>
    <t>DIAMETRO EN PULGADAS</t>
  </si>
  <si>
    <t>DIAMETRO EN CENTIMETROS</t>
  </si>
  <si>
    <t>ANCHO DE ZANJA SEGÚN DIAMETRO</t>
  </si>
  <si>
    <t>EXCAVACION</t>
  </si>
  <si>
    <t>DEMOLICION</t>
  </si>
  <si>
    <t>LLENO CON MATERIAL GRANULAR</t>
  </si>
  <si>
    <t>RETROCARGADOR</t>
  </si>
  <si>
    <t>VOLQUETA</t>
  </si>
  <si>
    <t>RETIRO DE SOBRANTES</t>
  </si>
  <si>
    <t>DIA</t>
  </si>
  <si>
    <t>TRITURADO</t>
  </si>
  <si>
    <t>M3</t>
  </si>
  <si>
    <t>VALOR</t>
  </si>
  <si>
    <t>PRECIO TUBERIA + IVA</t>
  </si>
  <si>
    <t>CANTIDADES DE OBRA PARA DIFERENTES DIAMETRO DE TUBERIA PLASTICA O LISA 3722 - 5070 DE 0,00 A 2.00 METROS DE PROFUNDIDAD</t>
  </si>
  <si>
    <t xml:space="preserve">CANTIDADES DE OBRA PARA DIFERENTES DIAMETRO DE TUBERIA EN CONCRETO CERTICADO CLASE 2 </t>
  </si>
  <si>
    <t>ACTIVIDADES</t>
  </si>
  <si>
    <t>PRELIMINARES</t>
  </si>
  <si>
    <t>Acarreo interno en obra 50 mts</t>
  </si>
  <si>
    <t>DEMOLICIONES</t>
  </si>
  <si>
    <t>M2</t>
  </si>
  <si>
    <t>EXCAVACIONES A MANO</t>
  </si>
  <si>
    <t>De 0 a 2 mts en seco</t>
  </si>
  <si>
    <t>De 2 a 4 mts en seco</t>
  </si>
  <si>
    <t>Excavaciones en Roca con Explosivos</t>
  </si>
  <si>
    <t>Mayor de 4 mts en seco</t>
  </si>
  <si>
    <t>EXCAVACIONES A MAQUINA</t>
  </si>
  <si>
    <t>Excavaciones en material común y Conglomerado</t>
  </si>
  <si>
    <t>CONCRETOS</t>
  </si>
  <si>
    <t>Anden en concreto e=0,10 ( incluye alistado y nivelación)</t>
  </si>
  <si>
    <t>Sardinel 0,15*0,20*0,40 en concreto simple 2500 p.s.i.</t>
  </si>
  <si>
    <t>OBRAS DE PAVIMENTACIÓN</t>
  </si>
  <si>
    <t>Rotura pavimento rígido E= 0,15 m.</t>
  </si>
  <si>
    <t>Rotura pavimento rígido E= 0,10 m.</t>
  </si>
  <si>
    <t>Rotura pavimento flexible E= 0,10 m.</t>
  </si>
  <si>
    <t>MAMPOSTERIA</t>
  </si>
  <si>
    <t>KG</t>
  </si>
  <si>
    <t>ALCANTARILLADO</t>
  </si>
  <si>
    <t>De 0.00 a 2.00 Mts</t>
  </si>
  <si>
    <t>De Profundidad 2 a 4 Mts</t>
  </si>
  <si>
    <t>De 0,00 a 2.00 Mts</t>
  </si>
  <si>
    <t>De 2,00 a 4.00 Mts</t>
  </si>
  <si>
    <t>DIAMETRO 1.20 Mts</t>
  </si>
  <si>
    <t>Base y cañuela en concreto de 3.000 PSI e = 0,30 Mts</t>
  </si>
  <si>
    <t>Cilindro en ladrillo e = 0,30 Mts</t>
  </si>
  <si>
    <t>Cono de reducción H = 0,65 Mts</t>
  </si>
  <si>
    <t>Sumidero en concreto 3.000 PSI tipo SL 100</t>
  </si>
  <si>
    <t>DIAMETRO 1.50 Mts</t>
  </si>
  <si>
    <t>Cono de reducción H = 0,90 Mts</t>
  </si>
  <si>
    <t>OTROS</t>
  </si>
  <si>
    <t>YEES EN CONCRETO DE 8X 6"</t>
  </si>
  <si>
    <t>YEES EN CONCRETO DE 14X 6"</t>
  </si>
  <si>
    <t>Dia</t>
  </si>
  <si>
    <t>UND</t>
  </si>
  <si>
    <t>GB</t>
  </si>
  <si>
    <t>COMPRESOR</t>
  </si>
  <si>
    <t>OFICIAL</t>
  </si>
  <si>
    <t>Corte de Pavimento Flexible con Cortadora</t>
  </si>
  <si>
    <t>CORTADORA</t>
  </si>
  <si>
    <t>Corte de Pavimento Rigido con Cortadora</t>
  </si>
  <si>
    <t>LT</t>
  </si>
  <si>
    <t>ACERO DE REFUERZO</t>
  </si>
  <si>
    <t>PUNTILLA</t>
  </si>
  <si>
    <t>REJILLA L 1 1/2*3/16 VARILLA 7/8</t>
  </si>
  <si>
    <t>POLISOMBRA</t>
  </si>
  <si>
    <t>ARENA</t>
  </si>
  <si>
    <t>Manejo de Aguas Con Diametros de 8" a 12"</t>
  </si>
  <si>
    <t>Manejo de Aguas Con Diametros de 12" a 24"</t>
  </si>
  <si>
    <t>Manejo de Aguas Con Diametros de 24" a 30"</t>
  </si>
  <si>
    <t>Manejo de Aguas mas de 30"</t>
  </si>
  <si>
    <t>CALCULO DEL COSTO REAL DEL SALARIO</t>
  </si>
  <si>
    <t>SALARIO MINIMO</t>
  </si>
  <si>
    <t>REF.</t>
  </si>
  <si>
    <t>MENSUAL</t>
  </si>
  <si>
    <t>A</t>
  </si>
  <si>
    <t>SUBSIDIO DE TRANSPORTE</t>
  </si>
  <si>
    <t>B</t>
  </si>
  <si>
    <t>C</t>
  </si>
  <si>
    <t>ANUAL (A/30 X 365)</t>
  </si>
  <si>
    <t>D</t>
  </si>
  <si>
    <t xml:space="preserve">ANUAL CON SUBSIDIO DE TRANSPORTE </t>
  </si>
  <si>
    <t>E</t>
  </si>
  <si>
    <t>CONCEPTO</t>
  </si>
  <si>
    <t>BASE</t>
  </si>
  <si>
    <t>FACTOR</t>
  </si>
  <si>
    <t>PORCENTAJE</t>
  </si>
  <si>
    <t xml:space="preserve">SALARIO </t>
  </si>
  <si>
    <t>SALARIO ANUAL (365 DIAS)</t>
  </si>
  <si>
    <t>SUBSIDIO DE TRANSPORTE - ANUAL</t>
  </si>
  <si>
    <t>PRESTACIONES</t>
  </si>
  <si>
    <t>CESANTIA ANUAL</t>
  </si>
  <si>
    <t>36/365</t>
  </si>
  <si>
    <t>INTERESES CESANTIAS</t>
  </si>
  <si>
    <t>CESANTIA</t>
  </si>
  <si>
    <t>VACACIONES - 15 DIAS</t>
  </si>
  <si>
    <t>PRIMA - 30 DIAS</t>
  </si>
  <si>
    <t>C.</t>
  </si>
  <si>
    <t>OTROS COSTOS</t>
  </si>
  <si>
    <t>BOTAS Y OVEROL</t>
  </si>
  <si>
    <t>SEGURO COLECTIVO</t>
  </si>
  <si>
    <t>I.C.B.F.</t>
  </si>
  <si>
    <t>VALOR REAL DEL SALARIO</t>
  </si>
  <si>
    <t>MOTONIVELADORA</t>
  </si>
  <si>
    <t>GAL</t>
  </si>
  <si>
    <t>Nota: Los Anchos de zanja establecidos en las Tablas pueden variar según el criterio tecnico del Supervisor y/o Interventor teniendo en cuenta el perfil del suelo excavado.</t>
  </si>
  <si>
    <t>PROFESIONALES</t>
  </si>
  <si>
    <t>Rellenos de excavación con material seleccionado</t>
  </si>
  <si>
    <t>Suministro de Recebo en zanja compactado c/ 15 Cms. Medio mecánico</t>
  </si>
  <si>
    <t>Demolición Muro sencillo  E=0,15</t>
  </si>
  <si>
    <t>Demolición Muro doble  E=0,25</t>
  </si>
  <si>
    <t>Demolición Estructura Concreto Ciclopeo</t>
  </si>
  <si>
    <t>Demolición Estructura Concreto Reforzado</t>
  </si>
  <si>
    <t xml:space="preserve">Excavaciones en material común </t>
  </si>
  <si>
    <t xml:space="preserve">Excavaciones en conglomerado </t>
  </si>
  <si>
    <t xml:space="preserve">Excavaciones en roca </t>
  </si>
  <si>
    <t>De 0 a 2 mts Bajo Agua</t>
  </si>
  <si>
    <t>De  2,00 a 4,00 mts Bajo Agua</t>
  </si>
  <si>
    <t>Mayor de 4 mts Bajo Agua</t>
  </si>
  <si>
    <t xml:space="preserve">Cargue, suministro, extendida y compactación de base granular </t>
  </si>
  <si>
    <t xml:space="preserve">Cargue, suministro, extendida y compactación de sub-base granular </t>
  </si>
  <si>
    <t>Imprimación o Riego de Liga</t>
  </si>
  <si>
    <t>Suministro de mezcla asfáltica tipo rodadura sobre terminadora</t>
  </si>
  <si>
    <t>Aplicación carpeta asfáltica - incluye compactación</t>
  </si>
  <si>
    <t xml:space="preserve">Construcción placa en concreto 3000 p.s.i. e= 0,13 m. </t>
  </si>
  <si>
    <t xml:space="preserve">Construcción placa en concreto 3000 p.s.i. e= 0,15 m. </t>
  </si>
  <si>
    <t>Muro en ladrillo tolete común e = 12 Cms</t>
  </si>
  <si>
    <t>De Diametro 6"</t>
  </si>
  <si>
    <t>De Diametro 8"</t>
  </si>
  <si>
    <t>De Diametro 10"</t>
  </si>
  <si>
    <t>De Diametro 12"</t>
  </si>
  <si>
    <t>De Diametro 14"</t>
  </si>
  <si>
    <t>De Diametro 16"</t>
  </si>
  <si>
    <t>De Diametro 18"</t>
  </si>
  <si>
    <t>De Diametro 20"</t>
  </si>
  <si>
    <t>De Diametro 24"</t>
  </si>
  <si>
    <t>De Diametro 27"</t>
  </si>
  <si>
    <t>De Diametro 30"</t>
  </si>
  <si>
    <t>De Diametro 36"</t>
  </si>
  <si>
    <t>De Diametro 40"</t>
  </si>
  <si>
    <t>De Diametro 44"</t>
  </si>
  <si>
    <t>De Diametro 48"</t>
  </si>
  <si>
    <t>INSTALACION DE TUBERIA PLASTICA O LISA Norma Técnica Colombiana 3722-1  y  5070 y Norma Tecnica Colombiana 4764</t>
  </si>
  <si>
    <t>De Diametro 33"</t>
  </si>
  <si>
    <t>De Diametro 39"</t>
  </si>
  <si>
    <t>De Diametro 42"</t>
  </si>
  <si>
    <t>SUMINISTRO E INSTALACION DE TUBERIA PLASTICA O LISA Norma Técnica Colombiana 3722-1 y Norma Tecnica Colombiana 4764 (100% de Ermeticidad)</t>
  </si>
  <si>
    <t>SUMINISTRO E INSTALACION DE TUBERIA PLASTICA O LISA Norma Técnica Colombiana 5070 y Norma Tecnica Colombiana 4764 (100% de Ermeticidad)</t>
  </si>
  <si>
    <t xml:space="preserve">CONSTRUCCION DE POZOS DE INSPECCION </t>
  </si>
  <si>
    <t xml:space="preserve">Pañete interior </t>
  </si>
  <si>
    <t>Pasos en hierro de 3/4" con anticorrosivo  C/40 cm</t>
  </si>
  <si>
    <t>Sumidero en fibro-concreto</t>
  </si>
  <si>
    <t>Cámara de caida Diametro 8",revestida en concreto,malla con vena</t>
  </si>
  <si>
    <t>Cámara de caida Diametro 12"revestida en concreto,malla con vena</t>
  </si>
  <si>
    <t>Cilindro en concreto de 3000 psi  e= 0,20 M</t>
  </si>
  <si>
    <t xml:space="preserve">YEES EN CONCRETO DE 10X 6" </t>
  </si>
  <si>
    <t xml:space="preserve">YEES EN CONCRETO DE 12X 6" </t>
  </si>
  <si>
    <t xml:space="preserve">YEES EN CONCRETO DE 16X 6" </t>
  </si>
  <si>
    <t xml:space="preserve">YEES EN CONCRETO DE 18X 6" </t>
  </si>
  <si>
    <t xml:space="preserve">YEES EN CONCRETO DE 20X 6" </t>
  </si>
  <si>
    <t xml:space="preserve">YEES EN CONCRETO DE 24X 6" </t>
  </si>
  <si>
    <t>Trinchos en guadua</t>
  </si>
  <si>
    <t>Trinchos en esterilla</t>
  </si>
  <si>
    <t xml:space="preserve">Gaviones, triple torsion,cal 12, suministro e instalacion </t>
  </si>
  <si>
    <t>Limpieza de colectores</t>
  </si>
  <si>
    <t>PUL/ML</t>
  </si>
  <si>
    <t>Empradización con cespedón</t>
  </si>
  <si>
    <t xml:space="preserve">Utilizacion de Motobomba </t>
  </si>
  <si>
    <t>COSTO DE MATERIALES Y EQUIPOS</t>
  </si>
  <si>
    <t>VOLQUETA TIPO 600 O SIMILAR</t>
  </si>
  <si>
    <t>DESCRIPCION</t>
  </si>
  <si>
    <t>VR / UNIT</t>
  </si>
  <si>
    <t>REND/M3</t>
  </si>
  <si>
    <t>MEZCLADORA</t>
  </si>
  <si>
    <t>MEZCLADORA 1 BULTO</t>
  </si>
  <si>
    <t>VIBRADOR GASOLINA</t>
  </si>
  <si>
    <t>REND/M2</t>
  </si>
  <si>
    <t>TERMINADORA ASFALTO</t>
  </si>
  <si>
    <t>VIBRO-COMPACTADOR</t>
  </si>
  <si>
    <t>COMPACTADOR LLANTA</t>
  </si>
  <si>
    <t>BENITIN</t>
  </si>
  <si>
    <t>SALTARIN</t>
  </si>
  <si>
    <t>E Q U I P O S</t>
  </si>
  <si>
    <t>M A T E R I A L E S</t>
  </si>
  <si>
    <t xml:space="preserve">FORMALETA MADERA </t>
  </si>
  <si>
    <t>CONCRETO SIMPLE DE 2000 PSI</t>
  </si>
  <si>
    <t>CONCRETO SIMPLE DE 2500 PSI</t>
  </si>
  <si>
    <t>CONCRETO SIMPLE DE 3000 PSI</t>
  </si>
  <si>
    <t>CONCRETO SIMPLE DE 3500 PSI</t>
  </si>
  <si>
    <t>CONCRETO SIMPLE DE 4000 PSI</t>
  </si>
  <si>
    <t>CONCRETO CICLOPEO DE 2500 PSI</t>
  </si>
  <si>
    <t>CONCRETO CICLOPEO DE 3000 PSI</t>
  </si>
  <si>
    <t>ENROCADO DE PROTECCION CONCRETO 3000 PSI</t>
  </si>
  <si>
    <t>MATERIAL</t>
  </si>
  <si>
    <t>CEMENTO</t>
  </si>
  <si>
    <t>VIBRADOR</t>
  </si>
  <si>
    <t>PIEDRA</t>
  </si>
  <si>
    <t>LADRILLO TOLETE COMUN</t>
  </si>
  <si>
    <t>CONO DE REDUCCION H=0,65</t>
  </si>
  <si>
    <t>CILINDRO POZO D= 1,20</t>
  </si>
  <si>
    <t>CILINDRO POZO D= 1,50</t>
  </si>
  <si>
    <t>MORTERO 1:4</t>
  </si>
  <si>
    <t>MORTERO 1:5</t>
  </si>
  <si>
    <t>TABLA DE CONCRETOS - MORTEROS - DOSIFICACION Y PRECIOS DE INSUMOS (SIN MANO DE OBRA Y FORMALETA)</t>
  </si>
  <si>
    <t>Transporte de Sobrantes</t>
  </si>
  <si>
    <t>Localización y replanteo Topografico</t>
  </si>
  <si>
    <t>RECEBO TIPO B200</t>
  </si>
  <si>
    <t>BASE GRANULAR TIPO B600</t>
  </si>
  <si>
    <t>SUB BASE GRANULAR TIPO B400</t>
  </si>
  <si>
    <t>Suministro e Instalacion de Material Filtrante Relleno (Pedraplen)</t>
  </si>
  <si>
    <t>Sacos de Arena</t>
  </si>
  <si>
    <t>RETROEXCAVADORA TIPO 100-200</t>
  </si>
  <si>
    <t>IMPERMEABILIZANTE CONCRETO</t>
  </si>
  <si>
    <t>FORMALETA METALICA</t>
  </si>
  <si>
    <t>EMULSION ASFALTICA</t>
  </si>
  <si>
    <t>ASFALTO MDC-2</t>
  </si>
  <si>
    <t>Reconstrucción pavimento asfáltico E=2" - Incluye mezcla asfáltica E=2", base granular, E=0,25 m, y sub- base E=0,30 m</t>
  </si>
  <si>
    <t>Reconstrucción pavimento asfáltico E=3" - Incluye mezcla asfáltica E=3", base granular, E=0,25 m, y sub- base E=0,30 m</t>
  </si>
  <si>
    <t>Explanacion y Cajeo</t>
  </si>
  <si>
    <t>Nivelacion y Compactacion de la Subrasante</t>
  </si>
  <si>
    <t>Rotura de Pavimento Flexible</t>
  </si>
  <si>
    <t>Rotura de Pavimento Rigido</t>
  </si>
  <si>
    <t>ALAMBRE NEGRO</t>
  </si>
  <si>
    <t>AYUDANTE</t>
  </si>
  <si>
    <t>AROTAPA HF</t>
  </si>
  <si>
    <t>AROTAPA FIBROCONCRETO</t>
  </si>
  <si>
    <t>Suministro e Instalacion de Tapas en Fribroconcreto</t>
  </si>
  <si>
    <t>LB</t>
  </si>
  <si>
    <t>REJILLA EN FIBROCONCRETO</t>
  </si>
  <si>
    <t>TUBO PLASTICO DE 8"</t>
  </si>
  <si>
    <t>TUBO PLASTICO DE 12"</t>
  </si>
  <si>
    <t>Cuneta sección L en concreto simple 3.000 PSI incluye base en recebo compactado e = 0,10 Mts</t>
  </si>
  <si>
    <t>PLACA VIBRATORIA</t>
  </si>
  <si>
    <t>GUADUA</t>
  </si>
  <si>
    <t>TRITURADO - GRAVILLA</t>
  </si>
  <si>
    <t>KIT SILLA YEE 8X6 PVC</t>
  </si>
  <si>
    <t>KIT SILLA YEE 10X6 PVC</t>
  </si>
  <si>
    <t>KIT SILLA YEE 12X6 PVC</t>
  </si>
  <si>
    <t>KIT SILLA YEE 14X6 PVC</t>
  </si>
  <si>
    <t>SILLA YEE + ACCESORIOS 16X6 PVC</t>
  </si>
  <si>
    <t>SILLA YEE + ACCESORIOS 18X6 PVC</t>
  </si>
  <si>
    <t>SILLA YEE + ACCESORIOS 20X6 PVC</t>
  </si>
  <si>
    <t>SILLA YEE + ACCESORIOS 24X6 PVC</t>
  </si>
  <si>
    <t>INGENIERO FORESTAL</t>
  </si>
  <si>
    <t>ABONOS</t>
  </si>
  <si>
    <t>TACO GUADUA</t>
  </si>
  <si>
    <t>ESTERILLA</t>
  </si>
  <si>
    <t>GRAMA</t>
  </si>
  <si>
    <t>DIFERENCIAL</t>
  </si>
  <si>
    <t>INSTALACION DE TUBERIA DE CONCRETO CERTIFICADO NORMA 401 CLASE 2</t>
  </si>
  <si>
    <t>Cargue de Sobrantes a Mano</t>
  </si>
  <si>
    <t>Rellenos de excavación con material seleccionado proveniente de excavación compactado C/15  Cms.</t>
  </si>
  <si>
    <t>8,1,1</t>
  </si>
  <si>
    <t>8,1,2</t>
  </si>
  <si>
    <t>8,1,3</t>
  </si>
  <si>
    <t>8,1,4</t>
  </si>
  <si>
    <t>8,1,5</t>
  </si>
  <si>
    <t>8,1,6</t>
  </si>
  <si>
    <t>8,1,7</t>
  </si>
  <si>
    <t>8,1,8</t>
  </si>
  <si>
    <t>8,1,9</t>
  </si>
  <si>
    <t>8,2,1</t>
  </si>
  <si>
    <t>8,2,2</t>
  </si>
  <si>
    <t>8,2,3</t>
  </si>
  <si>
    <t>8,2,4</t>
  </si>
  <si>
    <t>8,2,5</t>
  </si>
  <si>
    <t>8,2,6</t>
  </si>
  <si>
    <t>8,2,7</t>
  </si>
  <si>
    <t>8,2,8</t>
  </si>
  <si>
    <t>8,2,9</t>
  </si>
  <si>
    <t>9,1,1</t>
  </si>
  <si>
    <t>9,1,2</t>
  </si>
  <si>
    <t>9,1,3</t>
  </si>
  <si>
    <t>9,1,4</t>
  </si>
  <si>
    <t>9,1,5</t>
  </si>
  <si>
    <t>9,1,6</t>
  </si>
  <si>
    <t>9,1,7</t>
  </si>
  <si>
    <t>9,1,8</t>
  </si>
  <si>
    <t>9,1,9</t>
  </si>
  <si>
    <t xml:space="preserve">De Diametro 8"   </t>
  </si>
  <si>
    <t>13.1.1</t>
  </si>
  <si>
    <t>13.1.2</t>
  </si>
  <si>
    <t>13.1.3</t>
  </si>
  <si>
    <t>13.1.4</t>
  </si>
  <si>
    <t>OBRAS DE PAVIMENTACION</t>
  </si>
  <si>
    <t>CAMIONETA</t>
  </si>
  <si>
    <t>14.1.1</t>
  </si>
  <si>
    <t>14.1.2</t>
  </si>
  <si>
    <t>14.1.3</t>
  </si>
  <si>
    <t>15.1.1</t>
  </si>
  <si>
    <t>15.1.2</t>
  </si>
  <si>
    <t>15.1.3</t>
  </si>
  <si>
    <t>15.1.4</t>
  </si>
  <si>
    <t>16.1.1</t>
  </si>
  <si>
    <t>16.1.2</t>
  </si>
  <si>
    <t>16.1.3</t>
  </si>
  <si>
    <t>17.1.1</t>
  </si>
  <si>
    <t>17.1.2</t>
  </si>
  <si>
    <t>17.1.3</t>
  </si>
  <si>
    <t>17.1.4</t>
  </si>
  <si>
    <t>17.1.5</t>
  </si>
  <si>
    <t>17.1.6</t>
  </si>
  <si>
    <t>17.1.7</t>
  </si>
  <si>
    <t>18.1.1</t>
  </si>
  <si>
    <t>18.1.2</t>
  </si>
  <si>
    <t>18.1.3</t>
  </si>
  <si>
    <t>18.1.4</t>
  </si>
  <si>
    <t>18.1.5</t>
  </si>
  <si>
    <t>18.1.6</t>
  </si>
  <si>
    <t>18.1.7</t>
  </si>
  <si>
    <t>19.1.1</t>
  </si>
  <si>
    <t>19.1.2</t>
  </si>
  <si>
    <t>19.1.3</t>
  </si>
  <si>
    <t>19.1.4</t>
  </si>
  <si>
    <t>19.1.5</t>
  </si>
  <si>
    <t>19.1.6</t>
  </si>
  <si>
    <t>19.1.7</t>
  </si>
  <si>
    <t>19.1.8</t>
  </si>
  <si>
    <t>19.1.9</t>
  </si>
  <si>
    <t>19.1.10</t>
  </si>
  <si>
    <t>19.1.11</t>
  </si>
  <si>
    <t>19.1.12</t>
  </si>
  <si>
    <t>19.1.13</t>
  </si>
  <si>
    <t>19.1.14</t>
  </si>
  <si>
    <t>19.1.15</t>
  </si>
  <si>
    <t>19.2.1</t>
  </si>
  <si>
    <t>19.2.2</t>
  </si>
  <si>
    <t>19.2.3</t>
  </si>
  <si>
    <t>19.2.4</t>
  </si>
  <si>
    <t>10.1.1</t>
  </si>
  <si>
    <t>10.1.2</t>
  </si>
  <si>
    <t>10.1.3</t>
  </si>
  <si>
    <t>10.1.4</t>
  </si>
  <si>
    <t>10.1.5</t>
  </si>
  <si>
    <t>10.1.6</t>
  </si>
  <si>
    <t>10.1.7</t>
  </si>
  <si>
    <t>10.1.8</t>
  </si>
  <si>
    <t>10.1.9</t>
  </si>
  <si>
    <t>11.1.1</t>
  </si>
  <si>
    <t>11.1.2</t>
  </si>
  <si>
    <t>11.1.3</t>
  </si>
  <si>
    <t>11.1.4</t>
  </si>
  <si>
    <t>11.1.5</t>
  </si>
  <si>
    <t>11.1.6</t>
  </si>
  <si>
    <t>11.1.7</t>
  </si>
  <si>
    <t>11.2.1</t>
  </si>
  <si>
    <t>11.2.2</t>
  </si>
  <si>
    <t>11.2.3</t>
  </si>
  <si>
    <t>11.2.4</t>
  </si>
  <si>
    <t>11.2.5</t>
  </si>
  <si>
    <t>11.2.6</t>
  </si>
  <si>
    <t>11.2.7</t>
  </si>
  <si>
    <t>12.1.1</t>
  </si>
  <si>
    <t>12.1.2</t>
  </si>
  <si>
    <t>12.1.3</t>
  </si>
  <si>
    <t>12.1.4</t>
  </si>
  <si>
    <t>12.1.5</t>
  </si>
  <si>
    <t>12.1.6</t>
  </si>
  <si>
    <t>12.1.7</t>
  </si>
  <si>
    <t>12.2.1</t>
  </si>
  <si>
    <t>12.2.2</t>
  </si>
  <si>
    <t>12.2.3</t>
  </si>
  <si>
    <t>12.2.4</t>
  </si>
  <si>
    <t>12.2.5</t>
  </si>
  <si>
    <t>12.2.6</t>
  </si>
  <si>
    <t>12.2.7</t>
  </si>
  <si>
    <t>ITEMS</t>
  </si>
  <si>
    <t>PAGO DEPOSITO EN ESCOMBRERA AUTORIZADA POR LA AUTORIDAD AMBIENTAL</t>
  </si>
  <si>
    <t>Cargue y Retiro de sobrantes hasta 8 Kms a Maquina</t>
  </si>
  <si>
    <t>Cargue y Retiro de sobrantes hasta 16 Kms a Maquina</t>
  </si>
  <si>
    <t>Cargue y Retiro de sobrantes hasta 24 Kms a Maquina</t>
  </si>
  <si>
    <t>MAESTRO</t>
  </si>
  <si>
    <t>Hora</t>
  </si>
  <si>
    <t>Vibrocompactador</t>
  </si>
  <si>
    <t>Cargador</t>
  </si>
  <si>
    <t>Motoniveladora</t>
  </si>
  <si>
    <t xml:space="preserve">Puntilla </t>
  </si>
  <si>
    <t>Ladrillo Tolete Común</t>
  </si>
  <si>
    <t>Compactador de llanta</t>
  </si>
  <si>
    <t>Asfalto liquido</t>
  </si>
  <si>
    <t>Galon</t>
  </si>
  <si>
    <t>Rana</t>
  </si>
  <si>
    <t>Saltarín</t>
  </si>
  <si>
    <t>CAPUCHON PARA VALVULAS DE 3" A 4" - DADO DE OPERACIÓN CUADRADO VALVULA 3-4"</t>
  </si>
  <si>
    <t>CAPUCHON PARA VALVULAS DE 6" A 8" - DADO DE OPERACIÓN CUADRADO VALVULA 6-8"</t>
  </si>
  <si>
    <t>DISPISITIVO LOCO DE SEGURIDAD PARA VALVULA</t>
  </si>
  <si>
    <t>LLAVE DISPOSITIVO LOCO DE SEGURIDAD</t>
  </si>
  <si>
    <t>TAPA VALVULA TIPO CHOROTE</t>
  </si>
  <si>
    <t>UNION DE TRANSICION DN 14” R1-R3</t>
  </si>
  <si>
    <t>VALVULA ADM/EXP.C.S.1" COMPACT ROSCADA - VENTOSAS SENCILLAS 1" ROSCADA</t>
  </si>
  <si>
    <t xml:space="preserve">Cinta Teflón </t>
  </si>
  <si>
    <t xml:space="preserve"> Codo 45 Pvc Presión 1 </t>
  </si>
  <si>
    <t xml:space="preserve"> Codo 45 Pvc Presión 1 1/2  </t>
  </si>
  <si>
    <t xml:space="preserve"> Codo 45 Pvc Presión 1 1/4 </t>
  </si>
  <si>
    <t xml:space="preserve"> Codo 45 Pvc Presión 1/2 </t>
  </si>
  <si>
    <t xml:space="preserve"> Codo 45 Pvc Presión 2  </t>
  </si>
  <si>
    <t xml:space="preserve"> Codo 45 Pvc Presión 2 1/2 </t>
  </si>
  <si>
    <t xml:space="preserve"> Codo 45 Pvc Presión 3 </t>
  </si>
  <si>
    <t xml:space="preserve"> Codo 45 Pvc Presión 3/4 </t>
  </si>
  <si>
    <t xml:space="preserve"> Codo 45 Pvc Presión 4 </t>
  </si>
  <si>
    <t xml:space="preserve"> Codo Gran Radio 45°  De 2" </t>
  </si>
  <si>
    <t xml:space="preserve"> Codo Gran Radio 45°  De 2.1/2" </t>
  </si>
  <si>
    <t xml:space="preserve"> Codo Gran Radio 45°  De 3" </t>
  </si>
  <si>
    <t xml:space="preserve"> Codo Gran Radio 45°  De 4" </t>
  </si>
  <si>
    <t xml:space="preserve"> Codo Gran Radio 45°  De 6" </t>
  </si>
  <si>
    <t xml:space="preserve"> Codo Gran Radio 45°  De 8" </t>
  </si>
  <si>
    <t xml:space="preserve"> Codo Gran Radio 45°  De 10” </t>
  </si>
  <si>
    <t xml:space="preserve"> Codo Gran Radio 45°  De 12” </t>
  </si>
  <si>
    <t xml:space="preserve"> Codo Gran Radio 90° De 2" </t>
  </si>
  <si>
    <t xml:space="preserve"> Codo Gran Radio 90° De 2.1/2" </t>
  </si>
  <si>
    <t xml:space="preserve"> Codo Gran Radio 90° De 3" </t>
  </si>
  <si>
    <t xml:space="preserve"> Codo Gran Radio 90° De 4" </t>
  </si>
  <si>
    <t xml:space="preserve"> Codo Pvc Presión 1 </t>
  </si>
  <si>
    <t xml:space="preserve"> Codo Pvc Presión 1 1/2 </t>
  </si>
  <si>
    <t xml:space="preserve"> Codo Pvc Presión 1 1/4 </t>
  </si>
  <si>
    <t xml:space="preserve"> Codo Pvc Presión 1/2  </t>
  </si>
  <si>
    <t xml:space="preserve"> Codo Pvc Presión 2  </t>
  </si>
  <si>
    <t xml:space="preserve"> Codo Pvc Presión 2 1/2 </t>
  </si>
  <si>
    <t xml:space="preserve"> Codo Pvc Presión 3  </t>
  </si>
  <si>
    <t xml:space="preserve"> Codo Pvc Presión 3/4 </t>
  </si>
  <si>
    <t xml:space="preserve"> Codo Pvc Presión 4  </t>
  </si>
  <si>
    <t xml:space="preserve"> Collar Derivación Hembra 2 X 1/2” </t>
  </si>
  <si>
    <t xml:space="preserve"> Collar Derivación Hembra 2 X 3/4” </t>
  </si>
  <si>
    <t xml:space="preserve"> Collar Derivación Hembra 2.1/2 X 1/2” </t>
  </si>
  <si>
    <t xml:space="preserve"> Collar Derivación Pvc 8 X 1 </t>
  </si>
  <si>
    <t xml:space="preserve"> Galápago Hd De 3” X 1/2” </t>
  </si>
  <si>
    <t xml:space="preserve"> Galápago Hd De 3” X 3/4” </t>
  </si>
  <si>
    <t xml:space="preserve"> Galápago Hd De 6” X 1/2” </t>
  </si>
  <si>
    <t xml:space="preserve"> Galápago Hd De 6” X 3/4” </t>
  </si>
  <si>
    <t xml:space="preserve"> Tee Hf 8x3 </t>
  </si>
  <si>
    <t xml:space="preserve"> Tee Pvc Presión 1 1/2” </t>
  </si>
  <si>
    <t xml:space="preserve"> Tee Pvc Presión 1 1/4” </t>
  </si>
  <si>
    <t xml:space="preserve"> Tee Pvc Presión 1/2” </t>
  </si>
  <si>
    <t xml:space="preserve"> Tee Pvc Presión 1” </t>
  </si>
  <si>
    <t xml:space="preserve"> Tee Pvc Presión 2 1/2” </t>
  </si>
  <si>
    <t xml:space="preserve"> Tee Pvc Presión 2” </t>
  </si>
  <si>
    <t xml:space="preserve"> Tee Pvc Presión 3/4” </t>
  </si>
  <si>
    <t xml:space="preserve"> Tee Pvc Presión 3” </t>
  </si>
  <si>
    <t xml:space="preserve"> Tee Pvc Presión 4” </t>
  </si>
  <si>
    <t xml:space="preserve"> Unión Pvc Presión 1 </t>
  </si>
  <si>
    <t xml:space="preserve"> Unión Pvc Presión 1 1/2” </t>
  </si>
  <si>
    <t xml:space="preserve"> Unión Pvc Presión 2  </t>
  </si>
  <si>
    <t xml:space="preserve"> Unión Pvc Presión 3  </t>
  </si>
  <si>
    <t xml:space="preserve"> Unión Pvc Presión 4 </t>
  </si>
  <si>
    <t xml:space="preserve"> Unión Reparación C/Camp 2  </t>
  </si>
  <si>
    <t xml:space="preserve"> Unión Reparación C/Camp 2 1/2 </t>
  </si>
  <si>
    <t xml:space="preserve"> Unión Reparación C/Camp 3  </t>
  </si>
  <si>
    <t xml:space="preserve"> Unión Reparación C/Camp 4  </t>
  </si>
  <si>
    <t xml:space="preserve"> Unión Reparación C/Camp Biaxial 10 </t>
  </si>
  <si>
    <t xml:space="preserve"> Unión Reparación C/Camp Biaxial 12 </t>
  </si>
  <si>
    <t xml:space="preserve"> Unión Reparación C/Camp Biaxial 6  </t>
  </si>
  <si>
    <t xml:space="preserve"> Unión Reparación C/Camp Biaxial 8  </t>
  </si>
  <si>
    <t>Universal Presion Pvc ½”</t>
  </si>
  <si>
    <t>EQUIPO</t>
  </si>
  <si>
    <t>Compactador Benitin</t>
  </si>
  <si>
    <t>Compactador manual de rodillo</t>
  </si>
  <si>
    <t>Compactador de llanta (Neumático)</t>
  </si>
  <si>
    <t>Compresor 125 pies con 3 martillos</t>
  </si>
  <si>
    <t>Compresor 250 pies con 3 martillos</t>
  </si>
  <si>
    <t>Compresor (barrido y soplado)</t>
  </si>
  <si>
    <t>Diferencial de 2 ton.</t>
  </si>
  <si>
    <t>Formaleta metálica (concreto hidraulico)</t>
  </si>
  <si>
    <t>Retrocargador</t>
  </si>
  <si>
    <t>M³-KM</t>
  </si>
  <si>
    <t>Terminadora de asfalto (Finisher)</t>
  </si>
  <si>
    <t>Vibrador de concreto</t>
  </si>
  <si>
    <t>m³</t>
  </si>
  <si>
    <t>Agua</t>
  </si>
  <si>
    <t>Asfalto liquido RC 250</t>
  </si>
  <si>
    <t>Bentonita</t>
  </si>
  <si>
    <t>Biomanto (Ecomatrix)</t>
  </si>
  <si>
    <t>Mecha Lenta</t>
  </si>
  <si>
    <t>Mortero 1:4</t>
  </si>
  <si>
    <t xml:space="preserve">Poste de madera para cercas </t>
  </si>
  <si>
    <t xml:space="preserve">Tierra abonada </t>
  </si>
  <si>
    <t>Tierra organica</t>
  </si>
  <si>
    <t>ANÁLISIS DE PRECIOS UNITARIOS</t>
  </si>
  <si>
    <t>I. EQUIPO</t>
  </si>
  <si>
    <t>Descripción</t>
  </si>
  <si>
    <t>Tipo</t>
  </si>
  <si>
    <t>Tarifa/Hora</t>
  </si>
  <si>
    <t>Rendimiento</t>
  </si>
  <si>
    <t>Valor-Unit.</t>
  </si>
  <si>
    <t>ESTACION</t>
  </si>
  <si>
    <t>Sub-Total</t>
  </si>
  <si>
    <t>II. MATERIALES EN OBRA</t>
  </si>
  <si>
    <t>Unidad</t>
  </si>
  <si>
    <t>Precio-Unit.</t>
  </si>
  <si>
    <t>Cantidad</t>
  </si>
  <si>
    <t>III. TRANSPORTES</t>
  </si>
  <si>
    <t>Material</t>
  </si>
  <si>
    <t>Vol. Peso ó Cant.</t>
  </si>
  <si>
    <t>Distancia</t>
  </si>
  <si>
    <t>M3-Km</t>
  </si>
  <si>
    <t>Tarifa</t>
  </si>
  <si>
    <t>IV. MANO DE OBRA</t>
  </si>
  <si>
    <t>Trabajador</t>
  </si>
  <si>
    <t>Jornal</t>
  </si>
  <si>
    <t>Prestaciones</t>
  </si>
  <si>
    <t>Jornal Total</t>
  </si>
  <si>
    <t>TOPOGRAFO</t>
  </si>
  <si>
    <t>Total Costo Directo</t>
  </si>
  <si>
    <t>V. COSTOS INDIRECTOS</t>
  </si>
  <si>
    <t>Porcentaje</t>
  </si>
  <si>
    <t>Valor Total</t>
  </si>
  <si>
    <t>ADMINISTRACION</t>
  </si>
  <si>
    <t xml:space="preserve">IMPREVISTOS </t>
  </si>
  <si>
    <t>UTILIDAD</t>
  </si>
  <si>
    <t>Precio unitario total aproximado al peso</t>
  </si>
  <si>
    <t>ITEM: LOCALIZACION Y REPLANTEO TOPOGRAFICO</t>
  </si>
  <si>
    <t>UNIDAD  : ML</t>
  </si>
  <si>
    <t>ESPECIFICACIÓN: 1,1</t>
  </si>
  <si>
    <t>EMPRESA IBAGUEREÑA DE ACUEDUCTO Y ALCANTARILLADO</t>
  </si>
  <si>
    <t>IBAL S.A E.S.P OFICIAL</t>
  </si>
  <si>
    <t xml:space="preserve">PRELIMINARES: </t>
  </si>
  <si>
    <t>ITEM</t>
  </si>
  <si>
    <t>%</t>
  </si>
  <si>
    <t>IMPREVISTOS</t>
  </si>
  <si>
    <t>CADENERO</t>
  </si>
  <si>
    <t>DIBUJANTE</t>
  </si>
  <si>
    <t>ESPECIFICACIÓN: 1,2</t>
  </si>
  <si>
    <t>ITEM: TRANSPORTE DE SOBRANTE</t>
  </si>
  <si>
    <t>UNIDAD  : M3/Km</t>
  </si>
  <si>
    <t>UNIDAD  : M3</t>
  </si>
  <si>
    <t>ESPECIFICACIÓN: 1,3</t>
  </si>
  <si>
    <t>ITEM: CARGUE DE SOBRANTES A MANO</t>
  </si>
  <si>
    <t>PRESTACIONES SOCIALES</t>
  </si>
  <si>
    <t>N°.</t>
  </si>
  <si>
    <t xml:space="preserve">PRECIOS MATERIALES </t>
  </si>
  <si>
    <t>ESPECIFICACIÓN: 1,4</t>
  </si>
  <si>
    <t>UNIDAD  : M3/Comp</t>
  </si>
  <si>
    <t>ITEM: CARGUE Y RETIRO DE SOBRANTES HASTA 8 KMTS A MAQUINA</t>
  </si>
  <si>
    <t>ESPECIFICACIÓN: 1,5</t>
  </si>
  <si>
    <t>ITEM: CARGUE Y RETIRO DE SOBRANTES HASTA 16 KMTS A MAQUINA</t>
  </si>
  <si>
    <t>ITEM: CARGUE Y RETIRO DE SOBRANTES HASTA 24 KMTS A MAQUINA</t>
  </si>
  <si>
    <t>ESPECIFICACIÓN: 1,6</t>
  </si>
  <si>
    <t>ESPECIFICACIÓN: 1,7</t>
  </si>
  <si>
    <t>ESPECIFICACIÓN: 1,8</t>
  </si>
  <si>
    <t>ITEM: RELENOS DE EXCAVACION CON MATERIAL SELECCIONADO</t>
  </si>
  <si>
    <t>MATERIAL DE PRESTAMO</t>
  </si>
  <si>
    <t>ESPECIFICACIÓN: 1,9</t>
  </si>
  <si>
    <t>ESPECIFICACIÓN: 1,10</t>
  </si>
  <si>
    <t>GL</t>
  </si>
  <si>
    <t>PUNTILLA 2" 1/2 A 3" 1/2</t>
  </si>
  <si>
    <t>MADERA MEDIO CERCO (ESTACAS)</t>
  </si>
  <si>
    <t>PINTURA</t>
  </si>
  <si>
    <t>AYUDANTES (2)</t>
  </si>
  <si>
    <t>AYUDANTE (2)</t>
  </si>
  <si>
    <t>ITEM: RELLENOS DE EXCAVACION CON MATERIAL SELECCIONADO PROVENIENTE DE EXCAVACION COMPACTADO C/15 CMS</t>
  </si>
  <si>
    <t>ITEM: SUMINISTRO DE RECEBO EN ZANJA COMPACTADO  C/15 CMS MEDIO MECANICO</t>
  </si>
  <si>
    <t>ESPECIFICACIÓN: 1,11</t>
  </si>
  <si>
    <t>ITEM: ACARREO INTERNO EN OBRA</t>
  </si>
  <si>
    <t>ESPECIFICACIÓN: 1,12</t>
  </si>
  <si>
    <t>ITEM: SUMINISTRO E INSTALACION DE MATERIAL FILTRANTE RELLENO (PEDRAPLEN)</t>
  </si>
  <si>
    <t>ITEM: DEMOLICION MURO SENCILLO E=0,15</t>
  </si>
  <si>
    <t>UNIDAD  : M2</t>
  </si>
  <si>
    <t>ESPECIFICACIÓN: 2,1</t>
  </si>
  <si>
    <t>AYUDANTE (3)</t>
  </si>
  <si>
    <t>ESPECIFICACIÓN: 2,2</t>
  </si>
  <si>
    <t>ITEM: DEMOLICION MURO DOBLE E=0,25</t>
  </si>
  <si>
    <t>ESPECIFICACIÓN: 2,3</t>
  </si>
  <si>
    <t>ITEM: DEMOLICION PAVIMENTO CONCRETO RIGIDO</t>
  </si>
  <si>
    <t>ITEM: DEMOLICION PAVIMENTO CONCRETO ASFALTICO</t>
  </si>
  <si>
    <t>ESPECIFICACIÓN: 2,4</t>
  </si>
  <si>
    <t>ESPECIFICACIÓN: 2,5</t>
  </si>
  <si>
    <t>ITEM: DEMOLICION ESTRUCTURA CONCRETO CICLOPEO</t>
  </si>
  <si>
    <t>ITEM: DEMOLICION ESTRUCTURA CONCRETO REFORZADO</t>
  </si>
  <si>
    <t>ESPECIFICACIÓN: 2,6</t>
  </si>
  <si>
    <t xml:space="preserve">DEMOLICIONES: </t>
  </si>
  <si>
    <t>ESPECIFICACIÓN: 3,1</t>
  </si>
  <si>
    <t>ESPECIFICACIÓN: 3,2</t>
  </si>
  <si>
    <t>ITEM: EXCAVACIONES EN MATERIAL COMUN</t>
  </si>
  <si>
    <t>ITEM: EXCAVACIONES EN CONGLOMERADO</t>
  </si>
  <si>
    <t>ESPECIFICACIÓN: 3,3</t>
  </si>
  <si>
    <t>ITEM: EXCAVACIONES EN ROCA</t>
  </si>
  <si>
    <t>ESPECIFICACIÓN: 3,4</t>
  </si>
  <si>
    <t>ITEM: EXCAVACIONES EN ROCA CON EXPLOSIVOS</t>
  </si>
  <si>
    <t>Material explosivo</t>
  </si>
  <si>
    <t>ESPECIFICACIÓN: 3,5</t>
  </si>
  <si>
    <t xml:space="preserve">EXCAVACIONES A MANO DE 0 A 2 MTS EN SECO: </t>
  </si>
  <si>
    <t xml:space="preserve">EXCAVACIONES A MANO DE 0 A 2 MTS BAJO AGUA: </t>
  </si>
  <si>
    <t>ESPECIFICACIÓN: 3,6</t>
  </si>
  <si>
    <t>ESPECIFICACIÓN: 3,7</t>
  </si>
  <si>
    <t xml:space="preserve">EXCAVACIONES A MANO DE 2 A 4 MTS EN SECO: </t>
  </si>
  <si>
    <t>ESPECIFICACIÓN: 3,8</t>
  </si>
  <si>
    <t>ESPECIFICACIÓN: 3,9</t>
  </si>
  <si>
    <t>ESPECIFICACIÓN: 3,10</t>
  </si>
  <si>
    <t>ESPECIFICACIÓN: 3,11</t>
  </si>
  <si>
    <t xml:space="preserve">EXCAVACIONES A MANO DE 2 A 4 MTS BAJO AGUA: </t>
  </si>
  <si>
    <t>ESPECIFICACIÓN: 3,12</t>
  </si>
  <si>
    <t>ESPECIFICACIÓN: 3,13</t>
  </si>
  <si>
    <t>ESPECIFICACIÓN: 3,14</t>
  </si>
  <si>
    <t xml:space="preserve">EXCAVACIONES A MANO MAYOR DE 4 MTS EN SECO: </t>
  </si>
  <si>
    <t>ESPECIFICACIÓN: 3,15</t>
  </si>
  <si>
    <t>ESPECIFICACIÓN: 3,16</t>
  </si>
  <si>
    <t>ESPECIFICACIÓN: 3,17</t>
  </si>
  <si>
    <t xml:space="preserve">EXCAVACIONES A MAQUINA DE O A 2 MTS EN SECO: </t>
  </si>
  <si>
    <t>ITEM: EXCAVACIONES EN MATERIAL COMUN Y CONGLOMERADO</t>
  </si>
  <si>
    <t>ESPECIFICACIÓN: 4,1</t>
  </si>
  <si>
    <t>ESPECIFICACIÓN: 4,2</t>
  </si>
  <si>
    <t xml:space="preserve">EXCAVACIONES A MAQUINA DE O A 2 MTS BAJO AGUA: </t>
  </si>
  <si>
    <t>ESPECIFICACIÓN: 4,3</t>
  </si>
  <si>
    <t>ESPECIFICACIÓN: 4,4</t>
  </si>
  <si>
    <t xml:space="preserve">EXCAVACIONES A MAQUINA DE 2 A 4 MTS EN SECO: </t>
  </si>
  <si>
    <t>ESPECIFICACIÓN: 4,6</t>
  </si>
  <si>
    <t>ESPECIFICACIÓN: 4,5</t>
  </si>
  <si>
    <t>ESPECIFICACIÓN: 4,7</t>
  </si>
  <si>
    <t xml:space="preserve">EXCAVACIONES A MAQUINA DE 2 A 4 MTS BAJO AGUA: </t>
  </si>
  <si>
    <t>ESPECIFICACIÓN: 4,8</t>
  </si>
  <si>
    <t xml:space="preserve">EXCAVACIONES A MAQUINA MAYOR DE 4 MTS EN SECO: </t>
  </si>
  <si>
    <t>ESPECIFICACIÓN: 4,9</t>
  </si>
  <si>
    <t>ESPECIFICACIÓN: 4,10</t>
  </si>
  <si>
    <t>ESPECIFICACIÓN: 4,11</t>
  </si>
  <si>
    <t xml:space="preserve">EXCAVACIONES A MAQUINA MAYOR DE 4 MTS BAJO AGUA: </t>
  </si>
  <si>
    <t>ESPECIFICACIÓN: 4,12</t>
  </si>
  <si>
    <t>ESPECIFICACIÓN: 5,1</t>
  </si>
  <si>
    <t>ESPECIFICACIÓN: 5,2</t>
  </si>
  <si>
    <t>OFICIAL (1)</t>
  </si>
  <si>
    <t>ESPECIFICACIÓN: 5,3</t>
  </si>
  <si>
    <t>FORMALETA MADERA</t>
  </si>
  <si>
    <t>CONCRETO SIMPLE 2500 PSI</t>
  </si>
  <si>
    <t>ESPECIFICACIÓN: 5,5</t>
  </si>
  <si>
    <t>AYUDANTE (4)</t>
  </si>
  <si>
    <t>ESPECIFICACIÓN: 5,6</t>
  </si>
  <si>
    <t>ESPECIFICACIÓN: 5,7</t>
  </si>
  <si>
    <t>ESPECIFICACIÓN: 5,8</t>
  </si>
  <si>
    <t>MAESTRO (1)</t>
  </si>
  <si>
    <t>ESPECIFICACIÓN: 5,9</t>
  </si>
  <si>
    <t>ESPECIFICACIÓN: 5,10</t>
  </si>
  <si>
    <t>ESPECIFICACIÓN: 5,11</t>
  </si>
  <si>
    <t>ITEM: INSTALACION Y SUMINISTRO DE CONCRETO 4.000 PSI ESTRUCTURA e=0,25 M</t>
  </si>
  <si>
    <t>ITEM: ANDEN EN CONCRETO e=0,10 (NCLUYE ALISTADO Y NIVELACION)</t>
  </si>
  <si>
    <t>ESPECIFICACIÓN: 5,13</t>
  </si>
  <si>
    <t>ITEM: SARDINEL (0,15*0,20*040) EN CONCRETO SIMPLE 2500 PSI</t>
  </si>
  <si>
    <t>UNIDAD  : M3/comp</t>
  </si>
  <si>
    <t>ITEM: CARGUE, SUMINISTRO, EXTENDIDA Y COMPACTACION DE BASE GRANULAR</t>
  </si>
  <si>
    <t>VIBROCOMPACTADOR</t>
  </si>
  <si>
    <t>ESPECIFICACIÓN: 6,1</t>
  </si>
  <si>
    <t>ESPECIFICACIÓN: 6,2</t>
  </si>
  <si>
    <t>ITEM: CARGUE, SUMINISTRO, EXTENDIDA Y COMPACTACION DE SUB-BASE GRANULAR</t>
  </si>
  <si>
    <t>ESPECIFICACIÓN: 6,3</t>
  </si>
  <si>
    <t>ESPECIFICACIÓN: 6,4</t>
  </si>
  <si>
    <t>ITEM: IMPRMACION O RIEGO DE LIGA</t>
  </si>
  <si>
    <t>ESPECIFICACIÓN: 6,5</t>
  </si>
  <si>
    <t>ITEM: SUMINISTRO DE MEZCLA ASFALTICA TIPO RODADURA SOBRE TERMINADORA</t>
  </si>
  <si>
    <t>ESPECIFICACIÓN: 6,6</t>
  </si>
  <si>
    <t>ITEM: APLICACIÓN CARPETA ASFALTICA-INCLUYE COMPACTACION</t>
  </si>
  <si>
    <t>UNIDAD  : M3/COMP</t>
  </si>
  <si>
    <t>TERMNADORA DE ASFALTO</t>
  </si>
  <si>
    <t>AYUDANTES (4)</t>
  </si>
  <si>
    <t>ESPECIFICACIÓN: 6,7</t>
  </si>
  <si>
    <t>ITEM: CONSTRUCCION PLACA EN CONCRETO 3000 PSI e=0,13m</t>
  </si>
  <si>
    <t>AYUDANTES (3)</t>
  </si>
  <si>
    <t>ESPECIFICACIÓN: 6,8</t>
  </si>
  <si>
    <t>ITEM: CONSTRUCCION PLACA EN CONCRETO 3000 PSI e=0,15m</t>
  </si>
  <si>
    <t>ESPECIFICACIÓN: 6,9</t>
  </si>
  <si>
    <t>ITEM: RECONSTRUCCION PAVIMENTO ASFALTICO E=2"-INCLUYE MEZCLA ASFALTICA E=2", BASE GRANULAR, E=0,25 m, Y SUB-BASE E=0,30 m</t>
  </si>
  <si>
    <t>TRANSPORTE ASFALTO</t>
  </si>
  <si>
    <t>TRANSPORTE BASE</t>
  </si>
  <si>
    <t>TRANSPORTE SUB BASE</t>
  </si>
  <si>
    <t>AYUDANTES (5)</t>
  </si>
  <si>
    <t>ESPECIFICACIÓN: 6,10</t>
  </si>
  <si>
    <t>ITEM: RECONSTRUCCION PAVIMENTO ASFALTICO E=3"-INCLUYE MEZCLA ASFALTICA E=3", BASE GRANULAR, E=0,25 m, Y SUB-BASE E=0,30 m</t>
  </si>
  <si>
    <t>ESPECIFICACIÓN: 6,11</t>
  </si>
  <si>
    <t>ITEM: RECONSTRUCCION PAVIMENTO ASFALTICO E=3"-INCLUYE IMPRIMACION O RIEGO DE LIGA, SUMINISTRO, EXTENDIDA Y COMPACTACION DE LA MEZCLA ASFALTICA</t>
  </si>
  <si>
    <t>ESPECIFICACIÓN: 6,12</t>
  </si>
  <si>
    <t>ITEM: PARCHEO DE PAVIMENTO ASFALTICO- INLUYE IMPRIMACION O RIEGO DE LIGA, SUMINISTRO, EXTENDIDA Y COMPACTACION DE LA MEZCLA ASFALTICA</t>
  </si>
  <si>
    <t>ESPECIFICACIÓN: 6,13</t>
  </si>
  <si>
    <t>ITEM: ROTURA PAVIMENTO RIGIDO E= 0,15 m</t>
  </si>
  <si>
    <t>ESPECIFICACIÓN: 6,14</t>
  </si>
  <si>
    <t>ITEM: ROTURA PAVIMENTO RIGIDO E= 0,10 m</t>
  </si>
  <si>
    <t>ESPECIFICACIÓN: 6,15</t>
  </si>
  <si>
    <t>ITEM: ROTURA PAVIMENTO FLEXIBLE  E= 0,10 m</t>
  </si>
  <si>
    <t>ESPECIFICACIÓN: 6,16</t>
  </si>
  <si>
    <t>VOLQUETA TIPO B600 O SIMILAR</t>
  </si>
  <si>
    <t>ESPECIFICACIÓN: 6,17</t>
  </si>
  <si>
    <t>ESPECIFICACIÓN: 6,18</t>
  </si>
  <si>
    <t>ITEM: EXPLANACION Y CAJEO</t>
  </si>
  <si>
    <t>ESPECIFICACIÓN: 6,19</t>
  </si>
  <si>
    <t>ITEM: NIVELACION Y COMPACTACION DE LA SUBRASANTE</t>
  </si>
  <si>
    <t>ESPECIFICACIÓN: 6,20</t>
  </si>
  <si>
    <t>ITEM: CORTE DE PAVIMENTO FLEXIBLE CON CORTADORA</t>
  </si>
  <si>
    <t>ESPECIFICACIÓN: 6,21</t>
  </si>
  <si>
    <t>ITEM: CORTE DE PAVIMENTO RIGIDO CON CORTADORA</t>
  </si>
  <si>
    <t>ESPECIFICACIÓN: 6,22</t>
  </si>
  <si>
    <t>ESPECIFICACIÓN: 6,23</t>
  </si>
  <si>
    <t>ITEM: ROTURA DE PAVIMENTO RIGIDO</t>
  </si>
  <si>
    <t>ITEM: ROTURA DE PAVIMENTO FLEXIBLE</t>
  </si>
  <si>
    <t>ESPECIFICACIÓN: 7,1</t>
  </si>
  <si>
    <t>ITEM: MURO EN LADRILLO TOLETE COMUN e=12 Cms</t>
  </si>
  <si>
    <t>AYUDANTES (1)</t>
  </si>
  <si>
    <t>ESPECIFICACIÓN: 7,2</t>
  </si>
  <si>
    <t>UNIDAD  : KG</t>
  </si>
  <si>
    <t>ESPECIFICACIÓN: 7,3</t>
  </si>
  <si>
    <t>ESPECIFICACIÓN: 8,1,1</t>
  </si>
  <si>
    <t>ITEM: DE 0 A 2 MTS DE DIAMETRO 6"</t>
  </si>
  <si>
    <t>TUBO CONCRETO CLASE 2 D=6" (incluye sello caucho)</t>
  </si>
  <si>
    <t>ESPECIFICACIÓN: 8,1,2</t>
  </si>
  <si>
    <t>ITEM: DE 0 A 2 MTS DE DIAMETRO 8"</t>
  </si>
  <si>
    <t>TUBO CONCRETO CLASE 2 D=8" (incluye sello caucho)</t>
  </si>
  <si>
    <t>ESPECIFICACIÓN: 8,1,3</t>
  </si>
  <si>
    <t>ITEM: DE 0 A 2 MTS DE DIAMETRO 10"</t>
  </si>
  <si>
    <t>TUBO CONCRETO CLASE 2 D=10" (incluye sello caucho)</t>
  </si>
  <si>
    <t>ESPECIFICACIÓN: 8,1,4</t>
  </si>
  <si>
    <t>ITEM: DE 0 A 2 MTS DE DIAMETRO 12"</t>
  </si>
  <si>
    <t>TUBO CONCRETO CLASE 2 D=12" (incluye sello caucho)</t>
  </si>
  <si>
    <t>ESPECIFICACIÓN: 8,1,5</t>
  </si>
  <si>
    <t>ITEM: DE 0 A 2 MTS DE DIAMETRO 14"</t>
  </si>
  <si>
    <t>TUBO CONCRETO CLASE 2 D=14" (incluye sello caucho)</t>
  </si>
  <si>
    <t>ESPECIFICACIÓN: 8,1,6</t>
  </si>
  <si>
    <t>ITEM: DE 0 A 2 MTS DE DIAMETRO 16"</t>
  </si>
  <si>
    <t>TUBO CONCRETO CLASE 2 D=16" (incluye sello caucho)</t>
  </si>
  <si>
    <t>ESPECIFICACIÓN: 8,1,7</t>
  </si>
  <si>
    <t>ITEM: DE 0 A 2 MTS DE DIAMETRO 18"</t>
  </si>
  <si>
    <t>TUBO CONCRETO CLASE 2 D=18" (incluye sello caucho)</t>
  </si>
  <si>
    <t>ESPECIFICACIÓN: 8,1,8</t>
  </si>
  <si>
    <t>ITEM: DE 0 A 2 MTS DE DIAMETRO 20"</t>
  </si>
  <si>
    <t>TUBO CONCRETO CLASE 2 D=20" (incluye sello caucho)</t>
  </si>
  <si>
    <t>ESPECIFICACIÓN: 8,1,9</t>
  </si>
  <si>
    <t>ITEM: DE 0 A 2 MTS DE DIAMETRO 24"</t>
  </si>
  <si>
    <t>TUBO CONCRETO CLASE 2 D=24" (incluye sello caucho)</t>
  </si>
  <si>
    <t>ITEM: DE 2 A 4 MTS DE DIAMETRO 6"</t>
  </si>
  <si>
    <t>ESPECIFICACIÓN: 8,2,1</t>
  </si>
  <si>
    <t>ESPECIFICACIÓN: 8,2,2</t>
  </si>
  <si>
    <t>ITEM: DE 2 A 4 MTS DE DIAMETRO 8"</t>
  </si>
  <si>
    <t xml:space="preserve">TUBO CONCRETO CLASE 2 D=6" </t>
  </si>
  <si>
    <t>ESPECIFICACIÓN: 8,2,3</t>
  </si>
  <si>
    <t>ITEM: DE 2 A 4 MTS DE DIAMETRO 10"</t>
  </si>
  <si>
    <t xml:space="preserve">TUBO CONCRETO CLASE 2 D=10" </t>
  </si>
  <si>
    <t xml:space="preserve">TUBO CONCRETO CLASE 2 D=8" </t>
  </si>
  <si>
    <t>ESPECIFICACIÓN: 8,2,4</t>
  </si>
  <si>
    <t>ITEM: DE 2 A 4 MTS DE DIAMETRO 12"</t>
  </si>
  <si>
    <t xml:space="preserve">TUBO CONCRETO CLASE 2 D=12" </t>
  </si>
  <si>
    <t>ESPECIFICACIÓN: 8,2,5</t>
  </si>
  <si>
    <t>ITEM: DE 2 A 4 MTS DE DIAMETRO 14"</t>
  </si>
  <si>
    <t xml:space="preserve">TUBO CONCRETO CLASE 2 D=14" </t>
  </si>
  <si>
    <t>ESPECIFICACIÓN: 8,2,6</t>
  </si>
  <si>
    <t>ITEM: DE 2 A 4 MTS DE DIAMETRO 18"</t>
  </si>
  <si>
    <t>ITEM: DE 2 A 4 MTS DE DIAMETRO 16"</t>
  </si>
  <si>
    <t>TUBO CONCRETO CLASE 2 D=16" (INCLUYE SELLO DE CAUCHO)</t>
  </si>
  <si>
    <t>ESPECIFICACIÓN: 8,2,7</t>
  </si>
  <si>
    <t>TUBO CONCRETO CLASE 2 D=18" (INCLUYE SELLO DE CAUCHO)</t>
  </si>
  <si>
    <t>ESPECIFICACIÓN: 8,2,8</t>
  </si>
  <si>
    <t>ITEM: DE 2 A 4 MTS DE DIAMETRO 20"</t>
  </si>
  <si>
    <t>TUBO CONCRETO CLASE 2 D=20" (INCLUYE SELLO DE CAUCHO)</t>
  </si>
  <si>
    <t>ESPECIFICACIÓN: 8,2,9</t>
  </si>
  <si>
    <t>ITEM: DE 2 A 4 MTS DE DIAMETRO 24"</t>
  </si>
  <si>
    <t>TUBO CONCRETO CLASE 2 D=24" (INCLUYE SELLO DE CAUCHO)</t>
  </si>
  <si>
    <t>INSTALACION DE TUBERIA DE CONCRETO CERTIFICADO NORMA 1022 CLASE 2</t>
  </si>
  <si>
    <t>ESPECIFICACIÓN: 9,1,1</t>
  </si>
  <si>
    <t>ESPECIFICACIÓN: 9,1,2</t>
  </si>
  <si>
    <t>ESPECIFICACIÓN: 9,1,3</t>
  </si>
  <si>
    <t>ESPECIFICACIÓN: 9,1,4</t>
  </si>
  <si>
    <t>ESPECIFICACIÓN: 9,1,5</t>
  </si>
  <si>
    <t>ESPECIFICACIÓN: 9,1,6</t>
  </si>
  <si>
    <t>ESPECIFICACIÓN: 9,1,7</t>
  </si>
  <si>
    <t>ESPECIFICACIÓN: 9,1,8</t>
  </si>
  <si>
    <t>ESPECIFICACIÓN: 9,1,9</t>
  </si>
  <si>
    <t>ESPECIFICACIÓN: 10,1,1</t>
  </si>
  <si>
    <t>ESPECIFICACIÓN: 10,1,2</t>
  </si>
  <si>
    <t>ESPECIFICACIÓN: 10,1,3</t>
  </si>
  <si>
    <t>ESPECIFICACIÓN: 10,1,4</t>
  </si>
  <si>
    <t>ESPECIFICACIÓN: 10,1,5</t>
  </si>
  <si>
    <t>ESPECIFICACIÓN: 10,1,6</t>
  </si>
  <si>
    <t>ESPECIFICACIÓN: 10,1,7</t>
  </si>
  <si>
    <t>ESPECIFICACIÓN: 10,1,8</t>
  </si>
  <si>
    <t>ESPECIFICACIÓN: 10,1,9</t>
  </si>
  <si>
    <t>ESPECIFICACIÓN: 11,1,1</t>
  </si>
  <si>
    <t>ITEM: DE 0 A 2 MTS DE DIAMETRO DE 24"</t>
  </si>
  <si>
    <t>TRANSPORTE DE TUBERIA</t>
  </si>
  <si>
    <t>ESPECIFICACIÓN: 11,1,2</t>
  </si>
  <si>
    <t>ITEM: DE 0 A 2 MTS DE DIAMETRO DE 27"</t>
  </si>
  <si>
    <t>ESPECIFICACIÓN: 11,1,3</t>
  </si>
  <si>
    <t>ITEM: DE 0 A 2 MTS DE DIAMETRO DE 30"</t>
  </si>
  <si>
    <t>ESPECIFICACIÓN: 11,1,4</t>
  </si>
  <si>
    <t>ITEM: DE 0 A 2 MTS DE DIAMETRO DE 36"</t>
  </si>
  <si>
    <t>ESPECIFICACIÓN: 11,1,5</t>
  </si>
  <si>
    <t>ITEM: DE 0 A 2 MTS DE DIAMETRO DE 40"</t>
  </si>
  <si>
    <t>ESPECIFICACIÓN: 11,1,6</t>
  </si>
  <si>
    <t>ITEM: DE 0 A 2 MTS DE DIAMETRO DE 48"</t>
  </si>
  <si>
    <t>ITEM: DE 0 A 2 MTS DE DIAMETRO DE 44"</t>
  </si>
  <si>
    <t>ESPECIFICACIÓN: 11,1,7</t>
  </si>
  <si>
    <t>ESPECIFICACIÓN: 11,2,1</t>
  </si>
  <si>
    <t>ESPECIFICACIÓN: 11,2,2</t>
  </si>
  <si>
    <t>ITEM: DE 2A 4 MTS DE DISEMETRO 24"</t>
  </si>
  <si>
    <t>ESPECIFICACIÓN: 11,2,3</t>
  </si>
  <si>
    <t>ITEM: DE 2A 4 MTS DE DIAMETRO 30"</t>
  </si>
  <si>
    <t>ITEM: DE 2A 4 MTS DE DIAMETRO 27"</t>
  </si>
  <si>
    <t>ESPECIFICACIÓN: 11,2,4</t>
  </si>
  <si>
    <t>ITEM: DE 2A 4 MTS DE DIAMETRO 36"</t>
  </si>
  <si>
    <t>ESPECIFICACIÓN: 11,2,5</t>
  </si>
  <si>
    <t>ITEM: DE 2A 4 MTS DE DIAMETRO 40"</t>
  </si>
  <si>
    <t>ESPECIFICACIÓN: 11,2,6</t>
  </si>
  <si>
    <t>ITEM: DE 2A 4 MTS DE DIAMETRO 44"</t>
  </si>
  <si>
    <t>ESPECIFICACIÓN: 11,2,7</t>
  </si>
  <si>
    <t>ITEM: DE 2A 4 MTS DE DIAMETRO 48"</t>
  </si>
  <si>
    <t>ESPECIFICACIÓN: 12,1,1</t>
  </si>
  <si>
    <t>ESPECIFICACIÓN: 12,1,2</t>
  </si>
  <si>
    <t>TUBO DE CONCRETO CLASE 2 D= 24" (INCLUYE SELLO DE CAUCHO)</t>
  </si>
  <si>
    <t>TUBO DE CONCRETO CLASE 2 D= 27"(INCLUYE SELLO CAUCHO)</t>
  </si>
  <si>
    <t>ESPECIFICACIÓN: 12,1,3</t>
  </si>
  <si>
    <t>ITEM: DE 0 A 2 MTS DE DIAMETRO 27"</t>
  </si>
  <si>
    <t>ITEM: DE 0 A 2 MTS DE DIAMETRO 30"</t>
  </si>
  <si>
    <t>TUBO DE CONCRETO CLASE 2 D= 30"(INCLUYE SELLO CAUCHO)</t>
  </si>
  <si>
    <t>ESPECIFICACIÓN: 12,1,4</t>
  </si>
  <si>
    <t>ITEM: DE 0 A 2 MTS DE DIAMETRO 36"</t>
  </si>
  <si>
    <t>ESPECIFICACIÓN: 12,1,5</t>
  </si>
  <si>
    <t>ITEM: DE 0 A 2 MTS DE DIAMETRO 40"</t>
  </si>
  <si>
    <t>ESPECIFICACIÓN: 12,1,6</t>
  </si>
  <si>
    <t>ITEM: DE 0 A 2 MTS DE DIAMETRO 44"</t>
  </si>
  <si>
    <t>TUBO DE CONCRETO CLASE 2 D= 40"</t>
  </si>
  <si>
    <t>TUBO DE CONCRETO CLASE 2 D= 36"</t>
  </si>
  <si>
    <t>ESPECIFICACIÓN: 12,1,7</t>
  </si>
  <si>
    <t>ITEM: DE 0 A 2 MTS DE DIAMETRO 48"</t>
  </si>
  <si>
    <t>TUBO DE CONCRETO CLASE 2 D= 48"</t>
  </si>
  <si>
    <t>TUBO DE CONCRETO CLASE 2 D= 44"</t>
  </si>
  <si>
    <t>ESPECIFICACIÓN: 12,2,1</t>
  </si>
  <si>
    <t>TUBO DE CONCRETO CLASE 2 D= 24"</t>
  </si>
  <si>
    <t>ESPECIFICACIÓN: 12,2,2</t>
  </si>
  <si>
    <t>TUBO DE CONCRETO CLASE 2 D= 27"</t>
  </si>
  <si>
    <t>ESPECIFICACIÓN: 12,2,3</t>
  </si>
  <si>
    <t>TUBO DE CONCRETO CLASE 2 D= 30"</t>
  </si>
  <si>
    <t>ESPECIFICACIÓN: 12,2,4</t>
  </si>
  <si>
    <t>ESPECIFICACIÓN: 12,2,5</t>
  </si>
  <si>
    <t>ESPECIFICACIÓN: 12,2,6</t>
  </si>
  <si>
    <t>ESPECIFICACIÓN: 12,2,7</t>
  </si>
  <si>
    <t>ESPECIFICACIÓN: 13,1,1</t>
  </si>
  <si>
    <t>INSTALACION DE TUBERIA PLASTICA O LISA NTC 3722-1 Y 5070 Y NTC 4764</t>
  </si>
  <si>
    <t>ITEM: DE 2 A 4 MTS DE DIAMETRO 48"</t>
  </si>
  <si>
    <t>ITEM: DE 2 A 4 MTS DE DIAMETRO 44"</t>
  </si>
  <si>
    <t>ITEM: DE 2 A 4 MTS DE DIAMETRO 40"</t>
  </si>
  <si>
    <t>ITEM: DE 2 A 4 MTS DE DIAMETRO 36"</t>
  </si>
  <si>
    <t>ITEM: DE 2 A 4 MTS DE DIAMETRO 27"</t>
  </si>
  <si>
    <t>ITEM: DE 2 A 4 MTS DE DIAMETRO 30"</t>
  </si>
  <si>
    <t>ESPECIFICACIÓN: 13,1,2</t>
  </si>
  <si>
    <t>TRANSPORTE</t>
  </si>
  <si>
    <t>ESPECIFICACIÓN: 13,1,3</t>
  </si>
  <si>
    <t>ESPECIFICACIÓN: 13,1,4</t>
  </si>
  <si>
    <t>TUBO PLASTICO D=12"</t>
  </si>
  <si>
    <t>ESPECIFICACIÓN: 13,1,5</t>
  </si>
  <si>
    <t>ESPECIFICACIÓN: 13,1,6</t>
  </si>
  <si>
    <t>ESPECIFICACIÓN: 13,1,7</t>
  </si>
  <si>
    <t>ESPECIFICACIÓN: 13,1,8</t>
  </si>
  <si>
    <t xml:space="preserve">ITEM: DE 0 A 2 MTS DE DIAMETRO 24" </t>
  </si>
  <si>
    <t>ESPECIFICACIÓN: 13,1,9</t>
  </si>
  <si>
    <t xml:space="preserve">ITEM: DE 0 A 2 MTS DE DIAMETRO 27" </t>
  </si>
  <si>
    <t>ESPECIFICACIÓN: 13,1,10</t>
  </si>
  <si>
    <t xml:space="preserve">ITEM: DE 0 A 2 MTS DE DIAMETRO 30" </t>
  </si>
  <si>
    <t>ESPECIFICACIÓN: 13,1,11</t>
  </si>
  <si>
    <t xml:space="preserve">ITEM: DE 0 A 2 MTS DE DIAMETRO 33" </t>
  </si>
  <si>
    <t>ESPECIFICACIÓN: 13,1,12</t>
  </si>
  <si>
    <t xml:space="preserve">ITEM: DE 0 A 2 MTS DE DIAMETRO 36" </t>
  </si>
  <si>
    <t>ESPECIFICACIÓN: 14,1,1</t>
  </si>
  <si>
    <t>ESPECIFICACIÓN: 14,1,2</t>
  </si>
  <si>
    <t>ESPECIFICACIÓN: 14,1,3</t>
  </si>
  <si>
    <t>ESPECIFICACIÓN: 14,1,4</t>
  </si>
  <si>
    <t>ESPECIFICACIÓN: 14,1,5</t>
  </si>
  <si>
    <t>ESPECIFICACIÓN: 14,1,6</t>
  </si>
  <si>
    <t>ESPECIFICACIÓN: 14,1,7</t>
  </si>
  <si>
    <t>ESPECIFICACIÓN: 14,1,8</t>
  </si>
  <si>
    <t>ESPECIFICACIÓN: 14,1,9</t>
  </si>
  <si>
    <t>ESPECIFICACIÓN: 14,1,10</t>
  </si>
  <si>
    <t>ITEM: DE 2 A 4 MTS DE DIAMETRO 33"</t>
  </si>
  <si>
    <t>ESPECIFICACIÓN: 14,1,11</t>
  </si>
  <si>
    <t>ESPECIFICACIÓN: 15,1,1</t>
  </si>
  <si>
    <t>SUMINISTRO E INSTALACION DE TUBERIA PLASTICA O LISA NTC 3722-1 Y NTC 4764 (100% DE HERMETICIDAD)</t>
  </si>
  <si>
    <t>ESPECIFICACIÓN: 15,1,2</t>
  </si>
  <si>
    <t>ESPECIFICACIÓN: 15,1,3</t>
  </si>
  <si>
    <t>ESPECIFICACIÓN: 15,1,4</t>
  </si>
  <si>
    <t>ESPECIFICACIÓN: 15,1,5</t>
  </si>
  <si>
    <t>ESPECIFICACIÓN: 15,1,6</t>
  </si>
  <si>
    <t>ESPECIFICACIÓN: 15,1,7</t>
  </si>
  <si>
    <t>ESPECIFICACIÓN: 16,1,1</t>
  </si>
  <si>
    <t>ESPECIFICACIÓN: 16,1,2</t>
  </si>
  <si>
    <t>ESPECIFICACIÓN: 16,1,3</t>
  </si>
  <si>
    <t>ESPECIFICACIÓN: 16,1,4</t>
  </si>
  <si>
    <t>ESPECIFICACIÓN: 16,1,5</t>
  </si>
  <si>
    <t>ESPECIFICACIÓN: 16,1,6</t>
  </si>
  <si>
    <t>ESPECIFICACIÓN: 17,1,1</t>
  </si>
  <si>
    <t>SUMINISTRO E INSTALACION DE TUBERIA PLASTICA O LISA NTC 5070  Y NTC 4764 (100% DE HERMETICIDAD)</t>
  </si>
  <si>
    <t>TUBO PLASTICO D=24"</t>
  </si>
  <si>
    <t>ESPECIFICACIÓN: 17,1,2</t>
  </si>
  <si>
    <t>TUBO PLASTICO D=27"</t>
  </si>
  <si>
    <t>ESPECIFICACIÓN: 17,1,3</t>
  </si>
  <si>
    <t>TUBO PLASTICO D=30"</t>
  </si>
  <si>
    <t>ESPECIFICACIÓN: 17,1,4</t>
  </si>
  <si>
    <t>TUBO PLASTICO D=33"</t>
  </si>
  <si>
    <t>ESPECIFICACIÓN: 17,1,5</t>
  </si>
  <si>
    <t>TUBO PLASTICO D=36"</t>
  </si>
  <si>
    <t>ESPECIFICACIÓN: 17,1,6</t>
  </si>
  <si>
    <t xml:space="preserve">ITEM: DE 0 A 2 MTS DE DIAMETRO 39" </t>
  </si>
  <si>
    <t>TUBO PLASTICO D=39"</t>
  </si>
  <si>
    <t>ESPECIFICACIÓN: 17,1,7</t>
  </si>
  <si>
    <t xml:space="preserve">ITEM: DE 0 A 2 MTS DE DIAMETRO 42" </t>
  </si>
  <si>
    <t>TUBO PLASTICO D=42"</t>
  </si>
  <si>
    <t>ESPECIFICACIÓN: 18,1,1</t>
  </si>
  <si>
    <t xml:space="preserve">ITEM: DE 2 A 4 MTS DE DIAMETRO 24" </t>
  </si>
  <si>
    <t>ESPECIFICACIÓN: 18,1,2</t>
  </si>
  <si>
    <t xml:space="preserve">ITEM: DE 2 A 4 MTS DE DIAMETRO 27" </t>
  </si>
  <si>
    <t>ESPECIFICACIÓN: 18,1,3</t>
  </si>
  <si>
    <t xml:space="preserve">ITEM: DE 2 A 4 MTS DE DIAMETRO 30" </t>
  </si>
  <si>
    <t>ESPECIFICACIÓN: 18,1,4</t>
  </si>
  <si>
    <t xml:space="preserve">ITEM: DE 2 A 4 MTS DE DIAMETRO 33" </t>
  </si>
  <si>
    <t>ESPECIFICACIÓN: 18,1,5</t>
  </si>
  <si>
    <t xml:space="preserve">ITEM: DE 2 A 4 MTS DE DIAMETRO 36" </t>
  </si>
  <si>
    <t>ESPECIFICACIÓN: 18,1,6</t>
  </si>
  <si>
    <t xml:space="preserve">ITEM: DE 2 A 4 MTS DE DIAMETRO 39" </t>
  </si>
  <si>
    <t>ESPECIFICACIÓN: 18,1,7</t>
  </si>
  <si>
    <t xml:space="preserve">ITEM: DE 2 A 4 MTS DE DIAMETRO 42" </t>
  </si>
  <si>
    <t>ESPECIFICACIÓN: 19,1,1</t>
  </si>
  <si>
    <t>CONSTRUCCION DE POZOS DE NSPECCION (DIAMETRO 1.20 Mts)</t>
  </si>
  <si>
    <t>ITEM: BASE Y CAÑUELA EN CONCRETO DE 3000 PSI e=0,30 Mts</t>
  </si>
  <si>
    <t>ESPECIFICACIÓN: 19,1,2</t>
  </si>
  <si>
    <t>ITEM: PAÑETE INTERIOR</t>
  </si>
  <si>
    <t>ESPECIFICACIÓN: 19,1,3</t>
  </si>
  <si>
    <t>ITEM: CILINDRO EN LADRILLO e=0,30 Mts</t>
  </si>
  <si>
    <t>ESPECIFICACIÓN: 19,1,4</t>
  </si>
  <si>
    <t>ITEM: CONO DE REDUCCION H=0,65 Mts</t>
  </si>
  <si>
    <t>UNIDAD  :UND</t>
  </si>
  <si>
    <t>UNIDAD  : UND</t>
  </si>
  <si>
    <t>ESPECIFICACIÓN: 19,1,5</t>
  </si>
  <si>
    <t>ITEM: PASOS EN HIERRO DE 3/4" CON ANTICORROSIVO C/40 Cm</t>
  </si>
  <si>
    <t>ACERO DE REFUERZO (cortado, figurado e instalado)</t>
  </si>
  <si>
    <t>ESPECIFICACIÓN: 19,1,6</t>
  </si>
  <si>
    <t>ESPECIFICACIÓN: 19,1,7</t>
  </si>
  <si>
    <t>ITEM: SUMINISTRO E INSTALACION DE TAPAS EN FIBROCEMENTO</t>
  </si>
  <si>
    <t>ESPECIFICACIÓN: 19,1,8</t>
  </si>
  <si>
    <t>ESPECIFICACIÓN: 19,1,9</t>
  </si>
  <si>
    <t>ESPECIFICACIÓN: 19,1,10</t>
  </si>
  <si>
    <t>ITEM: SUMIDERO EN CONCRETO 3000 PSI TIPO SL 100</t>
  </si>
  <si>
    <t>FORMALETA  MADERA</t>
  </si>
  <si>
    <t>REJILLA L 1/2*3/16 VARILLA 7/8</t>
  </si>
  <si>
    <t>ESPECIFICACIÓN: 19,1,11</t>
  </si>
  <si>
    <t>ITEM: SUMIDERO EN FIBRO-CONCRETO</t>
  </si>
  <si>
    <t>REJILLA EN FIBROCEMENTO</t>
  </si>
  <si>
    <t>ESPECIFICACIÓN: 19,1,12</t>
  </si>
  <si>
    <t>ITEM: CAMARA DE CAIDA DIAMETRO 8" REVESTIDA EN CONCRETO, MALLA CON VENA</t>
  </si>
  <si>
    <t>CONCRETO SIMPLE DE 3000 PSI (incluye malla con vena)</t>
  </si>
  <si>
    <t>ESPECIFICACIÓN: 19,1,13</t>
  </si>
  <si>
    <t>ITEM: CAMARA DE CAIDA DIAMETRO 12" REVESTIDA EN CONCRETO, MALLA CON VENA</t>
  </si>
  <si>
    <t>ESPECIFICACIÓN: 19,1,14</t>
  </si>
  <si>
    <t>ITEM: CILINDRO EN CONCRETO DE 3000 PSI e=0,20 M</t>
  </si>
  <si>
    <t>FORMALETA METALICA CONICA</t>
  </si>
  <si>
    <t xml:space="preserve">CONCRETO SIMPLE DE 3000 PSI </t>
  </si>
  <si>
    <t>ESPECIFICACIÓN: 19,1,15</t>
  </si>
  <si>
    <t>ITEM: CUNETA SECCION L EN CONCRETO SIMPLE 3000 PSI INCLUYE BASE EN RECEBO COMPACTADO e=0,10 Mts</t>
  </si>
  <si>
    <t>ESPECIFICACIÓN: 19,2,1</t>
  </si>
  <si>
    <t>CONSTRUCCION DE POZOS DE NSPECCION (DIAMETRO 1.50 Mts)</t>
  </si>
  <si>
    <t>ESPECIFICACIÓN: 19,2,2</t>
  </si>
  <si>
    <t>ESPECIFICACIÓN: 19,2,3</t>
  </si>
  <si>
    <t>ESPECIFICACIÓN: 19,2,4</t>
  </si>
  <si>
    <t>ITEM: CONO DE REDUCCION H=0,90 Mts</t>
  </si>
  <si>
    <t>CONSTRUCCION DE POZOS DE NSPECCION (OTROS)</t>
  </si>
  <si>
    <t>ESPECIFICACIÓN: 20,2</t>
  </si>
  <si>
    <t>ITEM: SEÑALIZACION EN GUADUA C/3 Mts Y POLISOMBRA DE h=2 Mts</t>
  </si>
  <si>
    <t>ESPECIFICACIÓN: 20,4</t>
  </si>
  <si>
    <t>ITEM: SUMINISTRO E INSTALACION LECHO EN ARENA PARA TUBERIA</t>
  </si>
  <si>
    <t>UNIDAD  : DIA</t>
  </si>
  <si>
    <t>ESPECIFICACIÓN: 20,5</t>
  </si>
  <si>
    <t>ESPECIFICACIÓN: 20,6</t>
  </si>
  <si>
    <t>ITEM: SUMINISTRO E INSTALACION DE SILLA YEE 8x6" PVC INCLUYE AGARRADERAS CAUCHO Y ADERENCIA</t>
  </si>
  <si>
    <t>KIT SILLA YEE 8x6" PVC</t>
  </si>
  <si>
    <t>ESPECIFICACIÓN: 20,7</t>
  </si>
  <si>
    <t>ITEM: SUMINISTRO E INSTALACION DE SILLA YEE 10x6" PVC INCLUYE AGARRADERAS CAUCHO Y ADERENCIA</t>
  </si>
  <si>
    <t>ESPECIFICACIÓN: 20,8</t>
  </si>
  <si>
    <t>ITEM: SUMINISTRO E INSTALACION DE SILLA YEE 12x6" PVC INCLUYE AGARRADERAS CAUCHO Y ADERENCIA</t>
  </si>
  <si>
    <t>ESPECIFICACIÓN: 20,9</t>
  </si>
  <si>
    <t>ITEM: SUMINISTRO E INSTALACION DE SILLA YEE 14x6" PVC INCLUYE AGARRADERAS CAUCHO Y ADERENCIA</t>
  </si>
  <si>
    <t>KIT SILLA YEE 14x6" PVC</t>
  </si>
  <si>
    <t>KIT SILLA YEE 10x6" PVC</t>
  </si>
  <si>
    <t>KIT SILLA YEE 12x6" PVC</t>
  </si>
  <si>
    <t>ESPECIFICACIÓN: 20,10</t>
  </si>
  <si>
    <t>ITEM: SUMINISTRO E INSTALACION DE SILLA YEE 16x6" PVC INCLUYE AGARRADERAS CAUCHO Y ADERENCIA</t>
  </si>
  <si>
    <t>ESPECIFICACIÓN: 20,11</t>
  </si>
  <si>
    <t>ITEM: SUMINISTRO E INSTALACION DE SILLA YEE 18x6" PVC INCLUYE AGARRADERAS CAUCHO Y ADERENCIA</t>
  </si>
  <si>
    <t>SILLA YEE MAS ACCESORIOS 16x6" PVC</t>
  </si>
  <si>
    <t>ESPECIFICACIÓN: 20,12</t>
  </si>
  <si>
    <t>ITEM: SUMINISTRO E INSTALACION DE SILLA YEE 20x6" PVC INCLUYE AGARRADERAS CAUCHO Y ADERENCIA</t>
  </si>
  <si>
    <t>SILLA YEE MAS ACCESORIOS 20x6" PVC</t>
  </si>
  <si>
    <t>SILLA YEE MAS ACCESORIOS 18x6" PVC</t>
  </si>
  <si>
    <t>ESPECIFICACIÓN: 20,13</t>
  </si>
  <si>
    <t>ITEM: SUMINISTRO E INSTALACION DE SILLA YEE 24x6" PVC INCLUYE AGARRADERAS CAUCHO Y ADERENCIA</t>
  </si>
  <si>
    <t xml:space="preserve">YEES EN CONCRETO 8x6" </t>
  </si>
  <si>
    <t>ESPECIFICACIÓN: 20,14</t>
  </si>
  <si>
    <t>ITEM: SUMINISTRO E INSTALACION DE SILLA YEES EN CONCRETO DE 8X6"</t>
  </si>
  <si>
    <t>ITEM: SUMINISTRO E INSTALACION DE SILLA YEES EN CONCRETO DE 10X6"</t>
  </si>
  <si>
    <t xml:space="preserve">YEES EN CONCRETO 10x6" </t>
  </si>
  <si>
    <t>ESPECIFICACIÓN: 20,15</t>
  </si>
  <si>
    <t>ESPECIFICACIÓN: 20,16</t>
  </si>
  <si>
    <t>ITEM: SUMINISTRO E INSTALACION DE SILLA YEES EN CONCRETO DE 12X6"</t>
  </si>
  <si>
    <t xml:space="preserve">YEES EN CONCRETO 12x6" </t>
  </si>
  <si>
    <t>ESPECIFICACIÓN: 20,17</t>
  </si>
  <si>
    <t>ITEM: SUMINISTRO E INSTALACION DE SILLA YEES EN CONCRETO DE 14X6"</t>
  </si>
  <si>
    <t xml:space="preserve">YEES EN CONCRETO 14x6" </t>
  </si>
  <si>
    <t>ESPECIFICACIÓN: 20,18</t>
  </si>
  <si>
    <t>ITEM: SUMINISTRO E INSTALACION DE SILLA YEES EN CONCRETO DE 16X6"</t>
  </si>
  <si>
    <t xml:space="preserve">YEES EN CONCRETO 16x6" </t>
  </si>
  <si>
    <t>ESPECIFICACIÓN: 20,19</t>
  </si>
  <si>
    <t>ITEM: SUMINISTRO E INSTALACION DE SILLA YEES EN CONCRETO DE 18X6"</t>
  </si>
  <si>
    <t xml:space="preserve">YEES EN CONCRETO 18x6" </t>
  </si>
  <si>
    <t>ESPECIFICACIÓN: 20,20</t>
  </si>
  <si>
    <t>ITEM: SUMINISTRO E INSTALACION DE SILLA YEES EN CONCRETO DE 20X6"</t>
  </si>
  <si>
    <t xml:space="preserve">YEES EN CONCRETO 20x6" </t>
  </si>
  <si>
    <t>ESPECIFICACIÓN: 20,21</t>
  </si>
  <si>
    <t>ITEM: SUMINISTRO E INSTALACION DE SILLA YEES EN CONCRETO DE 24X6"</t>
  </si>
  <si>
    <t xml:space="preserve">YEES EN CONCRETO 24x6" </t>
  </si>
  <si>
    <t>ESPECIFICACIÓN: 20,22</t>
  </si>
  <si>
    <t>ITEM: SUMINISTRO E INSTALACION CODOS EN CONCRETO DE 8"</t>
  </si>
  <si>
    <t>CODO EN CONCRETO DE 8"</t>
  </si>
  <si>
    <t>CODO EN CONCRETO DE 10"</t>
  </si>
  <si>
    <t>CODO EN CONCRETO DE 12"</t>
  </si>
  <si>
    <t>CODO EN CONCRETO DE 14"</t>
  </si>
  <si>
    <t>ESPECIFICACIÓN: 20,23</t>
  </si>
  <si>
    <t>ITEM: SUMINISTRO E INSTALACION CODOS EN CONCRETO DE 10"</t>
  </si>
  <si>
    <t>ESPECIFICACIÓN: 20,24</t>
  </si>
  <si>
    <t>ITEM: SUMINISTRO E INSTALACION CODOS EN CONCRETO DE 12"</t>
  </si>
  <si>
    <t>ESPECIFICACIÓN: 20,25</t>
  </si>
  <si>
    <t>ITEM: SUMINISTRO E INSTALACION CODOS EN CONCRETO DE 14"</t>
  </si>
  <si>
    <t>ESPECIFICACIÓN: 20,26</t>
  </si>
  <si>
    <t>ESPECIFICACIÓN: 20,27</t>
  </si>
  <si>
    <t>ITEM: DESMONTE Y LIMPIEZA</t>
  </si>
  <si>
    <t>ESPECIFICACIÓN: 20,28</t>
  </si>
  <si>
    <t>ITEM: REFORESTACION</t>
  </si>
  <si>
    <t>ESPECIFICACIÓN: 20,29</t>
  </si>
  <si>
    <t>UNIDAD  : HAS</t>
  </si>
  <si>
    <t>ESPECIFICACIÓN: 20,30</t>
  </si>
  <si>
    <t>ITEM: ARBORIZACION</t>
  </si>
  <si>
    <t>ESPECIFICACIÓN: 20,31</t>
  </si>
  <si>
    <t>ITEM: TRINCHOS EN GUADUA</t>
  </si>
  <si>
    <t>ESPECIFICACIÓN: 20,32</t>
  </si>
  <si>
    <t>ITEM: TRINCHOS EN ESTERILLAS</t>
  </si>
  <si>
    <t>ESPECIFICACIÓN: 20,33</t>
  </si>
  <si>
    <t>ITEM: GAVIONES, TRIPLE TORSION, CAL 12, SUMINISTRO E INSTALACION</t>
  </si>
  <si>
    <t>ESPECIFICACIÓN: 20,34</t>
  </si>
  <si>
    <t>ITEM: LIMPIEZA DE COLECTORES</t>
  </si>
  <si>
    <t>ESPECIFICACIÓN: 20,35</t>
  </si>
  <si>
    <t xml:space="preserve">ITEM: EMPRADIZACION CON CESPEDON </t>
  </si>
  <si>
    <t>ESPECIFICACIÓN: 20,36</t>
  </si>
  <si>
    <t>ITEM: UTILIZACION DE MOTOBOMBA</t>
  </si>
  <si>
    <t>ESPECIFICACIÓN: 20,37</t>
  </si>
  <si>
    <t>ITEM: MANEJO DE AGUAS CON DIAMETROS DE 8" A 12"</t>
  </si>
  <si>
    <t>UNIDAD  : PUL/ML</t>
  </si>
  <si>
    <t>UNIDAD  : GLB</t>
  </si>
  <si>
    <t>ESPECIFICACIÓN: 20,38</t>
  </si>
  <si>
    <t>ITEM: MANEJO DE AGUAS CON DIAMETROS DE 12" A 24"</t>
  </si>
  <si>
    <t>ESPECIFICACIÓN: 20,39</t>
  </si>
  <si>
    <t>ITEM: MANEJO DE AGUAS CON DIAMETROS DE 24" A 30"</t>
  </si>
  <si>
    <t>ESPECIFICACIÓN: 20,40</t>
  </si>
  <si>
    <t>ITEM: MANEJO DE AGUAS MAS DE 30"</t>
  </si>
  <si>
    <t>ARBOL DE 1,50 Mts DE ALTURA</t>
  </si>
  <si>
    <t>TACO DE GUADUA</t>
  </si>
  <si>
    <t>UTILIZACION DE MOTOBOMBA</t>
  </si>
  <si>
    <t>BOLSACRETO</t>
  </si>
  <si>
    <t>INSTALACION DE ACCESORIOS</t>
  </si>
  <si>
    <t>8.1</t>
  </si>
  <si>
    <t>8.2</t>
  </si>
  <si>
    <t>8.3</t>
  </si>
  <si>
    <t>8.4</t>
  </si>
  <si>
    <t>8.5</t>
  </si>
  <si>
    <t>8.6</t>
  </si>
  <si>
    <t>8.7</t>
  </si>
  <si>
    <t>8.8</t>
  </si>
  <si>
    <t>8.9</t>
  </si>
  <si>
    <t>8.10</t>
  </si>
  <si>
    <t>8.11</t>
  </si>
  <si>
    <t>8.12</t>
  </si>
  <si>
    <t>8.13</t>
  </si>
  <si>
    <t>8.14</t>
  </si>
  <si>
    <t>8.15</t>
  </si>
  <si>
    <t>8.16</t>
  </si>
  <si>
    <t>SUMINISTRO E INSTALACION DE ACCESORIOS</t>
  </si>
  <si>
    <t>9.1</t>
  </si>
  <si>
    <t>Suministro e Instalación de PF macho y Hembra de 1/2 y 3/4"</t>
  </si>
  <si>
    <t>10.1</t>
  </si>
  <si>
    <t>Hasta  2.00 Mts</t>
  </si>
  <si>
    <t>De Diametro 2"</t>
  </si>
  <si>
    <t>De Diametro 3"</t>
  </si>
  <si>
    <t>De Diametro 4"</t>
  </si>
  <si>
    <t xml:space="preserve">De Diametro 8" </t>
  </si>
  <si>
    <t>Entre 2.00 y 4.00 mts</t>
  </si>
  <si>
    <t>10.1.2.1</t>
  </si>
  <si>
    <t>10.1.2.3</t>
  </si>
  <si>
    <t>10.1.2.4</t>
  </si>
  <si>
    <t>10.1.2.5</t>
  </si>
  <si>
    <t>10.1.2.6</t>
  </si>
  <si>
    <t>10.1.2.7</t>
  </si>
  <si>
    <t>10.1.2.8</t>
  </si>
  <si>
    <t>10.1.2.9</t>
  </si>
  <si>
    <t>10.1.2.10</t>
  </si>
  <si>
    <t>10.1.2.11</t>
  </si>
  <si>
    <t>10.2</t>
  </si>
  <si>
    <t>10.2.1</t>
  </si>
  <si>
    <t>10.2.2</t>
  </si>
  <si>
    <t>10.2.3</t>
  </si>
  <si>
    <t>10.2.4</t>
  </si>
  <si>
    <t>10.2.5</t>
  </si>
  <si>
    <t>10.2.6</t>
  </si>
  <si>
    <t>10.2.7</t>
  </si>
  <si>
    <t>10.2.8</t>
  </si>
  <si>
    <t>10.2.9</t>
  </si>
  <si>
    <t>10.2.10</t>
  </si>
  <si>
    <t>10.2.11</t>
  </si>
  <si>
    <t>10.2.12</t>
  </si>
  <si>
    <t>10.3</t>
  </si>
  <si>
    <t>De 2,00 Y 4.00 Mts</t>
  </si>
  <si>
    <t>10.3.1</t>
  </si>
  <si>
    <t>10.3.2</t>
  </si>
  <si>
    <t>10.3.3</t>
  </si>
  <si>
    <t>10.3.4</t>
  </si>
  <si>
    <t>10.3.5</t>
  </si>
  <si>
    <t>10.3.6</t>
  </si>
  <si>
    <t>10.3.7</t>
  </si>
  <si>
    <t>10.3.8</t>
  </si>
  <si>
    <t>10.3.9</t>
  </si>
  <si>
    <t>10.3.10</t>
  </si>
  <si>
    <t>10.3.11</t>
  </si>
  <si>
    <t>ESPECIFICACIÓN: 8,1</t>
  </si>
  <si>
    <t xml:space="preserve">INSTALACION DE ACCESORIOS </t>
  </si>
  <si>
    <t>ITEM: INSTALACION REGISTRO DE CORTE O INCORPORACION EN PVC 1/2"- 3/4"</t>
  </si>
  <si>
    <t>ESPECIFICACIÓN: 8,2</t>
  </si>
  <si>
    <t>ITEM: INSTALACION DE UNION PF 1/2"-3/4"</t>
  </si>
  <si>
    <t>ESPECIFICACIÓN: 8,3</t>
  </si>
  <si>
    <t>ITEM: INSTALACION DE GALAPAGO O COLLARIN DE 3"-4"X (1/2"-3/4")</t>
  </si>
  <si>
    <t>ESPECIFICACIÓN: 8,4</t>
  </si>
  <si>
    <t>ITEM: INSTALACION DE ACCESORIOS DE 3" Y 4"</t>
  </si>
  <si>
    <t>AYUDANTE (1)</t>
  </si>
  <si>
    <t>ESPECIFICACIÓN: 8,5</t>
  </si>
  <si>
    <t>ITEM: INSTALACION DE ACCESORIOS DE 6" Y 8"</t>
  </si>
  <si>
    <t>ESPECIFICACIÓN: 8,6</t>
  </si>
  <si>
    <t>ITEM: INSTALACION DE ACCESORIOS DE 10" Y 18"</t>
  </si>
  <si>
    <t>ESPECIFICACIÓN: 8,7</t>
  </si>
  <si>
    <t>ITEM: CODO DE 90° DN 6" (150mm) EXTREMO DE JUNTA HIDRAULICA</t>
  </si>
  <si>
    <t>ESPECIFICACIÓN: 8,8</t>
  </si>
  <si>
    <t>ITEM: CODO DE 90° DN 8" (200mm) EXTREMO DE JUNTA HIDRAULICA</t>
  </si>
  <si>
    <t>ESPECIFICACIÓN: 8,9</t>
  </si>
  <si>
    <t>ITEM: CODO DE 90° DN 10" (250mm) EXTREMO DE JUNTA HIDRAULICA</t>
  </si>
  <si>
    <t>ESPECIFICACIÓN: 8,10</t>
  </si>
  <si>
    <t>ITEM: CODO DE 90° DN 12" (300mm) EXTREMO DE JUNTA HIDRAULICA</t>
  </si>
  <si>
    <t>ESPECIFICACIÓN: 8,11</t>
  </si>
  <si>
    <t>ITEM: TEE DN 6"X6" (150mmX150mm) EXTREMO JENTA HIDRAULICA</t>
  </si>
  <si>
    <t>ESPECIFICACIÓN: 8,12</t>
  </si>
  <si>
    <t>ITEM: TEE DN 8"X8" (200mmX200mm) EXTREMO JENTA HIDRAULICA</t>
  </si>
  <si>
    <t>ESPECIFICACIÓN: 8,13</t>
  </si>
  <si>
    <t>ITEM: CRUZ DN 6"X6" (150mmX150mm) EXTREMO JENTA HIDRAULICA</t>
  </si>
  <si>
    <t>ESPECIFICACIÓN: 8,14</t>
  </si>
  <si>
    <t>ITEM: CRUZ DN 8"X8" (200mmX200mm) EXTREMO JENTA HIDRAULICA</t>
  </si>
  <si>
    <t>ESPECIFICACIÓN: 8,15</t>
  </si>
  <si>
    <t>ITEM: CRUZ DN 10"X10" (250mmX250mm) EXTREMO JENTA HIDRAULICA</t>
  </si>
  <si>
    <t>ESPECIFICACIÓN: 8,16</t>
  </si>
  <si>
    <t>ITEM: CRUZ DN 12"X12" (300mmX300mm) EXTREMO JENTA HIDRAULICA</t>
  </si>
  <si>
    <t>ESPECIFICACIÓN: 9,1</t>
  </si>
  <si>
    <t>LIMPIADOR</t>
  </si>
  <si>
    <t>ESPECIFICACIÓN: 9,2</t>
  </si>
  <si>
    <t>ESPECIFICACIÓN: 9,3</t>
  </si>
  <si>
    <t>ITEM: SUMINISTRO E INSTALACION DE UNION PF 1/2"</t>
  </si>
  <si>
    <t>ESPECIFICACIÓN: 9,4</t>
  </si>
  <si>
    <t>ITEM: SUMINISTRO E INSTALACION DE UNION PF 3/4"</t>
  </si>
  <si>
    <t>ESPECIFICACIÓN: 9,5</t>
  </si>
  <si>
    <t>ITEM: SUMINISTRO E INSTALACION DE PF MACHO Y HEMBRA DE 1/2 Y 3/4"</t>
  </si>
  <si>
    <t>ESPECIFICACIÓN: 9,6</t>
  </si>
  <si>
    <t>ESPECIFICACIÓN: 9,7</t>
  </si>
  <si>
    <t>ITEM: SUMINISTRO E INSTALACION LLAVE DE PASO EN 3/4"</t>
  </si>
  <si>
    <t>ACCESORIOS</t>
  </si>
  <si>
    <t>LLAVE DE PASO 1/2"</t>
  </si>
  <si>
    <t>LLAVE DE PASO 3/4</t>
  </si>
  <si>
    <t>ESPECIFICACIÓN: 9,8</t>
  </si>
  <si>
    <t>ITEM: SUMINISTRO E INSTALACION LLAVE DE PASO EN 1"</t>
  </si>
  <si>
    <t>LLAVE DE PASO 1"</t>
  </si>
  <si>
    <t>Llave de paso 1"</t>
  </si>
  <si>
    <t>ESPECIFICACIÓN: 9,9</t>
  </si>
  <si>
    <t>ITEM: SUMINISTRO E INSTALACION LLAVE DE PASO EN 2"</t>
  </si>
  <si>
    <t>LLAVE DE PASO 2"</t>
  </si>
  <si>
    <t>Llave de paso 2"</t>
  </si>
  <si>
    <t>ESPECIFICACIÓN: 9,10</t>
  </si>
  <si>
    <t>ITEM: SUMINISTRO E INSTALACION LLAVE DE PASO EN 3"</t>
  </si>
  <si>
    <t>LLAVE DE PASO 3"</t>
  </si>
  <si>
    <t>Llave de paso 3"</t>
  </si>
  <si>
    <t>ESPECIFICACIÓN: 9,11</t>
  </si>
  <si>
    <t>ITEM: SUMINISTRO E INSTALACION LLAVE DE PASO EN 4"</t>
  </si>
  <si>
    <t>LLAVE DE PASO 4"</t>
  </si>
  <si>
    <t>Llave de paso 4"</t>
  </si>
  <si>
    <t>ESPECIFICACIÓN: 9,12</t>
  </si>
  <si>
    <t>ESPECIFICACIÓN: 9,13</t>
  </si>
  <si>
    <t>ESPECIFICACIÓN: 9,14</t>
  </si>
  <si>
    <t>ITEM: SUMINISTRO E INSTALACION DE COLLAR DE DERIVACION EN HIERRO DUCTIL DE 3"X1/2"</t>
  </si>
  <si>
    <t>COLLAR DE DERIVACION EN HIERRO DUCTIL PARA AC 3X1X1/2"</t>
  </si>
  <si>
    <t>ESPECIFICACIÓN: 9,15</t>
  </si>
  <si>
    <t>ITEM: SUMINISTRO E INSTALACION DE COLLAR DE DERIVACION EN HIERRO DUCTIL DE 3"X3/4"</t>
  </si>
  <si>
    <t>COLLAR DE DERIVACION EN HIERRO DUCTIL PARA AC 3X3/4"</t>
  </si>
  <si>
    <t>ESPECIFICACIÓN: 9,16</t>
  </si>
  <si>
    <t>ITEM: SUMINISTRO E INSTALACION DE COLLAR DE DERIVACION EN HIERRO DUCTIL DE 3"x1"</t>
  </si>
  <si>
    <t>COLLAR DE DERIVACION EN HIERRO DUCTIL PARA PVC 3X1"</t>
  </si>
  <si>
    <t>Collar de derivacion en hierro ductil para pvc 3x1"</t>
  </si>
  <si>
    <t>ESPECIFICACIÓN: 9,17</t>
  </si>
  <si>
    <t>ITEM: SUMINISTRO E INSTALACION DE COLLAR DE DERIVACION EN HIERRO DUCTIL DE 4x1/2"</t>
  </si>
  <si>
    <t>COLLAR DE DERIVACION EN HIERRO DUCTIL PARA PVC 4x1/2"</t>
  </si>
  <si>
    <t>ESPECIFICACIÓN: 9,18</t>
  </si>
  <si>
    <t>ITEM: SUMINISTRO E INSTALACION DE COLLAR DE DERIVACION EN HIERRO DUCTIL DE 4x3/4"</t>
  </si>
  <si>
    <t>COLLAR DE DERIVACION EN HIERRO DUCTIL PARA PVC 4x3/4"</t>
  </si>
  <si>
    <t>ESPECIFICACIÓN: 9,19</t>
  </si>
  <si>
    <t>ITEM: SUMINISTRO E INSTALACION DE COLLAR DE DERIVACION EN HIERRO DUCTIL DE 4x1"</t>
  </si>
  <si>
    <t>COLLAR DE DERIVACION EN HIERRO DUCTIL PARA PVC 4x1"</t>
  </si>
  <si>
    <t>Collar de dericvacion en hierro ductil para pvc 4x1"</t>
  </si>
  <si>
    <t>ESPECIFICACIÓN: 9,20</t>
  </si>
  <si>
    <t>ITEM: SUMINISTRO E INSTALACION DE COLLAR DE DERIVACION EN HIERRO DUCTIL DE 6x1/2"</t>
  </si>
  <si>
    <t>COLLAR DE DERIVACION EN HIERRO DUCTIL PARA PVC 6x1/2"</t>
  </si>
  <si>
    <t>SUMINISTRO E INSTALACIÓN DE ACCESORIOS</t>
  </si>
  <si>
    <t>ESPECIFICACIÓN: 9,21</t>
  </si>
  <si>
    <t xml:space="preserve">ITEM: SUMINISTRO E INSTALACIÓN COLLAR DE DERIVACIÓN EN HIERRO DÚCTIL 6 X 3/4" </t>
  </si>
  <si>
    <t>COLLAR DE DERIVACIÓN DE HIERRO DÚCTIL PARA PVC 6X3/4"</t>
  </si>
  <si>
    <t>ESPECIFICACIÓN: 9,22</t>
  </si>
  <si>
    <t xml:space="preserve">ITEM: SUMINISTRO E INSTALACIÓN COLLAR DE DERIVACIÓN EN HIERRO DÚCTIL 6 X 1" </t>
  </si>
  <si>
    <t>COLLAR DE DERIVACIÓN DE HIERRO DÚCTIL PARA PVC 6X1"</t>
  </si>
  <si>
    <t>ESPECIFICACIÓN: 9,23</t>
  </si>
  <si>
    <t>ITEM: SUMINISTRO E INSTALACIÓN VÁLVULAS DE COMPUERTA SELLO DE BRONCE VASTAGO NO ASCENDENTE EXTERMOS LISO PVC DE 2"</t>
  </si>
  <si>
    <t>VÁLVULA DE COMPUERTA SELLO DE BRONCE 2"</t>
  </si>
  <si>
    <t>ESPECIFICACIÓN: 9,24</t>
  </si>
  <si>
    <t>ITEM: SUMINISTRO E INSTALACIÓN VÁLVULAS DE COMPUERTA SELLO DE BRONCE VASTAGO NO ASCENDENTE EXTREMOS LISO PVC DE 3"</t>
  </si>
  <si>
    <t>VÁLVULA COMPUERTA SELLO BRONCE 3"</t>
  </si>
  <si>
    <t>ESPECIFICACIÓN: 9,25</t>
  </si>
  <si>
    <t>ITEM: SUMINISTRO E INSTALACIÓN VÁLVULAS DE COMPUERTA SELLO DE BRONCE VASTAGO NO ASCENDENTE EXTREMOS LISO PVC DE 4"</t>
  </si>
  <si>
    <t>ESPECIFICACIÓN: 9,26</t>
  </si>
  <si>
    <t>VÁLVULA COMPUERTA SELLO BRONCE 6"</t>
  </si>
  <si>
    <t>ESPECIFICACIÓN: 9,27</t>
  </si>
  <si>
    <t>ITEM: SUMINISTRO E INSTALACIÓN VÁLVULAS DE COMPUERTA SELLO DE BRONCE VASTAGO NO ASCENDENTE EXTREMOS LISO PVC DE 8"</t>
  </si>
  <si>
    <t>VÁLVULA COMPUERTA SELLO BRONCE 8"</t>
  </si>
  <si>
    <t>ESPECIFICACIÓN: 9,28</t>
  </si>
  <si>
    <t>ITEM: SUMINISTRO E INSTALACIÓN VÁLVULA VENTOSA DE 1" ROSCADA TRIPLE ACCIÓN</t>
  </si>
  <si>
    <t>VENTOSA 1"</t>
  </si>
  <si>
    <t>ESPECIFICACIÓN: 9,29</t>
  </si>
  <si>
    <t>ITEM: SUMINISTRO E INSTALACIÓN VÁLVULA VENTOSA DE 2" ROSCADA TRIPLE ACCIÓN</t>
  </si>
  <si>
    <t>VENTOSA 2"</t>
  </si>
  <si>
    <t>ITEM: SUMINISTRO E INSTALACIÓN VÁLVULA VENTOSA DE 3" ROSCADA TRIPLE ACCIÓN</t>
  </si>
  <si>
    <t>VENTOSA 3"</t>
  </si>
  <si>
    <t>ESPECIFICACIÓN: 9,31</t>
  </si>
  <si>
    <t>ITEM: SUMINISTRO E INSTALACIÓN VÁLVULA VENTOSA DE 4" ROSCADA TRIPLE ACCIÓN</t>
  </si>
  <si>
    <t>VENTOSA 4"</t>
  </si>
  <si>
    <t>ESPECIFICACIÓN: 9,32</t>
  </si>
  <si>
    <t>ITEM: SUMINISTRO E INSTALACIÓN VÁLVULA VENTOSA DE 6" ROSCADA TRIPLE ACCIÓN</t>
  </si>
  <si>
    <t>VENTOSA 6"</t>
  </si>
  <si>
    <t>ESPECIFICACIÓN: 9,33</t>
  </si>
  <si>
    <t>ITEM: SUMINISTRO E INSTALACIÓN VÁLVULA VENTOSA DE 8" ROSCADA TRIPLE ACCIÓN</t>
  </si>
  <si>
    <t>VENTOSA 8"</t>
  </si>
  <si>
    <t>INSTALACIÓN DE TUBERÍA PVC UNIÓN MECÁNICA- HASTA 2 MT</t>
  </si>
  <si>
    <t>ESPECIFICACIÓN: 10,1,1,1</t>
  </si>
  <si>
    <t>ITEM: DE DIÁMETRO 2"</t>
  </si>
  <si>
    <t>ESPECIFICACIÓN: 10,1,1,2</t>
  </si>
  <si>
    <t>ITEM: DE DIÁMETRO 3"</t>
  </si>
  <si>
    <t>ESPECIFICACIÓN: 10,1,1,3</t>
  </si>
  <si>
    <t>ITEM: DE DIÁMETRO 4"</t>
  </si>
  <si>
    <t>ESPECIFICACIÓN: 10,1,1,4</t>
  </si>
  <si>
    <t>ITEM: DE DIÁMETRO 6"</t>
  </si>
  <si>
    <t>ESPECIFICACIÓN: 10,1,1,5</t>
  </si>
  <si>
    <t>ITEM: DE DIÁMETRO 8"</t>
  </si>
  <si>
    <t>ESPECIFICACIÓN: 10,1,1,6</t>
  </si>
  <si>
    <t>ITEM: DE DIÁMETRO 10"</t>
  </si>
  <si>
    <t>ESPECIFICACIÓN: 10,1,1,7</t>
  </si>
  <si>
    <t>ITEM: DE DIÁMETRO 12"</t>
  </si>
  <si>
    <t>ESPECIFICACIÓN: 10,1,1,8</t>
  </si>
  <si>
    <t>ITEM: DE DIÁMETRO 14"</t>
  </si>
  <si>
    <t>ESPECIFICACIÓN: 10,1,1,9</t>
  </si>
  <si>
    <t>ITEM: DE DIÁMETRO 16"</t>
  </si>
  <si>
    <t>Grua</t>
  </si>
  <si>
    <t>ESPECIFICACIÓN: 10,1,1,10</t>
  </si>
  <si>
    <t>ITEM: DE DIÁMETRO 18"</t>
  </si>
  <si>
    <t>ESPECIFICACIÓN: 10,1,1,11</t>
  </si>
  <si>
    <t>ITEM: DE DIÁMETRO 20"</t>
  </si>
  <si>
    <t>ESPECIFICACIÓN: 10,1,2,1</t>
  </si>
  <si>
    <t>INSTALACIÓN DE TUBERÍA PVC UNIÓN MECÁNICA- ENTRE 2 Y 4 MTS</t>
  </si>
  <si>
    <t>ESPECIFICACIÓN: 10,1,2,2</t>
  </si>
  <si>
    <t>10.1.1.1</t>
  </si>
  <si>
    <t>10.1.1.2</t>
  </si>
  <si>
    <t>10.1.1.3</t>
  </si>
  <si>
    <t>10.1.1.4</t>
  </si>
  <si>
    <t>10.1.1.5</t>
  </si>
  <si>
    <t>10.1.1.6</t>
  </si>
  <si>
    <t>10.1.1.7</t>
  </si>
  <si>
    <t>10.1.1.8</t>
  </si>
  <si>
    <t>10.1.1.9</t>
  </si>
  <si>
    <t>10.1.1.10</t>
  </si>
  <si>
    <t>10.1.1.11</t>
  </si>
  <si>
    <t>10.1.2.2</t>
  </si>
  <si>
    <t>ESPECIFICACIÓN: 10,1,2,3</t>
  </si>
  <si>
    <t>ESPECIFICACIÓN: 10,1,2,4</t>
  </si>
  <si>
    <t>ESPECIFICACIÓN: 10,1,2,5</t>
  </si>
  <si>
    <t>ESPECIFICACIÓN: 10,1,2,6</t>
  </si>
  <si>
    <t>ESPECIFICACIÓN: 10,1,2,7</t>
  </si>
  <si>
    <t>ESPECIFICACIÓN: 10,1,2,8</t>
  </si>
  <si>
    <t>ESPECIFICACIÓN: 10,1,2,9</t>
  </si>
  <si>
    <t>ESPECIFICACIÓN: 10,1,2,10</t>
  </si>
  <si>
    <t>ESPECIFICACIÓN: 10,1,2,11</t>
  </si>
  <si>
    <t>ESPECIFICACIÓN: 10,2,1</t>
  </si>
  <si>
    <t>ESPECIFICACIÓN: 10,2,3</t>
  </si>
  <si>
    <t>ESPECIFICACIÓN: 10,2,4</t>
  </si>
  <si>
    <t>ESPECIFICACIÓN: 10,2,5</t>
  </si>
  <si>
    <t>ESPECIFICACIÓN: 10,2,6</t>
  </si>
  <si>
    <t>ESPECIFICACIÓN: 10,2,7</t>
  </si>
  <si>
    <t>ESPECIFICACIÓN: 10,2,8</t>
  </si>
  <si>
    <t>ESPECIFICACIÓN: 10,2,9</t>
  </si>
  <si>
    <t>ESPECIFICACIÓN: 10,2,10</t>
  </si>
  <si>
    <t>ESPECIFICACIÓN: 10,2,11</t>
  </si>
  <si>
    <t>ESPECIFICACIÓN: 10,2,12</t>
  </si>
  <si>
    <t>ESPECIFICACIÓN: 10,3,1</t>
  </si>
  <si>
    <t>ESPECIFICACIÓN: 10,3,2</t>
  </si>
  <si>
    <t>ESPECIFICACIÓN: 10,3,3</t>
  </si>
  <si>
    <t>ESPECIFICACIÓN: 10,3,4</t>
  </si>
  <si>
    <t>ESPECIFICACIÓN: 10,3,5</t>
  </si>
  <si>
    <t>ESPECIFICACIÓN: 10,3,6</t>
  </si>
  <si>
    <t>ESPECIFICACIÓN: 10,3,7</t>
  </si>
  <si>
    <t>ESPECIFICACIÓN: 10,3,8</t>
  </si>
  <si>
    <t>ESPECIFICACIÓN: 10,3,9</t>
  </si>
  <si>
    <t>ESPECIFICACIÓN: 10,3,10</t>
  </si>
  <si>
    <t>ESPECIFICACIÓN: 10,3,11</t>
  </si>
  <si>
    <t>Collar Derivación en Hierro Dúctil para Pvc 6x3/4"</t>
  </si>
  <si>
    <t>Collar Derivación en Hierro Dúctil para Pvc 6x1"</t>
  </si>
  <si>
    <t>HORA</t>
  </si>
  <si>
    <t>AGUA</t>
  </si>
  <si>
    <t>CEMENTO GRIS</t>
  </si>
  <si>
    <t>DESPERDICIO (5%)</t>
  </si>
  <si>
    <t>MEZCLADORA DE CONCRETO (1 BULTO)</t>
  </si>
  <si>
    <t>HERRAMIENTA MENOR (10%MO)</t>
  </si>
  <si>
    <t>M³</t>
  </si>
  <si>
    <t>LTS</t>
  </si>
  <si>
    <t>VIBRADOR DE CONCRETO</t>
  </si>
  <si>
    <t>VOLQUETA 6 M3</t>
  </si>
  <si>
    <t>S.M.L.V 2016</t>
  </si>
  <si>
    <t>Instalacion Registro de Corte o Incorporacion en PVC  1/2" - 3/4"</t>
  </si>
  <si>
    <t>Instalacion de Union PF 1/2" - 3/4"</t>
  </si>
  <si>
    <t>Instalacion de Galapago o Collarin de 3" - 4" X ( 1/2" - 3/4" )</t>
  </si>
  <si>
    <t>Instalacion de Accesorios de 3" Y 4"</t>
  </si>
  <si>
    <t>Instalacion de Accesorios entre 10" Y 18"</t>
  </si>
  <si>
    <t>Instalacion de Accesorios de 6" Y 8"</t>
  </si>
  <si>
    <t>Codo de 90º DN 6" (150mm) Extremo de Junta Hidraulica</t>
  </si>
  <si>
    <t>Codo de 90º DN 8" (200mm) Extremo de Junta Hidraulica</t>
  </si>
  <si>
    <t>Codo de 90º DN 10" (250mm) Extremo de Junta Hidraulica</t>
  </si>
  <si>
    <t>Codo de 90º DN 12" (300mm) Extremo de Junta Hidraulica</t>
  </si>
  <si>
    <t>Tee DN 6"X6" (150mmX150mm) Extremo Junta Hidraulica</t>
  </si>
  <si>
    <t>Tee DN 8"X8" (200mmX200mm) Extremo Junta Hisraulica</t>
  </si>
  <si>
    <t>Cruz DN 6"X6" (150mmX150mm) Extremo Junta Hidraulica</t>
  </si>
  <si>
    <t>Cruz DN 8"X8" (200mmX200mm) Extremo Junta Hidraulica</t>
  </si>
  <si>
    <t>Cruz DN 10"X10" (250mmX250mm) Extremo Junta Hidraulica</t>
  </si>
  <si>
    <t>Cruz DN 12"X12" (300mmX300mm) Extremo Junta Hidraulica</t>
  </si>
  <si>
    <t>Suministro e Instalacion Llave de Paso 1/2"</t>
  </si>
  <si>
    <t>Suministro e Instalacion Llave de Paso 3/4"</t>
  </si>
  <si>
    <t>Suministro e Instalacion de Llave de Paso 1"</t>
  </si>
  <si>
    <t>Suministro e Instalacion de Llave de Paso 2"</t>
  </si>
  <si>
    <t>Suministro e Instalcion de Llave de Paso 3"</t>
  </si>
  <si>
    <t>Suministro e Instalacion de Llave de Paso 4"</t>
  </si>
  <si>
    <t>Suministro e Instalacion de Collar de Derivacion en Hierro Ductil de 3"  X 1/2"</t>
  </si>
  <si>
    <t>Suministro e Instalacion de Collar de Derivacion en Hierro Ductil de 3"  X 3/4"</t>
  </si>
  <si>
    <t>Suministro e Instalacion de Collar de Derivacion en Hierro Ductil de 3"  X 1"</t>
  </si>
  <si>
    <t>Suministro e Instalacion Collar de Derivacion en Hierro Ductil 4" X 1/2"</t>
  </si>
  <si>
    <t>Suministro e Instalacion Collar de Derivacion en Hierro Ductil 4" X 3/4"</t>
  </si>
  <si>
    <t>Suministro e Instalacion Collar de Derivacion en Hierro Ductil 4" X 1"</t>
  </si>
  <si>
    <t>Suministro e Instalacion Collar de Derivacion en Hierro Ductil 6" X 1/2"</t>
  </si>
  <si>
    <t>Suministro e Instalacion Collar de Derivacion en Hierro Ductil 6" X 3/4"</t>
  </si>
  <si>
    <t>Suministro e Instalacion Collar de Derivacion en Hierro Ductil 6" X 1"</t>
  </si>
  <si>
    <t xml:space="preserve">Suministro e Instalacion Valvulas de Compuerta Sello de Bronce Vastago no Ascendente Extremo Liso PVC de 2" </t>
  </si>
  <si>
    <t xml:space="preserve">Suministro e Instalacion Valvulas de Compuerta Sello de Bronce Vastago no Ascendente Extremo Liso PVC de 3" </t>
  </si>
  <si>
    <t xml:space="preserve">Suministro e Instalacion Valvulas de Compuerta Sellos de Bronce Vastago no Ascendente Extremo Lios PVC de 4" </t>
  </si>
  <si>
    <t xml:space="preserve">Suministro e Instalacion Valvulas de Compuerta Sello de Bronce Vastago no Ascendente Extremo Liso PVC de 6" </t>
  </si>
  <si>
    <t xml:space="preserve">Suministro e Instalacion Valvulas de Compuerta Sello de Bronce Vastago no Ascendente Extremo Liso PVC de 8" </t>
  </si>
  <si>
    <t>Suministro e Instalacion Valvula Ventosa de 1" Roscada Triple Accion</t>
  </si>
  <si>
    <t xml:space="preserve">Suministro e Instalacion Valvula Ventosa de 2" Roscada Triple Accion </t>
  </si>
  <si>
    <t xml:space="preserve">Suministro e Instalacion Valvula Ventosa de 3" Bridada Triple Accion </t>
  </si>
  <si>
    <t>Suministro e Instalacion Valvula Ventosa de 4" Bridada Triple Accion</t>
  </si>
  <si>
    <t>Suministro e Instalacion Valvula Ventosa de 6" Bridada Triple Accion</t>
  </si>
  <si>
    <t>Suministro e Instalacion Valvula Ventosa de 8" Bridada Triple Accion</t>
  </si>
  <si>
    <t>Señalizacion en Guadua C/3 mts y Polisombra de h=2mts</t>
  </si>
  <si>
    <t>Suministro e Instalaciopn Lecho en Arena Para Tuberia</t>
  </si>
  <si>
    <t>Suministro e Instalacion de Silla Yee 8"X 6"  PVC Incluye Agarraderas Caucho y Aderencia</t>
  </si>
  <si>
    <t xml:space="preserve">Suministro e Instalacion de Silla Yee 10"X 6"  PVC Incluye Agarraderas Caucho y Aderencia </t>
  </si>
  <si>
    <t>Suministro e Instalacion de Silla Yee 12"X 6"  PVC Incluye Agarraderas Caucho Y aderencia</t>
  </si>
  <si>
    <t xml:space="preserve">Suministro e Instalacion de Silla Yee 14"X 6"  PVC Incluye Agarraderas Caucho y Aderencia </t>
  </si>
  <si>
    <t>Suministro e Instalacion de Silla Yee 16"X 6"  PVC Incluye Agarraderas Caucho y Aderencia</t>
  </si>
  <si>
    <t>Suministro e Instalacion de Silla Yee 18"X 6"  PVC Incluye Agarraderas Caucho y Aderencia</t>
  </si>
  <si>
    <t>Suministro e Instalacion de Silla Yee 20"X 6"  PVC Incluye Agarraderas Caucho y Aderencia</t>
  </si>
  <si>
    <t xml:space="preserve">Suministro e Instalacion de Silla Yee 24"X 6"  PVC Incluye Agarraderas Cauchos y Aderencia </t>
  </si>
  <si>
    <t>Suministro e Instalacion Yee en Concreto de 8"X 6"</t>
  </si>
  <si>
    <t xml:space="preserve">Suministro e Instalacion Yee en Concreto de 10"X 6" </t>
  </si>
  <si>
    <t>HA</t>
  </si>
  <si>
    <t xml:space="preserve">Suministro e Instalacion Yee en Concreto de 12"X 6" </t>
  </si>
  <si>
    <t>Suministro e Instalacion Yee en Concreto de 14"X 6"</t>
  </si>
  <si>
    <t xml:space="preserve">Suministro e Instalacion Yee en Concreto de 16"X 6" </t>
  </si>
  <si>
    <t xml:space="preserve">Suministro e Instalacion Yee en concreto de 18"X 6" </t>
  </si>
  <si>
    <t xml:space="preserve">Suministro e Instalacion Yee en Concreto de 20"X 6" </t>
  </si>
  <si>
    <t xml:space="preserve">Suministro e Instalacion Yee en Concreto de 24"X 6" </t>
  </si>
  <si>
    <t>Suministro e Instalacion Codos en Concreto de 8 "</t>
  </si>
  <si>
    <t>Suministro e Instalacion Codos en Concreto de 10 "</t>
  </si>
  <si>
    <t>Suministro e Instalacion Codos en Concretro de 12 "</t>
  </si>
  <si>
    <t>Suministro e Instalacion Codos en Concreto de 14 "</t>
  </si>
  <si>
    <t>Desmonte y Limpieza</t>
  </si>
  <si>
    <t>Reforestacion</t>
  </si>
  <si>
    <t>Cercas Vivas</t>
  </si>
  <si>
    <t>Arborizacion</t>
  </si>
  <si>
    <t>FERRETERIA GODOY</t>
  </si>
  <si>
    <t>AGUAS Y SUMINISTROS DE COLOMBIA</t>
  </si>
  <si>
    <t>ff SOLUCIONES S.A</t>
  </si>
  <si>
    <t>FERRETERIA PEDRAZA</t>
  </si>
  <si>
    <t>PRECIO 2016</t>
  </si>
  <si>
    <t>Alambre Negro N°. 18</t>
  </si>
  <si>
    <t>Llave de Paso de 3/4"</t>
  </si>
  <si>
    <t>Llave de Paso de 1/2"</t>
  </si>
  <si>
    <t>Union P.F Jla de 1/2"</t>
  </si>
  <si>
    <t>Union P.F Jla de 3/4"</t>
  </si>
  <si>
    <t xml:space="preserve">Universal Pvc Presión 1” </t>
  </si>
  <si>
    <t xml:space="preserve">Union Presion de 1/2” </t>
  </si>
  <si>
    <t xml:space="preserve">Union Presion de 2.1/2” </t>
  </si>
  <si>
    <t xml:space="preserve">Union Presion de 3/4” </t>
  </si>
  <si>
    <t xml:space="preserve">Unión Pvc 1” Dresser </t>
  </si>
  <si>
    <t>Soldadura PVC 1/16</t>
  </si>
  <si>
    <t>Registro De Corte 1/2"</t>
  </si>
  <si>
    <t xml:space="preserve">Registro Incorporación 1/2" Bronce </t>
  </si>
  <si>
    <t xml:space="preserve">Registro Incorporación 1/2" Pvc </t>
  </si>
  <si>
    <t xml:space="preserve">Registro Incorporación 3/4" Bronce </t>
  </si>
  <si>
    <t>UNION P.F DE 1/2"</t>
  </si>
  <si>
    <t>Manguera P.F. Domic 1/2"</t>
  </si>
  <si>
    <t>Manguera P.F. Domic 3/4"</t>
  </si>
  <si>
    <t>MANGUERA P.F 1/2"</t>
  </si>
  <si>
    <t>Collar de derivacion PVC 3 X 1/2"</t>
  </si>
  <si>
    <t>Collar de derivacion PVC 3 X3/4"</t>
  </si>
  <si>
    <t>Collar de derivacion PVC 4 x1/2"</t>
  </si>
  <si>
    <t>Collar de dericacion PVC 4 x3/4"</t>
  </si>
  <si>
    <t>Collar Derivación PVC 6 x1/2"</t>
  </si>
  <si>
    <t>Collar Derivación PVC 6 x3/4"</t>
  </si>
  <si>
    <t>Válvula Sello de Bronce 2" PVC</t>
  </si>
  <si>
    <t>Válvula Sello de Bronce 3" PVC</t>
  </si>
  <si>
    <t>Válvula Sello de Bronce 4" PVC</t>
  </si>
  <si>
    <t>Válvula Sello de Bronce 6" PVC</t>
  </si>
  <si>
    <t>Válvula Sello de Bronce 8" PVC</t>
  </si>
  <si>
    <t>Válvula Sello de Bronce 10" PVC</t>
  </si>
  <si>
    <t>Válvula Sello de Bronce 12" PVC</t>
  </si>
  <si>
    <t>Pago Deposito En Escombrera Autorizada Por La Autoridad Ambiental</t>
  </si>
  <si>
    <t>Arotapa Fibrocemento</t>
  </si>
  <si>
    <r>
      <t>Rejilla L 1 1</t>
    </r>
    <r>
      <rPr>
        <i/>
        <sz val="10"/>
        <rFont val="Arial"/>
        <family val="2"/>
      </rPr>
      <t>/</t>
    </r>
    <r>
      <rPr>
        <sz val="10"/>
        <rFont val="Arial"/>
        <family val="2"/>
      </rPr>
      <t>2*3/16 Varilla 7/8</t>
    </r>
  </si>
  <si>
    <t>Rejilla en Fibrocemento</t>
  </si>
  <si>
    <t>Taco Guadua</t>
  </si>
  <si>
    <t>Arena</t>
  </si>
  <si>
    <t>SILLA YEE MAS ACCESORIOS 24x6" PVC</t>
  </si>
  <si>
    <t>YEE EN CONCRETO</t>
  </si>
  <si>
    <t>Codo en Concreto de 8"</t>
  </si>
  <si>
    <t>Codo en Concreto de 10"</t>
  </si>
  <si>
    <t>Codo en Concreto de 12"</t>
  </si>
  <si>
    <t>Codo en Concreto de 14"</t>
  </si>
  <si>
    <t>Kit Silla YEE + Accesorios  PVC Alcantarillado 18" X 6"</t>
  </si>
  <si>
    <t>Kit Silla YEE + Accesorios  PVC Alcantarillado 20" X 6"</t>
  </si>
  <si>
    <t>Kit Silla YEE + Accesorios  PVC Alcantarillado 24" X 6"</t>
  </si>
  <si>
    <t xml:space="preserve">YEES Concreto 8" x 6" </t>
  </si>
  <si>
    <t xml:space="preserve">YEES Concreto 10" x 6" </t>
  </si>
  <si>
    <t xml:space="preserve">YEES Concreto 12" x 6" </t>
  </si>
  <si>
    <t xml:space="preserve">YEES Concreto 14" x 6" </t>
  </si>
  <si>
    <t xml:space="preserve">YEES Concreto 16" x 6" </t>
  </si>
  <si>
    <t xml:space="preserve">YEES Concreto 18" x 6" </t>
  </si>
  <si>
    <t xml:space="preserve">YEES Concreto 20" x 6" </t>
  </si>
  <si>
    <t xml:space="preserve">YEES Concreto 24" x 6" </t>
  </si>
  <si>
    <t>TUBERIA DE CONCRETO SIN REFUERZO NORMA ICONTEC 1022 CLASE 2</t>
  </si>
  <si>
    <t>TUBERIA DE CONCRETO REFORZADO NORMA ICONTEC 401 CLASE 2</t>
  </si>
  <si>
    <t xml:space="preserve">Tubo Concreto 36" </t>
  </si>
  <si>
    <t xml:space="preserve">Tubo Concreto 40" </t>
  </si>
  <si>
    <t xml:space="preserve">Tubo Concreto 44" </t>
  </si>
  <si>
    <t xml:space="preserve">Tubo Concreto 48" </t>
  </si>
  <si>
    <t>Tubo Plastico 24"</t>
  </si>
  <si>
    <t>Tubo Plastico 27"</t>
  </si>
  <si>
    <t>Tubo Plastico 30"</t>
  </si>
  <si>
    <t>Tubo Plastico 33"</t>
  </si>
  <si>
    <t>Tubo Plastico 36"</t>
  </si>
  <si>
    <t>Tubo Plastico 39"</t>
  </si>
  <si>
    <t>Tubo Plastico 42"</t>
  </si>
  <si>
    <t>Arotapa HF</t>
  </si>
  <si>
    <t>INSTALACION TUBERIA DE CONCRETO NTC 1022 CLASE 2</t>
  </si>
  <si>
    <t>INSTALACION TUBERIA DE CONCRETO NTC 401 CLASE 2</t>
  </si>
  <si>
    <t>SUMINISTRO E INSTALACION TUBERIA CONCRETO NTC 401 CLASE 2</t>
  </si>
  <si>
    <t>NTC 1022 CLASE 2</t>
  </si>
  <si>
    <t>NTC 401 CLASE 2</t>
  </si>
  <si>
    <t>CONCRETO SIMPLE DE 1500 PSI</t>
  </si>
  <si>
    <t>CONCRETO SIMPLE DE 4500 PSI</t>
  </si>
  <si>
    <t>MORTEROS</t>
  </si>
  <si>
    <t>MORTERO 1:3</t>
  </si>
  <si>
    <t>CEMENTO KG</t>
  </si>
  <si>
    <t>AGUA LTR</t>
  </si>
  <si>
    <t>HERRAMIENTA MENOR (10%)</t>
  </si>
  <si>
    <t>1:2:4</t>
  </si>
  <si>
    <t>1:2:3</t>
  </si>
  <si>
    <t>1:3:3</t>
  </si>
  <si>
    <t>MORTERO 1:2</t>
  </si>
  <si>
    <r>
      <t>M</t>
    </r>
    <r>
      <rPr>
        <vertAlign val="superscript"/>
        <sz val="11"/>
        <rFont val="Calibri"/>
        <family val="2"/>
        <scheme val="minor"/>
      </rPr>
      <t>3</t>
    </r>
  </si>
  <si>
    <t xml:space="preserve">Tubo Concreto 6" </t>
  </si>
  <si>
    <t xml:space="preserve">Tubo Concreto 8" </t>
  </si>
  <si>
    <t xml:space="preserve">Tubo Concreto 10" </t>
  </si>
  <si>
    <t xml:space="preserve">Tubo Concreto 12" </t>
  </si>
  <si>
    <t xml:space="preserve">Tubo Concreto 14" </t>
  </si>
  <si>
    <t xml:space="preserve">Tubo Concreto 16" </t>
  </si>
  <si>
    <t xml:space="preserve">Tubo Concreto 18" </t>
  </si>
  <si>
    <t xml:space="preserve">Tubo Concreto 20" </t>
  </si>
  <si>
    <t xml:space="preserve">Tubo Concreto 24" </t>
  </si>
  <si>
    <t xml:space="preserve">Tubo Concreto 27" </t>
  </si>
  <si>
    <t xml:space="preserve">Tubo Concreto 30" </t>
  </si>
  <si>
    <t>1 OFICIAL + 2 AYUDANTES</t>
  </si>
  <si>
    <t>CODOS EN CONCRETO</t>
  </si>
  <si>
    <t>Esterilla</t>
  </si>
  <si>
    <t>Guadua</t>
  </si>
  <si>
    <t>Grama</t>
  </si>
  <si>
    <t>Impermeablizante Concreto</t>
  </si>
  <si>
    <t>ROLLO</t>
  </si>
  <si>
    <t>Arbol de 1,50 Mts de Altura</t>
  </si>
  <si>
    <t>Tuberia de 2"</t>
  </si>
  <si>
    <t>Tuberia de 3"</t>
  </si>
  <si>
    <t>Tuberia de 4"</t>
  </si>
  <si>
    <t>Tuberia de 6"</t>
  </si>
  <si>
    <t>Tuberia de 8"</t>
  </si>
  <si>
    <t>Tuberia de 10"</t>
  </si>
  <si>
    <t>Tuberia de 12"</t>
  </si>
  <si>
    <t>Tuberia de 14"</t>
  </si>
  <si>
    <t>Tuberia de 16"</t>
  </si>
  <si>
    <t>Tuberia de 18"</t>
  </si>
  <si>
    <t>Tuberia de 20"</t>
  </si>
  <si>
    <t>Valvula Ventosa Automatica de 1/2"</t>
  </si>
  <si>
    <t>Valvula Ventosa Automatica de 3/4"</t>
  </si>
  <si>
    <t>Valvula Ventosa Automatica de 1"</t>
  </si>
  <si>
    <t>Ventosa HF Sencilla de 2"</t>
  </si>
  <si>
    <t>Valvula H.D de 2"</t>
  </si>
  <si>
    <t>Valvula Sello Elastico 2" PVC</t>
  </si>
  <si>
    <t>Valvula Sello Elastico 3" PVC</t>
  </si>
  <si>
    <t>Valvula Sello Elastico 4" PVC</t>
  </si>
  <si>
    <t>Valvula Sello Elastico 6" PVC</t>
  </si>
  <si>
    <t>Valvula Sello Elastico 8" PVC</t>
  </si>
  <si>
    <t>Valvula Sello Elastico 10" PVC</t>
  </si>
  <si>
    <t>Valvula Sello Elastico 12" PVC</t>
  </si>
  <si>
    <t>Cruz 4x2 PVC</t>
  </si>
  <si>
    <t>Cruz DN 8" x 4" (200 mm x 100 mm) extremo Liso PVC</t>
  </si>
  <si>
    <t>Cruz HD 3" x 2"</t>
  </si>
  <si>
    <t>Cruz HD 8" x 3"</t>
  </si>
  <si>
    <t>Cruz HF 3" x 3" X 3"</t>
  </si>
  <si>
    <t>Cruz HF 6" x 4"</t>
  </si>
  <si>
    <t>Reduccion 6" x 3" PVC</t>
  </si>
  <si>
    <t>Reduccion 6" x 4" PVC</t>
  </si>
  <si>
    <t>Reduccion 8" x 4" PVC</t>
  </si>
  <si>
    <t>TEE 4" X 2" PVC</t>
  </si>
  <si>
    <t>TEE 4" X 3" PVC</t>
  </si>
  <si>
    <t>TEE DN 10" X 6" (250 mm X 150 mm) Extremo Liso PVC</t>
  </si>
  <si>
    <t>TEE DN 6" X 3" (150 mm X 75 mm) Extremo Liso PVC</t>
  </si>
  <si>
    <t>TEE DN 6" X 4" (150 mm X 100 mm) Extremo Liso PVC</t>
  </si>
  <si>
    <t>TEE DN 8" X 3" (200 mm X 75 mm) Extremo Liso PVC</t>
  </si>
  <si>
    <t>TEE DN 8" X 4" (200 mm X 100 mm) Extremo Liso PVC</t>
  </si>
  <si>
    <t>TEE HF de 3" X 2"</t>
  </si>
  <si>
    <t>Acople Universal DN 2" (57mm - 70mm)</t>
  </si>
  <si>
    <t>Acople Universal DN 3" (85 mm - 103 mm)</t>
  </si>
  <si>
    <t>Acople Universal DN 4"</t>
  </si>
  <si>
    <t>Acople Universal DN 6" R1</t>
  </si>
  <si>
    <t>Acople Universal DN 6" R1 - R2</t>
  </si>
  <si>
    <t>Acople Universal  de 6" R2</t>
  </si>
  <si>
    <t>Acople Universal de 8" R1</t>
  </si>
  <si>
    <t>Acople Universal DN 8" R1-R2</t>
  </si>
  <si>
    <t>Acople Universal DN 10" R1(268 mm - 286 mm)</t>
  </si>
  <si>
    <t>Acople Universal DN 10" R1-R2</t>
  </si>
  <si>
    <t>Acople Universal DN 10" R2</t>
  </si>
  <si>
    <t>Acople Universal DN 12" (R1-R3) T. ZINC</t>
  </si>
  <si>
    <t>Acople Universal DN 12" R1(315 mm - 333mm)</t>
  </si>
  <si>
    <t>Acople Universal DN 12" R1 - R2</t>
  </si>
  <si>
    <t>Codo HF Extremo Liso de 3" X 90</t>
  </si>
  <si>
    <t>TITAN</t>
  </si>
  <si>
    <t>JAMAR</t>
  </si>
  <si>
    <t xml:space="preserve">Tubo Concreto 32" </t>
  </si>
  <si>
    <t>Cemento Gris</t>
  </si>
  <si>
    <t xml:space="preserve">RECEBO </t>
  </si>
  <si>
    <t>OFICIALAES (1)</t>
  </si>
  <si>
    <t>GERFOR S.A</t>
  </si>
  <si>
    <t>FORMALETA</t>
  </si>
  <si>
    <t>PAVCO</t>
  </si>
  <si>
    <t>TARIFA 2016</t>
  </si>
  <si>
    <t>Estacion</t>
  </si>
  <si>
    <t>CADENERO (1)</t>
  </si>
  <si>
    <t>Ventosa 2" Roscada Triple Accion</t>
  </si>
  <si>
    <t>Ventosa 1" Roscada Triple Accion</t>
  </si>
  <si>
    <t>Ventosa 3" Bridada Triple Accion</t>
  </si>
  <si>
    <t>Ventosa 4" Bridada Triple Accion</t>
  </si>
  <si>
    <t>Ventosa 6" Bridada Triple Accion</t>
  </si>
  <si>
    <t>Ventosa 8" Bridada Triple Accion</t>
  </si>
  <si>
    <t xml:space="preserve"> Codo Gran Radio 90° De 6" DN Junta Hidraulica</t>
  </si>
  <si>
    <t xml:space="preserve"> Codo Gran Radio 90° De 8" DN Junta Hidraulica</t>
  </si>
  <si>
    <t xml:space="preserve"> Codo Gran Radio 90° De 10" DN Junta Hidraulica</t>
  </si>
  <si>
    <t xml:space="preserve"> Codo Gran Radio 90° De 12" DN Junta Hidraulica</t>
  </si>
  <si>
    <t>TEE DN 6" X 6" Extremo Junta Hidraulica</t>
  </si>
  <si>
    <t>TEE DN 8" X 8" Extremo Junta Hidraulica</t>
  </si>
  <si>
    <t>Cruz HF 6" x 6" Extremo Junta Hidraulica</t>
  </si>
  <si>
    <t>Cruz HF 8" x 8" Extremo Junta Hidraulica</t>
  </si>
  <si>
    <t>Cruz HF 10" x 10" Extremo Junta Hidraulica</t>
  </si>
  <si>
    <t>Cruz HF 12" x 12" Extremo Junta Hidraulica</t>
  </si>
  <si>
    <t>ACUEDUCTO</t>
  </si>
  <si>
    <t>Codo en Concreto de 6"</t>
  </si>
  <si>
    <t>Juego Aro Tapa - Aro Base</t>
  </si>
  <si>
    <t>Arotapa Completa Vibrocompactada</t>
  </si>
  <si>
    <t xml:space="preserve">Tapa para Arotapa, Vibrocompactada </t>
  </si>
  <si>
    <t>JUEGO</t>
  </si>
  <si>
    <t>Rejilla Sola Vibrocompactada para Sumidero de 1,05X0,36 MTS</t>
  </si>
  <si>
    <t>Rejilla Vibrocompactada para Sumidero 1,05X0,45 MTS</t>
  </si>
  <si>
    <t>Marco Y Rejilla Completa Vibrocompactada Para Sumidero</t>
  </si>
  <si>
    <t>YEE EN PVC</t>
  </si>
  <si>
    <t>Tubo Plastico 6" 160mm</t>
  </si>
  <si>
    <t>Tubo Plastico 8" 200mm</t>
  </si>
  <si>
    <t>Tubo Plastico 10" 250mm</t>
  </si>
  <si>
    <t>Tubo Plastico 12" 315mm</t>
  </si>
  <si>
    <t>Tubo Plastico 20" 500mm</t>
  </si>
  <si>
    <t>Tubo Plastico 14" 355mm</t>
  </si>
  <si>
    <t>Tubo Plastico 16" 400mm</t>
  </si>
  <si>
    <t>Tubo Plastico 18" 450mm</t>
  </si>
  <si>
    <t>TUBERIA PLASTICA PARA ALCANTARILLADO</t>
  </si>
  <si>
    <t>Kit Silla YEE PVC Alcanatarillado 8 X 6" (200mm x 160mm)</t>
  </si>
  <si>
    <t>Kit Silla YEE PVC Alcantarillado 10" X 6" (250mm x 160mm)</t>
  </si>
  <si>
    <t>Kit Silla YEE PVC Alcantarillado 12" X 6" (315mm x 160)</t>
  </si>
  <si>
    <t>Kit Silla YEE PVC Alcantarillado 14" X 6" (355mm x 160mm)</t>
  </si>
  <si>
    <t>Kit Silla YEE + Accesorios  PVC Alcanatarillado 16" X 6" (400mm x 160mm)</t>
  </si>
  <si>
    <t>OK</t>
  </si>
  <si>
    <t>PRECIO 1</t>
  </si>
  <si>
    <t>Placa Vibratoria</t>
  </si>
  <si>
    <t>Material de Prestamo</t>
  </si>
  <si>
    <t>S.M.L.V</t>
  </si>
  <si>
    <r>
      <t>M</t>
    </r>
    <r>
      <rPr>
        <vertAlign val="superscript"/>
        <sz val="11"/>
        <rFont val="Calibri"/>
        <family val="2"/>
        <scheme val="minor"/>
      </rPr>
      <t>3/Km</t>
    </r>
  </si>
  <si>
    <r>
      <t>M</t>
    </r>
    <r>
      <rPr>
        <vertAlign val="superscript"/>
        <sz val="11"/>
        <rFont val="Calibri"/>
        <family val="2"/>
        <scheme val="minor"/>
      </rPr>
      <t>3/comp</t>
    </r>
  </si>
  <si>
    <r>
      <t>M</t>
    </r>
    <r>
      <rPr>
        <vertAlign val="superscript"/>
        <sz val="11"/>
        <rFont val="Calibri"/>
        <family val="2"/>
        <scheme val="minor"/>
      </rPr>
      <t>2</t>
    </r>
  </si>
  <si>
    <r>
      <t>M</t>
    </r>
    <r>
      <rPr>
        <vertAlign val="superscript"/>
        <sz val="11"/>
        <rFont val="Calibri"/>
        <family val="2"/>
        <scheme val="minor"/>
      </rPr>
      <t>3. /Comp</t>
    </r>
  </si>
  <si>
    <r>
      <t>M</t>
    </r>
    <r>
      <rPr>
        <vertAlign val="superscript"/>
        <sz val="11"/>
        <rFont val="Calibri"/>
        <family val="2"/>
        <scheme val="minor"/>
      </rPr>
      <t>3/Comp</t>
    </r>
  </si>
  <si>
    <t>RESOLUCION 0199 DEL 20 DE MARZO DE 2014 (1)</t>
  </si>
  <si>
    <t>Madera (medio Cerco Estacas)</t>
  </si>
  <si>
    <t>HERRAMIENTA MENOR(10%MO)</t>
  </si>
  <si>
    <t>Triturado entre 1/2 y 3/4 pulg</t>
  </si>
  <si>
    <t>Abono (Urea)</t>
  </si>
  <si>
    <t>Limpiador PVC 12 Onzas</t>
  </si>
  <si>
    <t xml:space="preserve"> Collar Derivación Hembra 2.1/2 X 3/4” </t>
  </si>
  <si>
    <t>Cortadora de concreto con disco</t>
  </si>
  <si>
    <t>Cortadora de Concreto con disco</t>
  </si>
  <si>
    <t>Gasolina</t>
  </si>
  <si>
    <t>Mortro 1:3</t>
  </si>
  <si>
    <t>ESPECIFICACIÓN: 5,14</t>
  </si>
  <si>
    <t>ITEM: MORTERO 1:3</t>
  </si>
  <si>
    <t>HERRAMIENTA MENOR (10% MO)</t>
  </si>
  <si>
    <t>ITEM: MORTERO 1:4</t>
  </si>
  <si>
    <t>ESPECIFICACIÓN: 5,16</t>
  </si>
  <si>
    <t>Codo 4X22 1/2” Extremo Liso HF</t>
  </si>
  <si>
    <t>PARAFISCALES</t>
  </si>
  <si>
    <t>SENA</t>
  </si>
  <si>
    <t>CAJAS DE COMPENSACION</t>
  </si>
  <si>
    <t>APORTES A LA SEGURIDAD SOCIAL</t>
  </si>
  <si>
    <t>PENSIONES (AFP)</t>
  </si>
  <si>
    <t>SALUD (EPS)</t>
  </si>
  <si>
    <t>RIESGOS LABORALES (ARL) (V)</t>
  </si>
  <si>
    <t>SALARIO TOTAL MENSUAL</t>
  </si>
  <si>
    <t>B*12</t>
  </si>
  <si>
    <t>1 S.M.L.V + S. TRANS</t>
  </si>
  <si>
    <t>ALAMBRE NEGRO PARA AMARRE</t>
  </si>
  <si>
    <t>ACERO DE REFUERZO A-60</t>
  </si>
  <si>
    <t>Acero de refuerzo figurado e instalado A: 60</t>
  </si>
  <si>
    <t>Acero de refuerzo figurado e instalado A: 37</t>
  </si>
  <si>
    <t>ITEM: ACERO DE REFUERZO FIGURADO E INSTALADO A:60</t>
  </si>
  <si>
    <t>ITEM: ACERO DE REFUERZO FIGURADO E INSTALADO A:37</t>
  </si>
  <si>
    <t>ACERO DE REFUERZO A-37</t>
  </si>
  <si>
    <t>Alambre Galvanizado N°. 12</t>
  </si>
  <si>
    <t>ALAMBRE GALVANIZADO N°. 12</t>
  </si>
  <si>
    <t>Piedra Para Gaviones</t>
  </si>
  <si>
    <t>(OTROS)</t>
  </si>
  <si>
    <t>TIERRA ABONADA</t>
  </si>
  <si>
    <t>EMULSION ASFALTICA PARA LIGA</t>
  </si>
  <si>
    <t>ALAMBRE GALVANIZADO CAL N°. 12</t>
  </si>
  <si>
    <t xml:space="preserve">AYUDANTES </t>
  </si>
  <si>
    <t>ALAMBRE GALVANIZADO CALIBRE N°. 12</t>
  </si>
  <si>
    <t>CALFOS</t>
  </si>
  <si>
    <t>Calfos</t>
  </si>
  <si>
    <t>BORAX</t>
  </si>
  <si>
    <t>Borax</t>
  </si>
  <si>
    <t>INSECTICIDA</t>
  </si>
  <si>
    <t>Insecticida</t>
  </si>
  <si>
    <t>TUBERÍA PVC SANITARIA DE 6"</t>
  </si>
  <si>
    <t>TUBERÍA PVC SANITARIA DE 8"</t>
  </si>
  <si>
    <t>TUBERÍA PVC SANITARIA DE 10"</t>
  </si>
  <si>
    <t>TUBERÍA PVC SANITARIA DE 12"</t>
  </si>
  <si>
    <t>TUBERÍA PVC SANITARIA DE 16"</t>
  </si>
  <si>
    <t>TUBERÍA PVC SANITARIA DE 18"</t>
  </si>
  <si>
    <t>TUBERÍA PVC SANITARIA DE 20"</t>
  </si>
  <si>
    <t>HERRAMIENTA MENOR (10%mo)</t>
  </si>
  <si>
    <t>TUBERÍA PVC SANITARIA DE 24"</t>
  </si>
  <si>
    <t>VASELINA</t>
  </si>
  <si>
    <t>TUBERÍA PVC SANITARIA DE 27"</t>
  </si>
  <si>
    <t>TUBERÍA PVC SANITARIA DE 30"</t>
  </si>
  <si>
    <t>TUBERÍA PVC SANITARIA DE 33"</t>
  </si>
  <si>
    <t>TUBERÍA PVC SANITARIA DE 36"</t>
  </si>
  <si>
    <t>TUBERÍA PVC SANITARIA DE 39"</t>
  </si>
  <si>
    <t>TUBERÍA PVC SANITARIA DE 42"</t>
  </si>
  <si>
    <t>Tela de cerramiento a = 2,10 m (rollo por 100 m)</t>
  </si>
  <si>
    <t>L</t>
  </si>
  <si>
    <t>Piedra Media Zonga</t>
  </si>
  <si>
    <t xml:space="preserve">CEMENTO GRIS </t>
  </si>
  <si>
    <t>ITEM: SUMINISTRO E INSTALACION DE REGISTRO DE CORTE 1/2"</t>
  </si>
  <si>
    <t>REGISTRO DE CORTE 1/2"</t>
  </si>
  <si>
    <t xml:space="preserve">Suministro e Instalación de registro de corte 1/2" </t>
  </si>
  <si>
    <t>ITEM: SUMINISTRO E INSTALACION DE REGISTRO DE INCORPORACION 1/2" (BRONCE)</t>
  </si>
  <si>
    <t>Suministro e Instalacion de registro de incorporacion 1/2" PVC</t>
  </si>
  <si>
    <t>Suministro e Instalacion de registro de incorporacion 1/2" BRONCE</t>
  </si>
  <si>
    <t>REGISTRO DE INCORPORACION 1/2" PVC</t>
  </si>
  <si>
    <t>ITEM: SUMINISTRO E INSTALACION DE REGISTRO DE INCORPORACION 1/2" (PVC)</t>
  </si>
  <si>
    <t>Suministro e Instalación de registro de incorporación 3/4" (BRONCE)</t>
  </si>
  <si>
    <t>ITEM: SUMINISTRO E INSTALACION DE REGISTRO DE INCORPORACION 3/4" BRONCE</t>
  </si>
  <si>
    <t>REGISTRO INCORPORADOR DE 3/4" BRONCE</t>
  </si>
  <si>
    <t>SOLDADURA</t>
  </si>
  <si>
    <t>CINTA DE TEFLON</t>
  </si>
  <si>
    <t>REGISTRO DE INCORPORACION 1/2" BRONCE</t>
  </si>
  <si>
    <t xml:space="preserve">Suministro e Instalación de unión P.F 1/2" </t>
  </si>
  <si>
    <t>Suministro e Instalación de unión P.F  3/4"</t>
  </si>
  <si>
    <t>UNION P.F DE 3/4"</t>
  </si>
  <si>
    <t>ITEM: SUMINISTRO E INSTALACION LLAVE DE PASO 1/2"</t>
  </si>
  <si>
    <t>UNIVERSAL PVC DE 1/2"</t>
  </si>
  <si>
    <t>ADAPTADOR PVC MACHO DE 1/2" PRESION</t>
  </si>
  <si>
    <t>Adaptador Macho PVC Presion 1/2"</t>
  </si>
  <si>
    <t>UNIVERSAL PVC DE 3/4"</t>
  </si>
  <si>
    <t>Universal Presion Pvc 3/4”</t>
  </si>
  <si>
    <t>ADAPTADOR PVC MACHO DE 3/4" PRESION</t>
  </si>
  <si>
    <t>Adaptador Macho PVC Presion 3/4"</t>
  </si>
  <si>
    <t>UNIVERSAL PVC PRESION DE 1"</t>
  </si>
  <si>
    <t>ADAPTADOR PVC MACHO DE 1" PRESION</t>
  </si>
  <si>
    <t>Adaptador Macho PVC Presion 1"</t>
  </si>
  <si>
    <t>UNIVERSAL PVC PRESION DE 2"</t>
  </si>
  <si>
    <t>ADAPTADOR PVC MACHO DE 2" PRESION</t>
  </si>
  <si>
    <t>Adaptador Macho PVC Presion 2"</t>
  </si>
  <si>
    <t xml:space="preserve">Universal Pvc Presión 2” </t>
  </si>
  <si>
    <t>MANGUERA P.F 3/4"</t>
  </si>
  <si>
    <t>ITEM: SUMINISTRO E INSTALACION TUBERIA PF DE 1/2" (MANGUERA)</t>
  </si>
  <si>
    <t>ITEM: SUMINISTRO E INSTALACION TUBERIA PF DE 3/4" (MANGUERA)</t>
  </si>
  <si>
    <t>Suministro e Instalación  Tuberia P.F de 1/2"</t>
  </si>
  <si>
    <t>Suministro e Instalación  Tuberia P.F de 3/4"</t>
  </si>
  <si>
    <t>SUMINISTRO E INSTALACION DE TUBERIA PVC PRESION RDE 21</t>
  </si>
  <si>
    <t>SUMINISTRO E INSTALACION DE TUBERIA PVC PRESION RDE 21 (DE 0 A 2 MTS)</t>
  </si>
  <si>
    <t>TUBERIA PVC PRESION DE 2" RDE 21</t>
  </si>
  <si>
    <t>ACCESORIOS PVC PRESIÓN (% Tubería)</t>
  </si>
  <si>
    <t>25%Tub</t>
  </si>
  <si>
    <t>TUBERIA PVC PRESION DE 3" RDE21</t>
  </si>
  <si>
    <t>TUBERIA PVC PRESION DE 4" RDE 21</t>
  </si>
  <si>
    <t>5%Tub</t>
  </si>
  <si>
    <t>TUBERIA PVC PRESION DE 6" RDE 21</t>
  </si>
  <si>
    <t>TUBERIA PVC PRESION DE 8" RDE 21</t>
  </si>
  <si>
    <t>TUBERIA PVC PRESION DE 10" RDE 21</t>
  </si>
  <si>
    <t>TUBERIA PVC PRESION DE 12" RDE 21</t>
  </si>
  <si>
    <t>TUBERIA PVC PRESION DE 14" RDE 21</t>
  </si>
  <si>
    <t>TUBERIA PVC PRESION DE 16" RDE 21</t>
  </si>
  <si>
    <t>TUBERIA PVC PRESION DE 18" RDE 21</t>
  </si>
  <si>
    <t>TUBERIA PVC PRESION DE 20" RDE 21</t>
  </si>
  <si>
    <t>SUMINISTRO E INSTALACION DE TUBERIA PVC PRESION RDE 26</t>
  </si>
  <si>
    <t>SUMINISTRO E INSTALACION DE TUBERIA PVC PRESION RDE 26 (DE 2 A 4 MTS)</t>
  </si>
  <si>
    <t>TUBERIA PVC PRESION DE 2" RDE 26</t>
  </si>
  <si>
    <t>TUBERIA PVC PRESION DE 3" RDE 26</t>
  </si>
  <si>
    <t>TUBERIA PVC PRESION DE 4" RDE 26</t>
  </si>
  <si>
    <t>TUBERIA PVC PRESION DE 6" RDE 26</t>
  </si>
  <si>
    <t>TUBERIA PVC PRESION DE 8" RDE 26</t>
  </si>
  <si>
    <t>TUBERIA PVC PRESION DE 10" RDE 26</t>
  </si>
  <si>
    <t>TUBERIA PVC PRESION DE 12" RDE 26</t>
  </si>
  <si>
    <t>TUBERIA PVC PRESION DE 14" RDE 26</t>
  </si>
  <si>
    <t>TUBERIA PVC PRESION DE 16" RDE 26</t>
  </si>
  <si>
    <t>TUBERIA PVC PRESION DE 18" RDE 26</t>
  </si>
  <si>
    <t>TUBERIA PVC PRESION DE 20" RDE 26</t>
  </si>
  <si>
    <t>INSTALACIÓN DE TUBERÍA PVC PRESION- HASTA 2 MT</t>
  </si>
  <si>
    <t>INSTALACION DE TUBERÍA PVC PRESION</t>
  </si>
  <si>
    <t>SUMINISTRO E INSTALACION TUBERIA CONCRETO NTC 1022 CLASE 2 (UNION DE CAUCHO)</t>
  </si>
  <si>
    <r>
      <t xml:space="preserve">ITEM: INSTALACION Y SUMINISTRO DE CONCRETO DE 17,2 Mpa </t>
    </r>
    <r>
      <rPr>
        <b/>
        <u/>
        <sz val="8"/>
        <rFont val="Arial"/>
        <family val="2"/>
      </rPr>
      <t>(2.500 PSI)</t>
    </r>
  </si>
  <si>
    <r>
      <t xml:space="preserve">ITEM: INSTALACION Y SUMINISTRO DE CONCRETO DE 20,7 Mpa </t>
    </r>
    <r>
      <rPr>
        <b/>
        <u/>
        <sz val="8"/>
        <rFont val="Arial"/>
        <family val="2"/>
      </rPr>
      <t>(3,000 PSI)</t>
    </r>
  </si>
  <si>
    <t>ARBOL 1.2 M</t>
  </si>
  <si>
    <t>LIMPIADOR PVC 12 ONZAS</t>
  </si>
  <si>
    <t>ALAMBRE GALVANIZADO CAL 12</t>
  </si>
  <si>
    <t xml:space="preserve">ITEM: CONCRETO CICLOPEO ELEVACION (2.500 PSI - 17,2 Mpa) </t>
  </si>
  <si>
    <t xml:space="preserve">ITEM: CONCRETO CICLOPEO CIMENTACION (2.500 PSI - 17,2 Mpa) </t>
  </si>
  <si>
    <t>PIEDRA PARA CONCRETO CICLOPEO</t>
  </si>
  <si>
    <t xml:space="preserve">Concreto de 17,2 Mpa (2.500 PSI) </t>
  </si>
  <si>
    <t xml:space="preserve">Concreto de 20,7 Mpa (3.000 PSI) </t>
  </si>
  <si>
    <t xml:space="preserve">Concreto de 24,5 Mpa (3.500 PSI) </t>
  </si>
  <si>
    <t xml:space="preserve">Concreto de 27,6 Mpa (4.000 PSI) </t>
  </si>
  <si>
    <t xml:space="preserve">PIEDRA  </t>
  </si>
  <si>
    <t>Concreto de 20,7 Mpa (3.000 PSI) elevacion</t>
  </si>
  <si>
    <t>Concreto cilópeo (2.500 PSI - 17,2 Mpa) Cimentacion</t>
  </si>
  <si>
    <t>Concreto ciclópeo (2.500 PSI - 17,2 Mpa) Elevacion</t>
  </si>
  <si>
    <r>
      <t xml:space="preserve">ITEM: CONCRETO ELEVACION </t>
    </r>
    <r>
      <rPr>
        <b/>
        <u/>
        <sz val="8"/>
        <rFont val="Arial"/>
        <family val="2"/>
      </rPr>
      <t>(3.000 PSI - 20,7 Mpa)</t>
    </r>
  </si>
  <si>
    <t xml:space="preserve">ITEM: CONCRETO (3.000 PSI - 20,7 Mpa) SUPERESTRUCTURA </t>
  </si>
  <si>
    <t>ITEM: CONCRETO (3.000 PSI - 20,7 Mpa) IMPERMEABILIZADO</t>
  </si>
  <si>
    <t xml:space="preserve">Concreto 3.000 PSI  - Superestructura </t>
  </si>
  <si>
    <t>Concreto 3.000 PSI  - Impermeabilizado</t>
  </si>
  <si>
    <r>
      <t xml:space="preserve">ITEM: </t>
    </r>
    <r>
      <rPr>
        <b/>
        <u/>
        <sz val="8"/>
        <rFont val="Arial"/>
        <family val="2"/>
      </rPr>
      <t>CONCRETO 3.500 PSI (24,5 Mpa PRODUCCION)</t>
    </r>
  </si>
  <si>
    <t xml:space="preserve">Concreto de 24,5 Mpa (3.500 PSI) Estructruras </t>
  </si>
  <si>
    <t xml:space="preserve">ITEM: CONCRETO 3.500 PSI (24,5 Mpa PRODUCCION) ESTRUCTURAS </t>
  </si>
  <si>
    <t>Concreto de 27,6 Mpa (4.000 PSI) Estructura</t>
  </si>
  <si>
    <r>
      <t xml:space="preserve">ITEM: </t>
    </r>
    <r>
      <rPr>
        <b/>
        <u/>
        <sz val="8"/>
        <rFont val="Arial"/>
        <family val="2"/>
      </rPr>
      <t>CONCRETO 4.000 PSI (27,6 Mpa PRODUCCION)</t>
    </r>
  </si>
  <si>
    <t>SACO</t>
  </si>
  <si>
    <t>Alambre de pua calibre 12 (350 m)</t>
  </si>
  <si>
    <t>Vaselina</t>
  </si>
  <si>
    <t>Arbol de 1.20 MTS de Altura</t>
  </si>
  <si>
    <t>ITEM: CERCAS VIVAS (ESPECIES DIFERENTES)</t>
  </si>
  <si>
    <t>Plantula (Altura Promedio 0,90 MTS)</t>
  </si>
  <si>
    <t>ITEM: MANTENIMIENTO DE PLANTACIÓN EXISTENTE POR ÁREA, INCLUYE REPOSICIÓN DE PLÁNTULAS</t>
  </si>
  <si>
    <t>UNIDAD  : HA</t>
  </si>
  <si>
    <t>AYUDANTES (7)</t>
  </si>
  <si>
    <t>MOTOBOMBA SUMERGIBLE 3" CON MANGUERA</t>
  </si>
  <si>
    <t>Motobomba Sumergible 3" con Manguera</t>
  </si>
  <si>
    <t>Tarifa de Transporte</t>
  </si>
  <si>
    <t>Extendida y compactación  (sub base - base granular Medio Mecánico)</t>
  </si>
  <si>
    <t>ITEM: EXTENDIDA Y COMPACTACION (SUB BASE - BASE GRANULAR MEDIO MECANICO)</t>
  </si>
  <si>
    <t>formaleta Metalica Sardinel</t>
  </si>
  <si>
    <t>HERRAMIENTA MENOR (1O%MO)</t>
  </si>
  <si>
    <t>M</t>
  </si>
  <si>
    <t>Pintura Esmalte</t>
  </si>
  <si>
    <t xml:space="preserve">Arbol de 0.6 Mts de Altura </t>
  </si>
  <si>
    <t>DINAMITA INDUGEL PLUS O SIMILAR</t>
  </si>
  <si>
    <t>Dinamita Indugel Plus</t>
  </si>
  <si>
    <t>FULMINANTE</t>
  </si>
  <si>
    <t>Fulminante</t>
  </si>
  <si>
    <t>CORDON DETONANTE DE 12 gm</t>
  </si>
  <si>
    <t>Cordon Detonante de 12 gm</t>
  </si>
  <si>
    <t>Tabla para formaleta de 1"x10"x2,9m</t>
  </si>
  <si>
    <t>TABLA PARA FORMALETA DE 1"X10"X2,9M</t>
  </si>
  <si>
    <t>Liston sajo de 5x3 cm x 2,5 m (varilla)</t>
  </si>
  <si>
    <t>LISTON SAJO DE 5X3 CM X 2,5 M (varilla)</t>
  </si>
  <si>
    <t>PUNTILLA (PROMEDIO)</t>
  </si>
  <si>
    <t>Formaleta (CONCRETO)</t>
  </si>
  <si>
    <t>TABLA PARA FORMALETA DE 1" X 10" X 2,9 M</t>
  </si>
  <si>
    <t>CUARTÓN DE SAJO 2" X 4" X 2,9 M</t>
  </si>
  <si>
    <t>Cuartón de sajo 2" x 4" x 2,9 m</t>
  </si>
  <si>
    <t>ITEM: CAJA DE INSPECCION 60x60x100 Cmts EN LADRILLO, CONCRETO DE 2500 PSI Y TAPA REFORZADA EN CONCRETO DE 3000 PSI</t>
  </si>
  <si>
    <t>ANGULO DE 2" X 1/8"</t>
  </si>
  <si>
    <t>Caja de inspección 60 x 60 x 100 Cmts en Ladrillo, concreto de 2500 PSI y tapa reforzada en concreto de 3000 PSI</t>
  </si>
  <si>
    <t>Caja de inspección 80 x 60 x 100 Cmts, concreto de 2500 PSI y tapa reforzada en concreto de 3000 PSI</t>
  </si>
  <si>
    <t>ITEM: CAJA DE INSPECCION 80x60x100 Cmts, CONCRETO DE 2500 PSI Y TAPA REFORZADA EN CONCRETO DE 3000 PSI</t>
  </si>
  <si>
    <t>VARILLON DE SAJO</t>
  </si>
  <si>
    <t>TABLA PARA FORMALETA DE 1"x10"x2,9m</t>
  </si>
  <si>
    <t>LISTON SAJO DE 5x3 cm x 2,5 m</t>
  </si>
  <si>
    <t>PUNTILLA PROMEDIO</t>
  </si>
  <si>
    <t>Rotura pavimento flexible (incluye cargue a mano y retiro de sobrantes)</t>
  </si>
  <si>
    <t>Rotura pavimento rígido (incluye cargue a mano y retiro de sobrantes)</t>
  </si>
  <si>
    <t>ITEM: ROTURA PAVIMENTO FLEXIBLE (INCLUYE CARGUE A MANO Y RETIRO DE SOBRANTES)</t>
  </si>
  <si>
    <t>ITEM: ROTURA PAVIMENTO RIGIDO (INCLUYE CARGUE A MANO Y RETIRO DE SOBRANTES)</t>
  </si>
  <si>
    <t>BASE GRANULAR</t>
  </si>
  <si>
    <t>RECEBO</t>
  </si>
  <si>
    <t>RANA</t>
  </si>
  <si>
    <t>Cargue y Retiro de Sobrantes Hasta 8 KMTS A Mano</t>
  </si>
  <si>
    <t>ITEM: CARGUE Y RETIRO DE SOBRANTES HASTA 8 KMTS A MANO</t>
  </si>
  <si>
    <t>COMPARATIVO PRECIOS 2016 CON RESOLUSION ACTUAL</t>
  </si>
  <si>
    <t>Recebo</t>
  </si>
  <si>
    <t>Piedra Rajon</t>
  </si>
  <si>
    <t>Cargue de Sobrantes a Maquina</t>
  </si>
  <si>
    <t>ITEM: CARGUE DE SOBRANTES A MAQUINA</t>
  </si>
  <si>
    <t>Disposicion Final de Sobrantes en Escombrera Autorizada</t>
  </si>
  <si>
    <t>ITEM: DISPOSICION FINAL DE SOBRANTES EN ESCOMBRERA AUTORIZADA</t>
  </si>
  <si>
    <t>Concreto de 13,8 Mpa (2.000 PSI) PARA SOLADO</t>
  </si>
  <si>
    <t>ITEM: INSTALACION Y SUMINISTRO DE CONCRETO DE 13,8 Mpa (2.000 PSI) PARA SOLADO</t>
  </si>
  <si>
    <t xml:space="preserve">ITEM: DE 0 A 2 MTS DE DIAMETRO 14" </t>
  </si>
  <si>
    <t>Gravilla</t>
  </si>
  <si>
    <t xml:space="preserve">SUB-BASE GRANULAR </t>
  </si>
  <si>
    <t>GRAVA</t>
  </si>
  <si>
    <t>Suministro e Instalacion Lecho en Grava para Cama de Tuberia D= 1/2 a 3/4</t>
  </si>
  <si>
    <t>ITEM: SUMINISTRO E INSTALACION LECHO EN GRAVA  PARA CAMA DE TUBERIA D=1/2 A 3/4</t>
  </si>
  <si>
    <t>SUB BASE GRANULAR</t>
  </si>
  <si>
    <t>Arotapa vibrocompactada</t>
  </si>
  <si>
    <t xml:space="preserve">AROTAPA </t>
  </si>
  <si>
    <t>Suministro e instalación Arotapa Vibrocompactada</t>
  </si>
  <si>
    <t>ITEM: SUMINISTRO E INSTALACION AROTAPA VIBROCOMPACTADA TRAFICO PESADO</t>
  </si>
  <si>
    <t>Mantenimiento de Plantacion Existente, Incluye Reposicion de Plantulas</t>
  </si>
  <si>
    <t>ATRAQUES</t>
  </si>
  <si>
    <t xml:space="preserve">De Diametro 14" </t>
  </si>
  <si>
    <t xml:space="preserve">De Diametro 8"  </t>
  </si>
  <si>
    <t xml:space="preserve">De Diametro 10" </t>
  </si>
  <si>
    <t xml:space="preserve">De Diametro 12" </t>
  </si>
  <si>
    <t xml:space="preserve">De Diametro 16" </t>
  </si>
  <si>
    <t xml:space="preserve">De Diametro 18" </t>
  </si>
  <si>
    <t xml:space="preserve">De Diametro 20" </t>
  </si>
  <si>
    <t xml:space="preserve">ITEM: DE 2 A 4 MTS DE DIAMETRO 14" </t>
  </si>
  <si>
    <t>TUBERÍA PVC SANITARIA DE 14"</t>
  </si>
  <si>
    <t xml:space="preserve">De Diametro 6"   </t>
  </si>
  <si>
    <t xml:space="preserve">ITEM: DE 0 A 2 MTS DE DIAMETRO 12" </t>
  </si>
  <si>
    <t xml:space="preserve">ITEM: DE 0 A 2 MTS DE DIAMETRO 8" </t>
  </si>
  <si>
    <t xml:space="preserve">ITEM: DE 0 A 2 MTS DE DIAMETRO 10" </t>
  </si>
  <si>
    <t xml:space="preserve">ITEM: DE 0 A 2 MTS DE DIAMETRO 16" </t>
  </si>
  <si>
    <t xml:space="preserve">ITEM: DE 0 A 2 MTS DE DIAMETRO 18" </t>
  </si>
  <si>
    <t xml:space="preserve">ITEM: DE 0 A 2 MTS DE DIAMETRO 20" </t>
  </si>
  <si>
    <t xml:space="preserve">ITEM: DE 2 A 4 MTS DE DIAMETRO 10" </t>
  </si>
  <si>
    <t xml:space="preserve">ITEM: DE 2 A 4 MTS DE DIAMETRO 8" </t>
  </si>
  <si>
    <t>AROTAPA VIBROCOMPACTADA</t>
  </si>
  <si>
    <t>SUB - BASE GRANULAR</t>
  </si>
  <si>
    <t xml:space="preserve">HERRAMIENTA MENOR </t>
  </si>
  <si>
    <t>MEZCLA ASFALTICA</t>
  </si>
  <si>
    <t>Mezcla densa en caliente</t>
  </si>
  <si>
    <t>RIEGO DE LIGA (EMULSION, CRUDO, ETC.)</t>
  </si>
  <si>
    <t>Parcheo de  pavimento asfáltico - (Incluye imprimación o riego de liga, suministro, extendida y compactación de la mezcla asfáltica)</t>
  </si>
  <si>
    <t>13,1,5</t>
  </si>
  <si>
    <t>13,1,6</t>
  </si>
  <si>
    <t>13,1,7</t>
  </si>
  <si>
    <t>13,1,8</t>
  </si>
  <si>
    <t>13,1,9</t>
  </si>
  <si>
    <t>13,1,10</t>
  </si>
  <si>
    <t>13,1,11</t>
  </si>
  <si>
    <t>13,1,12</t>
  </si>
  <si>
    <t>13,1,13</t>
  </si>
  <si>
    <t xml:space="preserve">ITEM: DE 2 A 4 MTS DE DIAMETRO 12" </t>
  </si>
  <si>
    <t>14,1,4</t>
  </si>
  <si>
    <t xml:space="preserve">ITEM: DE 2 A 4 MTS DE DIAMETRO 16" </t>
  </si>
  <si>
    <t>14,1,5</t>
  </si>
  <si>
    <t>14,1,6</t>
  </si>
  <si>
    <t xml:space="preserve">ITEM: DE 2 A 4 MTS DE DIAMETRO 18" </t>
  </si>
  <si>
    <t>14,1,7</t>
  </si>
  <si>
    <t xml:space="preserve">ITEM: DE 2 A 4 MTS DE DIAMETRO 20" </t>
  </si>
  <si>
    <t>14,1,8</t>
  </si>
  <si>
    <t>14,1,9</t>
  </si>
  <si>
    <t>14,1,10</t>
  </si>
  <si>
    <t>14,1,11</t>
  </si>
  <si>
    <t>14,1,12</t>
  </si>
  <si>
    <t xml:space="preserve">ITEM: DE 0 A 2 MTS DE DIAMETRO 6" </t>
  </si>
  <si>
    <t>15,1,5</t>
  </si>
  <si>
    <t>15,1,6</t>
  </si>
  <si>
    <t>15,1,7</t>
  </si>
  <si>
    <t>15,1,8</t>
  </si>
  <si>
    <t>16,1,4</t>
  </si>
  <si>
    <t>16,1,5</t>
  </si>
  <si>
    <t>16,1,6</t>
  </si>
  <si>
    <t>16,1,7</t>
  </si>
  <si>
    <t>GRUA</t>
  </si>
  <si>
    <t>Compresor con un martillo</t>
  </si>
  <si>
    <t>Mezcladora De Concreto (1Bulto)</t>
  </si>
  <si>
    <t>Vibrador Concreto eléctrico</t>
  </si>
  <si>
    <t>Retroexcavadora llanta</t>
  </si>
  <si>
    <t>ok</t>
  </si>
  <si>
    <t>0K</t>
  </si>
  <si>
    <t>GBL</t>
  </si>
  <si>
    <t>$/Hora</t>
  </si>
  <si>
    <t>PRECIO 2</t>
  </si>
  <si>
    <t>ESPECIFICACIÓN: 20,41</t>
  </si>
  <si>
    <t>CODALES DE MADERA d=0,15m</t>
  </si>
  <si>
    <t>Codales de madera d=0,15m</t>
  </si>
  <si>
    <t>Planchon 0,2x0,04x3m</t>
  </si>
  <si>
    <t>VIGA ORDINARIA 0,2X0,1X4M</t>
  </si>
  <si>
    <t>Codales Metalicos w 8"x17</t>
  </si>
  <si>
    <t>PERFIL 2W 8"X17</t>
  </si>
  <si>
    <t>Perfil Metalico w8"x17</t>
  </si>
  <si>
    <t xml:space="preserve">MAESTRO </t>
  </si>
  <si>
    <t>1,7 S.M.L.V + S. TRANS</t>
  </si>
  <si>
    <t xml:space="preserve">2.5 S.M.L.V </t>
  </si>
  <si>
    <t>Accesorios</t>
  </si>
  <si>
    <t>$/Dia</t>
  </si>
  <si>
    <t>PRECIOS EQUIPOS 2016</t>
  </si>
  <si>
    <t>Diferencial</t>
  </si>
  <si>
    <t>SUMINISTRO E INSTALACION DE TUBERIA DE CONCRETO CERTIFICADO NORMA 1022 CLASE 2 UNION CAUCHO</t>
  </si>
  <si>
    <t>SUMINISTRO E INSTALACION DE TUBERIA DE CONCRETO CERTIFICADO NORMA 1022 CLASE 2 UNION DE CAUCHO</t>
  </si>
  <si>
    <t>SUMINISTRO E INSTALACION DE TUBERIA DE CONCRETO CERTIFIADO NORMA 401 CLASE 2 UNION DE CAUCHO</t>
  </si>
  <si>
    <t>TIENEN AUXILIO DE TRANSPORTE HASTA 2 S.M.L.V</t>
  </si>
  <si>
    <t>V/UNITARIO 2016</t>
  </si>
  <si>
    <t>Volqueta (Tarifa de Transporte)</t>
  </si>
  <si>
    <t>Base en planta</t>
  </si>
  <si>
    <t xml:space="preserve">Sub-Base </t>
  </si>
  <si>
    <t>Malla para gaviones (2X1X1M)  calibre 12  hueco 10 X 10 cm</t>
  </si>
  <si>
    <t>MALLA PARA GAVIONES (2x1x1M) Cal 12</t>
  </si>
  <si>
    <t>Tierra Negra</t>
  </si>
  <si>
    <t>TIERRA negra</t>
  </si>
  <si>
    <t xml:space="preserve">RETROEXCAVADORA </t>
  </si>
  <si>
    <t>ACERO A:60</t>
  </si>
  <si>
    <t>PLÁNTA</t>
  </si>
  <si>
    <t>ESPECIFICACIÓN: 9,34</t>
  </si>
  <si>
    <t>ESPECIFICACIÓN: 9,35</t>
  </si>
  <si>
    <t xml:space="preserve">Formaleta Metalica </t>
  </si>
  <si>
    <t>TABLA BURRA ORDINARIA DE 25 cms</t>
  </si>
  <si>
    <r>
      <t>UNIDAD  : M</t>
    </r>
    <r>
      <rPr>
        <b/>
        <vertAlign val="superscript"/>
        <sz val="8"/>
        <rFont val="Arial"/>
        <family val="2"/>
      </rPr>
      <t>2</t>
    </r>
  </si>
  <si>
    <t>ITEM: ENTIBADO TIPO 1A (DISCONTINUO EN MADERA)</t>
  </si>
  <si>
    <t>ESPECIFICACIÓN: 20,42</t>
  </si>
  <si>
    <t>TABLERO DE 0.7* 1,4 EN TABLA CHAPA</t>
  </si>
  <si>
    <r>
      <t>M</t>
    </r>
    <r>
      <rPr>
        <vertAlign val="superscript"/>
        <sz val="8"/>
        <rFont val="Arial"/>
        <family val="2"/>
      </rPr>
      <t>2</t>
    </r>
  </si>
  <si>
    <t>MADERA ROLLIZA (VARA)</t>
  </si>
  <si>
    <t>ITEM: ENTIBADO TIPO 2 (CONTINUO EN MADERA)</t>
  </si>
  <si>
    <t>ESPECIFICACIÓN: 20,43</t>
  </si>
  <si>
    <t>ESPECIFICACIÓN: 20,44</t>
  </si>
  <si>
    <t>ITEM: ENTIBADO TIPO 3 (METALICO) CON TABLEROS</t>
  </si>
  <si>
    <t>RETROEXCAVADORA</t>
  </si>
  <si>
    <t>TABLERO METALICO</t>
  </si>
  <si>
    <t>GATO METALICO</t>
  </si>
  <si>
    <t>UN</t>
  </si>
  <si>
    <t>Entibado Tipo 1 (Apuntalamiento)</t>
  </si>
  <si>
    <t>Entibado Tipo 1A (Discontinuo en Madera)</t>
  </si>
  <si>
    <t>Entibado Tipo 2 (Continuo en Madera)</t>
  </si>
  <si>
    <t>Entibado Tipo 3 (Metalico) Con Tableros</t>
  </si>
  <si>
    <t xml:space="preserve">ITEM: ENTIBADO TIPO 1 (APUNTALAMIENTO) </t>
  </si>
  <si>
    <t>LA TABLA BURRA Y EL CODAL TIENE UNA REUTILIZACION DE 10 VECES</t>
  </si>
  <si>
    <t>EL TABLERO TIENE UN REUSO DE 10 VECES, EL CODAL TIENE UNA REUTILIZACION DE 5 VECES</t>
  </si>
  <si>
    <t>LA TABLA BURRA SU REUSO ES DE 20 VECES</t>
  </si>
  <si>
    <t>TUBERIA RDE 21 UNION MECANICA</t>
  </si>
  <si>
    <t>TUBERIA RDE 26 UNION MECANICA</t>
  </si>
  <si>
    <t>VR.UNITARIO AÑO 2016</t>
  </si>
  <si>
    <t>VR. UNITARIO 2016 SIN A.I.U</t>
  </si>
  <si>
    <t>V.R UNITARIO R. 0199 2014 SIN A.I.U</t>
  </si>
  <si>
    <r>
      <t>UNIDAD  : M</t>
    </r>
    <r>
      <rPr>
        <b/>
        <vertAlign val="superscript"/>
        <sz val="8"/>
        <rFont val="Arial"/>
        <family val="2"/>
      </rPr>
      <t>3</t>
    </r>
  </si>
  <si>
    <t>ACUEDUCTO COMPLEMENTARIO FASE I, DESDE BOCATOMA CÓCORA HASTA EL Km 4,7</t>
  </si>
  <si>
    <t>ÍTEM</t>
  </si>
  <si>
    <t>DESCRIPCIÓN</t>
  </si>
  <si>
    <t>CANT</t>
  </si>
  <si>
    <t>EXCAVACIONES</t>
  </si>
  <si>
    <t xml:space="preserve">Localizacion y Replanteo </t>
  </si>
  <si>
    <t>1,2,1</t>
  </si>
  <si>
    <t>1,2,1,1</t>
  </si>
  <si>
    <t>1,2,1,2</t>
  </si>
  <si>
    <t>1,2,1,3</t>
  </si>
  <si>
    <t>1,2,2</t>
  </si>
  <si>
    <t>1,2,2,1</t>
  </si>
  <si>
    <t>1,2,2,2</t>
  </si>
  <si>
    <t>1,2,2,3</t>
  </si>
  <si>
    <t>1,3,1</t>
  </si>
  <si>
    <t>1,3,1,1</t>
  </si>
  <si>
    <t>1,3,1,2</t>
  </si>
  <si>
    <t>1,3,2</t>
  </si>
  <si>
    <t>1,3,2,1</t>
  </si>
  <si>
    <t>1,3,2,2</t>
  </si>
  <si>
    <t>1,3,3</t>
  </si>
  <si>
    <t>1,3,3,1</t>
  </si>
  <si>
    <t>1,3,3,2</t>
  </si>
  <si>
    <t>1,3,4</t>
  </si>
  <si>
    <t>De  2 a 4 mts Bajo Agua</t>
  </si>
  <si>
    <t>1,3,4,1</t>
  </si>
  <si>
    <t>1,3,4,2</t>
  </si>
  <si>
    <t>RELLENOS</t>
  </si>
  <si>
    <t xml:space="preserve">Suministro E Instalación Lecho En Gravilla Para Tubería. </t>
  </si>
  <si>
    <t>CONCRETOS Y ACEROS</t>
  </si>
  <si>
    <t>Concreto 2000 PSI para solado</t>
  </si>
  <si>
    <t>Concreto 3000 PSI Cimentacion</t>
  </si>
  <si>
    <t>Concreto 4000 PSI Estructura</t>
  </si>
  <si>
    <t>3,4,1</t>
  </si>
  <si>
    <t>Hierro de refuerzo figurado e instalado A: 60</t>
  </si>
  <si>
    <t xml:space="preserve">SISTEMAS PARA VENTOSAS Y PURGAS (VER REFERENCIA EN LOS PLANOS ANEXOS) </t>
  </si>
  <si>
    <t>Sistemas para ventosas</t>
  </si>
  <si>
    <t>4,1,1</t>
  </si>
  <si>
    <t>Diámetro 8"</t>
  </si>
  <si>
    <t>4,1,2</t>
  </si>
  <si>
    <t>Diámetro 6"</t>
  </si>
  <si>
    <t>4,1,3</t>
  </si>
  <si>
    <t>Diámetro 10"</t>
  </si>
  <si>
    <t>Sistemas para Purgas</t>
  </si>
  <si>
    <t>4,2,1</t>
  </si>
  <si>
    <t>SUMINISTRO E INSTALACIÓN DE SISTEMA DE PURGA CON UNA PLATINA DE ORIFICIO incluye salida  tangencial según diseños.  El  valor   cotizado  no  incluye el  precio del codo donde va instalada la salida. Diámetro 8" y Presión de Trabajo  100 Psi</t>
  </si>
  <si>
    <t>4,2,2</t>
  </si>
  <si>
    <t>SUMINISTRO E INSTALACIÓN DE SISTEMA DE PURGA CON TRES PLATINAS DE ORIFICIO incluye salida  tangencial según diseños.  El  valor   cotizado  no  incluye el  precio del codo donde va instalada la salida. Diámetro 8" y Presión de Trabajo  100 Psi</t>
  </si>
  <si>
    <t>4,2,3</t>
  </si>
  <si>
    <t>SUMINISTRO E INSTALACIÓN DE SISTEMA DE PURGA CON TRES PLATINAS DE ORIFICIO incluye salida  tangencial según diseños.  El  valor   cotizado  no  incluye el  precio del codo donde va instalada la salida. Diámetro 8" y Presión de Trabajo  150 Psi</t>
  </si>
  <si>
    <t>4,2,4</t>
  </si>
  <si>
    <t>SUMINISTRO E INSTALACIÓN DE SISTEMA DE PURGA CON TRES PLATINAS DE ORIFICIO incluye salida  tangencial según diseños.  El  valor   cotizado  no  incluye el  precio del codo donde va instalada la salida. Diámetro 8" y Presión de Trabajo  200 Psi</t>
  </si>
  <si>
    <t>4,2,5</t>
  </si>
  <si>
    <t>SUMINISTRO E INSTALACIÓN DE SISTEMA DE PURGA CON TRES PLATINAS DE ORIFICIO incluye salida  tangencial según diseños.  El  valor   cotizado  no  incluye el  precio del codo donde va instalada la salida. Diámetro 8" y Presión de Trabajo  250 Psi</t>
  </si>
  <si>
    <t>4,2,6</t>
  </si>
  <si>
    <t>SUMINISTRO E INSTALACIÓN DE SISTEMA DE PURGA CON TRES PLATINAS DE ORIFICIO incluye salida  tangencial según diseños.  El  valor   cotizado  no  incluye el  precio del codo donde va instalada la salida. Diámetro 8" y Presión de Trabajo  300 Psi</t>
  </si>
  <si>
    <t>Aro Tapa Basculante con sistema de seguridad para cajas</t>
  </si>
  <si>
    <t>Escalera de Gato Para Cajas de Ventosas, Purgas y Bocas de Acceso</t>
  </si>
  <si>
    <t>INSTALACIÓN DE TUBERÍAS</t>
  </si>
  <si>
    <t>Tubería en 36" con presiones de 100 a 350 psi peso promedio Aproximado 2,8 Ton. Longitud de 6 Mts tubería CCP Norma AWWA C303 -2002 y NTC 747</t>
  </si>
  <si>
    <t>Pruebas hidrostáticas incluye Accesorios (Tapones, salidas y cinturones de cierre, longitud máxima para la prueba 1000 metros) presión de la prueba 20% más de la presión de trabajo</t>
  </si>
  <si>
    <t>Ml</t>
  </si>
  <si>
    <t>SUMINISTRO E INSTALACIÓN DE PIEZAS ESPECIALES  TUBERÍA 36"</t>
  </si>
  <si>
    <t>Compuerta Metálica de 1,20 x 1,20 medida en metros incluye guías, Vástago, Torre de Manejo y Volante.</t>
  </si>
  <si>
    <t>Codos en acero de 36" con revestimiento interior y exterior en mortero de cemento, presiones entre 100 y 300 PSI Para acoplar a tubería CCP Norma AWWA C-303- 2002 y NTC 747</t>
  </si>
  <si>
    <t>6,2,1</t>
  </si>
  <si>
    <t xml:space="preserve">De 6º a 22.5º </t>
  </si>
  <si>
    <t>6,2,2</t>
  </si>
  <si>
    <t>De 22.5º a 45º</t>
  </si>
  <si>
    <t>6,2,3</t>
  </si>
  <si>
    <t>De 45º a 67.5º</t>
  </si>
  <si>
    <t>6,2,4</t>
  </si>
  <si>
    <t>De 67.5º a 90º</t>
  </si>
  <si>
    <t>Tees en acero de 36" x 24" para bocas de inspección para presiones de 100 a 300PSI Para acoplar a tubería CCP Norma AWWA C-303- 2002 y NTC 747</t>
  </si>
  <si>
    <t>Suministro e Instalación Cinturones de  cierre  en  acero  de  diametro  36",  Longitud 0.30 metros aproximado Diametro 36". Presion de Trabajo hasta 200 Psi.</t>
  </si>
  <si>
    <t>Suministro e instalación Cinturones de  cierre  en  acero  de  diametro  36", Longitud 0.30 metros aproximada. Diametro 36". Presion de Trabajo Entre 201 y 250 Psi</t>
  </si>
  <si>
    <t>Suministro e Instalación Cinturones de  cierre  en  acero  de  diametro  36",  Longitud 0.30 metros aproximado Diametro 36". Presion de Trabajo Entre 251 y 300 Psi.</t>
  </si>
  <si>
    <t>Suministro e instalación de espigos  lisos  para cinturón de cierre en acero con revestimiento interior en mortero  de cemento  y recubrimiento  exterior   en   pintura   anticorrosiva, instalados en fábrica  de American Pipe de Bogotá  en los tubos  cortos   y los codos de CCP de 36”, longitudes de 0.20 metros aproximada. No incluye el valor del   tubo   corto   ni   del   codo CCP de 36”   donde   van instalados los espigos  lisos. Diámetro 36", Presión de Trabajo Hasta 200 Psi</t>
  </si>
  <si>
    <t>Suministro e instalación de espigos  lisos  para cinturón de cierre en acero con revestimiento interior en mortero  de cemento  y recubrimiento  exterior   en   pintura   anticorrosiva, instalados en fábrica  de American Pipe de Bogotá  en los tubos  cortos   y los codos de CCP de 36”, longitudes de 0.20 metros aproximada. No incluye el valor del   tubo   corto   ni   del   codo CCP de 36”   donde   van instalados los espigos  lisos. Diámetro 36", Presión de Trabajo Entre 201 y 250 Psi.</t>
  </si>
  <si>
    <t>Suministro e instalación de espigos  lisos  para cinturón de cierre en acero con revestimiento interior en mortero  de cemento  y recubrimiento  exterior   en   pintura   anticorrosiva, instalados en fábrica  de American Pipe de Bogotá  en los tubos  cortos   y los codos de CCP de 36”, longitudes de 0.20 metros aproximada. No incluye el valor del   tubo   corto   ni   del   codo CCP de 36”   donde   van instalados los espigos  lisos. Diámetro 36", Presión de Trabajo Entre 251 y 300 Psi.</t>
  </si>
  <si>
    <t>SUMINISTRO E INSTALACIÓN DE ACCESORIOS PARA VÁLVULA DE GUARDA DE 36" CON BY PASS DE 6" K0+010.22 PRESION DE TRABAJO 100 PSI. Niple  pasamuro en acero  con  campana  AP y brida,  una  salida normal   de   diámetro   6"    con    brida    para    By   Pass,    con revestimiento interior en  mortero de cemento  y recubrimiento exterior en mortero en la zona  que va enterrado y con  pintura epoxica en la zona  dentro  de la caja, Bridas  AWWA C207 Clase D, Diámetro 36", Longitud aprox. 1.50 metros.</t>
  </si>
  <si>
    <t>SUMINISTRO INSTALACIÓN ACCESORIOS PARA VÁLVULA DE GUARDA DE 36" CON BY PASS DE 6" K0+010.22 PRESION DE TRABAJO 100 PSI. Niple  pasamuro en acero  con  campana  AP y brida,  una  salida normal   de   diámetro   6"    con    brida    para    By   Pass,    con revestimiento interior en  mortero de cemento  y recubrimiento exterior en mortero en la zona  que va enterrado y con  pintura epoxica en la zona  dentro  de la caja. Bridas  AWWA C207 Clase D, Diámetro 36", Longitud aprox. 1.30 metros</t>
  </si>
  <si>
    <t>SUMINISTRO INSTALACIÓN ACCESORIOS PARA VÁLVULA DE GUARDA DE 36" CON BY PASS DE 6" K0+010.22 PRESION DE TRABAJO 100 PSI. Válvula  Mariposa de diámetro 36" con bridas. (Incluye un juego de espárragos, tuercas  y empaque)</t>
  </si>
  <si>
    <t xml:space="preserve">SUMINISTRO INSTALACIÓN ACCESORIOS PARA VÁLVULA DE GUARDA DE 36" CON BY PASS DE 6" K0+010.22 PRESION DE TRABAJO 100 PSI. Accesorios en acero para By Pass de diámetro 6" de la válvula incluye: Dos válvulas de compuerta de 6” con extremos  bridados, dos codos  de 90° de 6” con  bridas, una  válvula  de globo  de 6” con brida, una unión de desmontaje de 6” rígida,  un niple de 6”  con  bridas  de L=0.30 metros  de longitud aprox. con espárragos  tuercas y empaques. </t>
  </si>
  <si>
    <t>SUMINISTRO INSTALACIÓN ACCESORIOS PARA VÁLVULA DE GUARDA DE 36" CON BY PASS DE 6" K0+010.22 PRESION DE TRABAJO 100 PSI. Accesorios en acero para By Pass de diámetro 6" de la válvula incluye: Dos válvulas de compuerta de 6” con extremos  bridados, dos codos  de 90° de 6” con  bridas, una  válvula  de globo  de 6” con brida, una unión de desmontaje de 6” rígida,  un niple de 6”  con  bridas  de L=0.30 metros  de longitud aprox. con espárragos  tuercas y empaques.</t>
  </si>
  <si>
    <t xml:space="preserve">SUMINISTRO INSTALACIÓN ACCESORIOS PARA VÁLVULA DE GUARDA DE 36" CON BY PASS DE 6" K3+391.86 PRESION DE TRABAJO 250 PSI.  Niple  pasamuro en acero  con  campana  AP y brida,  una  salida normal   de   diámetro   6"    con    brida    para    By   Pass,    con revestimiento interior en  mortero de cemento  y recubrimiento exterior en mortero en la zona  que va enterrado y con  pintura epoxica en la zona  dentro  de la caja, Bridas  AWWA C207 Clase E, Diámetro 36" Longitud aprox. 1.50 metros. </t>
  </si>
  <si>
    <t>SUMINISTRO INSTALACIÓN ACCESORIOS PARA VÁLVULA DE GUARDA DE 36" CON BY PASS DE 6" K3+391.86 PRESION DE TRABAJO 250 PSI. Niple  pasamuro en acero  con  campana  AP y brida,  una  salida normal   de   diámetro   6"    con    brida    para    By   Pass,    con revestimiento interior en  mortero de cemento  y recubrimiento exterior en mortero en la zona  que va enterrado y con  pintura epoxica en la zona  dentro  de la caja. Bridas  AWWA C207 Clase E, Diámetro 36" Longitud aprox. 1.30 metros.</t>
  </si>
  <si>
    <t>SUMINISTRO INSTALACIÓN ACCESORIOS PARA VÁLVULA DE GUARDA DE 36" CON BY PASS DE 6" K3+391.86 PRESION DE TRABAJO 250 PSI. Válvula  Mariposa de diámetro 36" con bridas. (Incluye un juego de espárragos, tuercas  y empaque)</t>
  </si>
  <si>
    <t>SUMINISTRO INSTALACIÓN ACCESORIOS PARA VÁLVULA DE GUARDA DE 36" CON BY PASS DE 6" K3+391.86 PRESION DE TRABAJO 250 PSI. Accesorios en acero para By Pass de diámetro 6" de la válvula incluye: Dos válvulas de compuerta de 6” con extremos  bridados, dos codos  de 90° de 6” con  bridas, una  válvula  de globo  de 6” con brida, una unión de desmontaje de 6” rígida,  un niple de 6”  con  bridas  de L=0.30 metros  de longitud aprox. con espárragos  tuercas y empaques.</t>
  </si>
  <si>
    <t>SUMINISTRO INSTALACIÓN ACCESORIOS PARA VÁLVULA DE GUARDA DE 36" CON BY PASS DE 6" K3+391.86 PRESION DE TRABAJO 250 PSI. Unión  de Desmontaje rígida  de diámetro 36"", fabricada en  acero recubierta con  pintura  epóxica.  (Incluye los espárragos, tuercas  y empaques).</t>
  </si>
  <si>
    <t>Suministro e Instalación Junta de expansión de diámetro 36", revestida interior y exteriormente con pintura epoxica, incluye anillo superior e inferior en platina 13 mm., anillos en platina de 1 1/4", cáncamos de izaje y espárragos de 1"x16" y espigo liso de soporte con platina en acero inoxidable de 5mm y empaque de 19mm, Presión de Trabajo hasta 200 Psi, Para tubería paso elevado.</t>
  </si>
  <si>
    <t>Suministro e Instalación Junta de expansión de diámetro 36", revestida interior y exteriormente con pintura epoxica, incluye anillo superior e inferior en platina 13 mm., anillos en platina de 1 1/4", cáncamos de izaje y espárragos de 1"x16" y espigo liso de soporte con platina en acero inoxidable de 5mm y empaque de 19mm, Presión de Trabajo hasta 250 Psi, Para tubería paso Elevado.</t>
  </si>
  <si>
    <t>Suministro e Instalación Niple en acero de diámetro 36" extremo liso soldado en fabrica a tubo de acero, con espigo o campana AP, revestido interiormente con mortero de cemento y recubierto exteriormente en mortero de cemento. L= 1.00m. Presión de Trabajo hasta 250 Psi. No incluye el valor del tubo de acero al cual va soldado el niple. Para Junta de Expansión.</t>
  </si>
  <si>
    <t>Suministro e Instalación Niple en acero de diámetro 36" extremo liso soldado en fabrica a tubo de acero, con espigo o campana AP, revestido interiormente con mortero de cemento y recubierto exteriormente en mortero de cemento. L= 0.50 m, Presión de Trabajo hasta 250 Psi. No incluye el valor del tubo de acero CCP de 36” al cual va soldado el niple. Para junta de expansión.</t>
  </si>
  <si>
    <t>PASOS SUBFLUVIALES</t>
  </si>
  <si>
    <t xml:space="preserve">Instalación Tubería CCP de 36" </t>
  </si>
  <si>
    <t>Manejo de Aguas</t>
  </si>
  <si>
    <t>PASO SUBFLUVIAL</t>
  </si>
  <si>
    <t>7,3,1</t>
  </si>
  <si>
    <t>Concreto 4000 PSI impermeabilizante integral y Acelerante</t>
  </si>
  <si>
    <t>7,3,2</t>
  </si>
  <si>
    <t>Enrocado de protección de orillas con piedra D=0,80 mts aproximado</t>
  </si>
  <si>
    <t>7,3,3</t>
  </si>
  <si>
    <t>Suministro E Instalación De Tubería De 24" Vibrocentrifugada</t>
  </si>
  <si>
    <t>7,3,4</t>
  </si>
  <si>
    <t>Concreto De  Elevaciòn 3000 PSI</t>
  </si>
  <si>
    <t>PASOS ELEVADOS</t>
  </si>
  <si>
    <t>Suministro e Instalación Tubería en acero de 36" (WSP con revestimiento interior en mortero y pintura epóxica exterior) de 250 PSI</t>
  </si>
  <si>
    <t xml:space="preserve">Suministro e instalación de Viaducto en Estructura metálica según diseños. </t>
  </si>
  <si>
    <t>Kg</t>
  </si>
  <si>
    <t>CAISSION</t>
  </si>
  <si>
    <t>8,3,1</t>
  </si>
  <si>
    <t>Excavaciones a mano para Caission en material común diametro 1,90 m</t>
  </si>
  <si>
    <t>8,3,2</t>
  </si>
  <si>
    <t>Suministro e instalacion de concreto de 3000 PSI para anillo de Caisson diametro 1,90 mtrs y E=0,10 m</t>
  </si>
  <si>
    <t>8,3,3</t>
  </si>
  <si>
    <t>Suministro e instalación de Concreto de 4000 PSI para caisson</t>
  </si>
  <si>
    <t>8,3,4</t>
  </si>
  <si>
    <t>Concreto ciclopeo</t>
  </si>
  <si>
    <t>TUNEL</t>
  </si>
  <si>
    <t>Construcción de túnel revestido con láminas metálicas negras tunnel Liner, diámetro interno útil 1,448 mm calibre 14, según estudios y diseños,</t>
  </si>
  <si>
    <t>PLAN DE MANEJO AMBIENTAL</t>
  </si>
  <si>
    <t>Taller de información y comunicación a la comunidad</t>
  </si>
  <si>
    <t xml:space="preserve">Acta de vecindad </t>
  </si>
  <si>
    <t>Cerca En alambre de Puas 4 Hilos</t>
  </si>
  <si>
    <t>Descapote</t>
  </si>
  <si>
    <t>Tala de árboles con altura entre 2 y 5 metros</t>
  </si>
  <si>
    <t>Tala de árboles con altura entre 5 y 10 metros</t>
  </si>
  <si>
    <t>Tala de árboles con altura entre 10 y 20 metros</t>
  </si>
  <si>
    <t>Tala de árboles con altura entre 20 y 30 metros</t>
  </si>
  <si>
    <t>Empradizacion areas intervenidas</t>
  </si>
  <si>
    <t xml:space="preserve">Baños Móviles </t>
  </si>
  <si>
    <t>Und-Mes</t>
  </si>
  <si>
    <t>OBRAS DE ESTABILIZACIÓN</t>
  </si>
  <si>
    <t>PI-14 - K0+984,46</t>
  </si>
  <si>
    <t>11,1,1</t>
  </si>
  <si>
    <t>11,1,1,1</t>
  </si>
  <si>
    <t>11,1,1,1,1</t>
  </si>
  <si>
    <t>11,1,1,1,2</t>
  </si>
  <si>
    <t>11,1,1,2</t>
  </si>
  <si>
    <t>11,1,1,2,1</t>
  </si>
  <si>
    <t>11,1,1,2,2</t>
  </si>
  <si>
    <t>11,1,1,3</t>
  </si>
  <si>
    <t>11,1,1,3,1</t>
  </si>
  <si>
    <t>11,1,1,3,2</t>
  </si>
  <si>
    <t>11,1,1,3,3</t>
  </si>
  <si>
    <t>Perfilada Talud a mano</t>
  </si>
  <si>
    <t>11,1,2</t>
  </si>
  <si>
    <t>11,1,2,1</t>
  </si>
  <si>
    <t>11,1,2,2</t>
  </si>
  <si>
    <t>11,1,3</t>
  </si>
  <si>
    <t>11,1,3,1</t>
  </si>
  <si>
    <t>Concreto 4000 psi, pantalla</t>
  </si>
  <si>
    <t>11,1,3,2</t>
  </si>
  <si>
    <t>Concreto 3000 psi, lanzado</t>
  </si>
  <si>
    <t>11,1,3,3</t>
  </si>
  <si>
    <t>11,1,4</t>
  </si>
  <si>
    <t>11,1,4,1</t>
  </si>
  <si>
    <t>Malla Electrosoldada para estabilización de talud</t>
  </si>
  <si>
    <t>11,1,4,2</t>
  </si>
  <si>
    <t>Suministro e instalación de Pernos en varilla Ø 1”, Ø 1 1/4" para estabilización de talud</t>
  </si>
  <si>
    <t>11,1,4,3</t>
  </si>
  <si>
    <t>Relleno en material organico</t>
  </si>
  <si>
    <t>11,1,4,4</t>
  </si>
  <si>
    <t>11,1,4,5</t>
  </si>
  <si>
    <t>Perforaciones para pernos  1" y 1 1/4"</t>
  </si>
  <si>
    <t>11,1,4,6</t>
  </si>
  <si>
    <t>Mortero alta resistencia</t>
  </si>
  <si>
    <t>11,1,4,7</t>
  </si>
  <si>
    <t>Inyeccion Por Bulto De Cemento</t>
  </si>
  <si>
    <t>BLT</t>
  </si>
  <si>
    <t>11,1,4,8</t>
  </si>
  <si>
    <t>PI-44 - K2+689,84</t>
  </si>
  <si>
    <t>Enrocado de protección de MURO CONCRETO Φ= 0,30 - 0,40 m aproximado</t>
  </si>
  <si>
    <t>Concreto 3000 psi, Muro alma en concreto</t>
  </si>
  <si>
    <t>Tuberia petrolera de 6"</t>
  </si>
  <si>
    <t>Geodren Planar</t>
  </si>
  <si>
    <t>Filtro Geodren Seccion 0,50 x 0,60 m</t>
  </si>
  <si>
    <t>PI-49 - K3+021,64</t>
  </si>
  <si>
    <t>Suministro e insalación de Bolsacreto</t>
  </si>
  <si>
    <t>Filtro (Sección 0.4X1.0 m.)</t>
  </si>
  <si>
    <t xml:space="preserve">Gaviones, triple torsión, cal. 10, suministro e instalación </t>
  </si>
  <si>
    <t xml:space="preserve">Geotextil NT 3000  separación </t>
  </si>
  <si>
    <t>PI-60 - K3+435,72</t>
  </si>
  <si>
    <t>11,4,1</t>
  </si>
  <si>
    <t>11,4,1,1</t>
  </si>
  <si>
    <t>11,4,1,1,1</t>
  </si>
  <si>
    <t>11,4,1,1,2</t>
  </si>
  <si>
    <t>11,4,1,2</t>
  </si>
  <si>
    <t>11,4,1,2,1</t>
  </si>
  <si>
    <t>11,4,1,2,2</t>
  </si>
  <si>
    <t>11,4,1,3</t>
  </si>
  <si>
    <t>11,4,1,3,1</t>
  </si>
  <si>
    <t>11,4,1,3,2</t>
  </si>
  <si>
    <t>11,4,2</t>
  </si>
  <si>
    <t>11,4,2,1</t>
  </si>
  <si>
    <t>11,4,2,2</t>
  </si>
  <si>
    <t>11,4,2,3</t>
  </si>
  <si>
    <t>11,4,3</t>
  </si>
  <si>
    <t>11,4,3,1</t>
  </si>
  <si>
    <t>11,4,4</t>
  </si>
  <si>
    <t>11,4,4,1</t>
  </si>
  <si>
    <t>11,4,4,2</t>
  </si>
  <si>
    <t>11,4,4,3</t>
  </si>
  <si>
    <t>11,4,4,4</t>
  </si>
  <si>
    <t>11,4,4,5</t>
  </si>
  <si>
    <t>11,4,4,6</t>
  </si>
  <si>
    <t>PI-81 - K4+353,04</t>
  </si>
  <si>
    <t>11,5,1</t>
  </si>
  <si>
    <t>11,5,1,1</t>
  </si>
  <si>
    <t>11,5,1,1,1</t>
  </si>
  <si>
    <t>11,5,1,2</t>
  </si>
  <si>
    <t>11,5,1,2,1</t>
  </si>
  <si>
    <t>11,5,1,3</t>
  </si>
  <si>
    <t>11,5,1,3,1</t>
  </si>
  <si>
    <t>11,5,1,3,2</t>
  </si>
  <si>
    <t>11,5,1,3,3</t>
  </si>
  <si>
    <t>11,5,2</t>
  </si>
  <si>
    <t>11,5,2,1</t>
  </si>
  <si>
    <t>11,5,2,2</t>
  </si>
  <si>
    <t>11,5,2,3</t>
  </si>
  <si>
    <t>11,5,3</t>
  </si>
  <si>
    <t>OBRAS DE DRENAJE</t>
  </si>
  <si>
    <t>11,5,3,1</t>
  </si>
  <si>
    <t>11,5,3,2</t>
  </si>
  <si>
    <t>11,5,3,3</t>
  </si>
  <si>
    <t xml:space="preserve">Suministro e instalción tubo PVC 4" </t>
  </si>
  <si>
    <t>11,5,3,4</t>
  </si>
  <si>
    <t>Suministro e instalación tubo PVC 10"</t>
  </si>
  <si>
    <t>11,5,4</t>
  </si>
  <si>
    <t>RECUPERACIÓN DE LA QUEBRADA</t>
  </si>
  <si>
    <t>11,5,4,1</t>
  </si>
  <si>
    <t>11,5,5</t>
  </si>
  <si>
    <t>11,5,5,1</t>
  </si>
  <si>
    <t>RETIRO Y DISPOSICIÓN DE SOBRANTES</t>
  </si>
  <si>
    <t>Transporte de Sobrantes (40 KM a Botadero Municipal)</t>
  </si>
  <si>
    <t>Cargue y Disposicion Final de Sobrantes a Maquina</t>
  </si>
  <si>
    <t>INSTALACION DE TUBERIA : 1386 ml</t>
  </si>
  <si>
    <t>Excavaciones a Mano</t>
  </si>
  <si>
    <t>Excavaciones a Mano 0 a 2 m</t>
  </si>
  <si>
    <t>Volumenes Promedio Ejecutados por Acualterno</t>
  </si>
  <si>
    <t>Subtotal</t>
  </si>
  <si>
    <t>Excavaciones a Mano 2 a 4 m</t>
  </si>
  <si>
    <t>Excavaciones a Mano Totales</t>
  </si>
  <si>
    <t>Excavaciones a Maquina</t>
  </si>
  <si>
    <t>Excavaciones a Maquina 0 a 2 m</t>
  </si>
  <si>
    <t>Excavaciones a Maquina 2 a 4 m</t>
  </si>
  <si>
    <t>Excavaciones a Maquina Totales</t>
  </si>
  <si>
    <t>Largo</t>
  </si>
  <si>
    <t>Ancho</t>
  </si>
  <si>
    <t>Alto</t>
  </si>
  <si>
    <t>Volumen</t>
  </si>
  <si>
    <t>De 0 a 2 mts</t>
  </si>
  <si>
    <t>Total</t>
  </si>
  <si>
    <t>En seco</t>
  </si>
  <si>
    <t>90 % Total</t>
  </si>
  <si>
    <t>Bajo Agua</t>
  </si>
  <si>
    <t>10 % Total</t>
  </si>
  <si>
    <t>De 2 a 4 mts</t>
  </si>
  <si>
    <t>Volumen Total</t>
  </si>
  <si>
    <t>Rellenos</t>
  </si>
  <si>
    <t xml:space="preserve">Volumen a Rellenar </t>
  </si>
  <si>
    <t>Sumatoria de Excavaciones</t>
  </si>
  <si>
    <t>Relleno en Recebo</t>
  </si>
  <si>
    <t>Exc. A Mano</t>
  </si>
  <si>
    <t>Material Proveniente de Excavacion</t>
  </si>
  <si>
    <t>Cama de Gravilla</t>
  </si>
  <si>
    <t>Tuberia</t>
  </si>
  <si>
    <t>Retiro</t>
  </si>
  <si>
    <t>Menos Relleno Material de Excavacion</t>
  </si>
  <si>
    <t>Sumatoria Excavaciones PI-14</t>
  </si>
  <si>
    <t>Sumatoria Excavaciones PI-44</t>
  </si>
  <si>
    <t>Sumatoria Excavaciones PI-49</t>
  </si>
  <si>
    <t>Sumatoria Excavaciones PI-60</t>
  </si>
  <si>
    <t>Sumatoria Excavaciones PI-81</t>
  </si>
  <si>
    <t xml:space="preserve">Expansion </t>
  </si>
  <si>
    <t>Volumen Total Def.</t>
  </si>
  <si>
    <t>Entibados en Madera en m2</t>
  </si>
  <si>
    <t>Area Promedio Ejecutados por Acualterno</t>
  </si>
  <si>
    <t>Paso Subfluvial</t>
  </si>
  <si>
    <t xml:space="preserve">Recubrimiento Paso Subfluvial No.01 </t>
  </si>
  <si>
    <t>L=</t>
  </si>
  <si>
    <t xml:space="preserve">Area Trapecio = </t>
  </si>
  <si>
    <t xml:space="preserve">Area Tuberia = </t>
  </si>
  <si>
    <t>Volumen Concreto</t>
  </si>
  <si>
    <t xml:space="preserve">Recubrimiento Paso Subfluvial No.02 </t>
  </si>
  <si>
    <t>SISTEMA PARA VENTOSA DIAMETRO DE 10"</t>
  </si>
  <si>
    <t>UNITARIO POR</t>
  </si>
  <si>
    <t>I. EQUIPO Y HERRAMIENTA</t>
  </si>
  <si>
    <t>TARIFA/HORA</t>
  </si>
  <si>
    <t>RENDIMIENTO</t>
  </si>
  <si>
    <t>Vr. UNITARIO</t>
  </si>
  <si>
    <t>SUBTOTAL</t>
  </si>
  <si>
    <t>II. MATERIALES</t>
  </si>
  <si>
    <t>CANTIDAD</t>
  </si>
  <si>
    <t>DESPERD.</t>
  </si>
  <si>
    <t>NIPLE EB-EB L= 1,62 m Ø 10" ACERO</t>
  </si>
  <si>
    <t>CODO BRIDADO 90° HD Ø 10"</t>
  </si>
  <si>
    <t>6"</t>
  </si>
  <si>
    <t>210 ML</t>
  </si>
  <si>
    <t>NIPLE EB-EB L= 0,53 m Ø 10" ACERO</t>
  </si>
  <si>
    <t xml:space="preserve">10" </t>
  </si>
  <si>
    <t>280 ML</t>
  </si>
  <si>
    <t>VALVULA DE COMPUERTA SELLO DE BRONCE EB-EB Ø 10"</t>
  </si>
  <si>
    <t>VALVULA AIRE DOBLE ACCION EB Ø 10"</t>
  </si>
  <si>
    <t>EMPAQUE NEOPRENO</t>
  </si>
  <si>
    <t>TORNILLERIA GRADO 5 3/4" X 3 1/2" GALVANIZADA (TUERCA Y TORNILLO)</t>
  </si>
  <si>
    <t xml:space="preserve">8" </t>
  </si>
  <si>
    <t>240 ML</t>
  </si>
  <si>
    <t>III. TRANSPORTE</t>
  </si>
  <si>
    <t>DISTANCIA</t>
  </si>
  <si>
    <t>TARIFA</t>
  </si>
  <si>
    <t>FLETE</t>
  </si>
  <si>
    <t>SUB-TOTAL</t>
  </si>
  <si>
    <t>IV.MANO  DE OBRA</t>
  </si>
  <si>
    <t>JORN.+PREST</t>
  </si>
  <si>
    <t>V/PARCIAL</t>
  </si>
  <si>
    <t>AYUDANTES</t>
  </si>
  <si>
    <t>TOTAL  COSTO DIRECTO:</t>
  </si>
  <si>
    <t>AIU</t>
  </si>
  <si>
    <t>COSTO TOTAL ITEM</t>
  </si>
  <si>
    <t>SISTEMA PARA VENTOSA DIAMETRO DE 8"</t>
  </si>
  <si>
    <t>NIPLE EB-EB L= 5,81 m Ø 8" ACERO</t>
  </si>
  <si>
    <t>CODO BRIDADO 90° HD Ø 8"</t>
  </si>
  <si>
    <t>NIPLE EB-EB L= 0,65 m Ø 8" ACERO</t>
  </si>
  <si>
    <t>VALVULA DE COMPUERTA SELLO DE BRONCE EB-EB Ø 8"</t>
  </si>
  <si>
    <t>VALVULA AIRE DOBLE ACCION EB Ø 8"</t>
  </si>
  <si>
    <t>SISTEMA PARA VENTOSA DIAMETRO DE 6"</t>
  </si>
  <si>
    <t>VALVULA DE COMPUERTA SELLO DE BRONCE EB-EB Ø 6"</t>
  </si>
  <si>
    <t>VALVULA AIRE DOBLE ACCION EB Ø 6"</t>
  </si>
  <si>
    <t>SISTEMA PARA PURGA DIAMETRO DE 8" CON UNA PLATINA DE ORIFICIO CLASE 100</t>
  </si>
  <si>
    <t>TEE CON DERIVACION TANGENCIAL EB-EB Ø 36" X 8"</t>
  </si>
  <si>
    <t>NIPLE EB-EL L= 0,43 m Ø 8" ACERO</t>
  </si>
  <si>
    <t>UNION TIPO DRESSER Ø8"</t>
  </si>
  <si>
    <t>NIPLE EB-EL L= 0,34 m Ø 8" ACERO</t>
  </si>
  <si>
    <t>PLATINA PERFORADA DE 1 ORIFICIO ENTRE DOS BRIDAS</t>
  </si>
  <si>
    <t>PASAMURO EB-EL L=0,9 Z= 0,78</t>
  </si>
  <si>
    <t>SISTEMA PARA PURGA DIAMETRO DE 8" CON TRES PLATINAS DE ORIFICIO CLASE 100</t>
  </si>
  <si>
    <t>NIPLE EB-EL L= 0,41 m Ø 8" ACERO</t>
  </si>
  <si>
    <t>NIPLE EB-EL L= 0,36 m Ø 8" ACERO</t>
  </si>
  <si>
    <t>NIPLE EB-EB L= 0,60 m Ø 8" ACERO</t>
  </si>
  <si>
    <t>NIPLE EB-EL L= 0,20 m Ø 8" ACERO</t>
  </si>
  <si>
    <t>PASAMURO EB-EB L=0,69 Z= 0,48</t>
  </si>
  <si>
    <t>SISTEMA PARA PURGA DIAMETRO DE 8" CON TRES PLATINAS DE ORIFICIO CLASE 150</t>
  </si>
  <si>
    <t>SISTEMA PARA PURGA DIAMETRO DE 8" CON TRES PLATINAS DE ORIFICIO CLASE 200</t>
  </si>
  <si>
    <t>NIPLE EB-EL L= 0,38 m Ø 8" ACERO</t>
  </si>
  <si>
    <t>PASAMURO EB-EL L=0,59 Z= 0,48</t>
  </si>
  <si>
    <t>SISTEMA PARA PURGA DIAMETRO DE 8" CON TRES PLATINAS DE ORIFICIO CLASE 250</t>
  </si>
  <si>
    <t>SISTEMA PARA PURGA DIAMETRO DE 8" CON TRES PLATINAS DE ORIFICIO CLASE 300</t>
  </si>
  <si>
    <t>PUENTE PEATONAL</t>
  </si>
  <si>
    <t xml:space="preserve">Puente peatonal </t>
  </si>
  <si>
    <t>Instalación Tubería en acero de 36" (WSP con revestimiento interior en mortero y pintura epóxica exterior) de 250 PSI</t>
  </si>
  <si>
    <t>VALOR TOTAL OBRA COSTO DIRECTO</t>
  </si>
  <si>
    <t xml:space="preserve">VALOR TOTAL OBRA </t>
  </si>
  <si>
    <t>IVA SOBRE LA UTILIDAD</t>
  </si>
  <si>
    <t>VALOR UNITARIO</t>
  </si>
  <si>
    <t>VALOR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</si>
</sst>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quot;$&quot;\ * #,##0.00_);_(&quot;$&quot;\ * \(#,##0.00\);_(&quot;$&quot;\ * &quot;-&quot;??_);_(@_)"/>
    <numFmt numFmtId="43" formatCode="_(* #,##0.00_);_(* \(#,##0.00\);_(* &quot;-&quot;??_);_(@_)"/>
    <numFmt numFmtId="164" formatCode="_-* #,##0_-;\-* #,##0_-;_-* &quot;-&quot;_-;_-@_-"/>
    <numFmt numFmtId="165" formatCode="_-* #,##0.00\ _P_t_s_-;\-* #,##0.00\ _P_t_s_-;_-* &quot;-&quot;??\ _P_t_s_-;_-@_-"/>
    <numFmt numFmtId="166" formatCode="_ * #,##0.00_ ;_ * \-#,##0.00_ ;_ * &quot;-&quot;??_ ;_ @_ "/>
    <numFmt numFmtId="167" formatCode="d\-mmmm\-\y\y\y\y"/>
    <numFmt numFmtId="168" formatCode="&quot;$&quot;#,##0.00_);\(&quot;$&quot;#,##0.00\)"/>
    <numFmt numFmtId="169" formatCode="&quot;$&quot;#,##0_);\(&quot;$&quot;#,##0\)"/>
    <numFmt numFmtId="170" formatCode="0.000"/>
    <numFmt numFmtId="171" formatCode="0.0000"/>
    <numFmt numFmtId="172" formatCode="0.0%"/>
    <numFmt numFmtId="173" formatCode="[$$-240A]\ #,##0;[Red][$$-240A]\ #,##0"/>
    <numFmt numFmtId="174" formatCode="0;[Red]0"/>
    <numFmt numFmtId="175" formatCode="&quot;$&quot;\ #,##0.00"/>
    <numFmt numFmtId="176" formatCode="[$$-240A]\ #,##0.00;[Red][$$-240A]\ #,##0.00"/>
    <numFmt numFmtId="177" formatCode="0.0"/>
    <numFmt numFmtId="178" formatCode="&quot;$&quot;#,##0.00"/>
    <numFmt numFmtId="179" formatCode="&quot;$&quot;#,##0"/>
    <numFmt numFmtId="180" formatCode="_(* #,##0_);_(* \(#,##0\);_(* &quot;-&quot;??_);_(@_)"/>
    <numFmt numFmtId="181" formatCode="[$$-240A]\ #,##0"/>
    <numFmt numFmtId="182" formatCode="#,##0.000"/>
    <numFmt numFmtId="183" formatCode="#.##\ \K\g"/>
    <numFmt numFmtId="184" formatCode="_-* #,##0.00\ &quot;Pts&quot;\^\-;\-* #,##0.00\ &quot;Pts&quot;_-;_-* &quot;-&quot;??\ &quot;Pts&quot;_-;_-@_-"/>
    <numFmt numFmtId="185" formatCode="#,##0.0"/>
    <numFmt numFmtId="186" formatCode="_(&quot;$&quot;\ * #,##0_);_(&quot;$&quot;\ * \(#,##0\);_(&quot;$&quot;\ * &quot;-&quot;??_);_(@_)"/>
    <numFmt numFmtId="187" formatCode="#,##0.0000"/>
    <numFmt numFmtId="188" formatCode="_ * #,##0.000_ ;_ * \-#,##0.000_ ;_ * &quot;-&quot;??_ ;_ @_ "/>
    <numFmt numFmtId="189" formatCode="&quot;ADMINISTRACION&quot;&quot; &quot;#%"/>
    <numFmt numFmtId="190" formatCode="&quot;IMPREVISTOS&quot;&quot; &quot;#%"/>
    <numFmt numFmtId="191" formatCode="&quot;UTILIDAD&quot;&quot; &quot;#%"/>
  </numFmts>
  <fonts count="63">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b/>
      <sz val="12"/>
      <color theme="1"/>
      <name val="Arial"/>
      <family val="2"/>
    </font>
    <font>
      <b/>
      <sz val="11"/>
      <color theme="1"/>
      <name val="Calibri"/>
      <family val="2"/>
      <scheme val="minor"/>
    </font>
    <font>
      <sz val="10"/>
      <name val="Arial"/>
      <family val="2"/>
    </font>
    <font>
      <b/>
      <sz val="10"/>
      <name val="Arial"/>
      <family val="2"/>
    </font>
    <font>
      <b/>
      <u/>
      <sz val="11"/>
      <color theme="1"/>
      <name val="Calibri"/>
      <family val="2"/>
      <scheme val="minor"/>
    </font>
    <font>
      <b/>
      <u/>
      <sz val="12"/>
      <color theme="1"/>
      <name val="Calibri"/>
      <family val="2"/>
      <scheme val="minor"/>
    </font>
    <font>
      <sz val="8"/>
      <name val="Arial"/>
      <family val="2"/>
    </font>
    <font>
      <sz val="9"/>
      <name val="Arial"/>
      <family val="2"/>
    </font>
    <font>
      <sz val="11"/>
      <color rgb="FFFF0000"/>
      <name val="Calibri"/>
      <family val="2"/>
      <scheme val="minor"/>
    </font>
    <font>
      <sz val="10"/>
      <color theme="1"/>
      <name val="Arial"/>
      <family val="2"/>
    </font>
    <font>
      <sz val="10"/>
      <color rgb="FF000000"/>
      <name val="Arial"/>
      <family val="2"/>
    </font>
    <font>
      <b/>
      <sz val="11"/>
      <color rgb="FF002060"/>
      <name val="Arial"/>
      <family val="2"/>
    </font>
    <font>
      <sz val="10"/>
      <color rgb="FF002060"/>
      <name val="Arial"/>
      <family val="2"/>
    </font>
    <font>
      <sz val="10"/>
      <name val="Arial"/>
      <family val="2"/>
    </font>
    <font>
      <b/>
      <sz val="9"/>
      <color indexed="81"/>
      <name val="Tahoma"/>
      <family val="2"/>
    </font>
    <font>
      <sz val="12"/>
      <color rgb="FF002060"/>
      <name val="Arial"/>
      <family val="2"/>
    </font>
    <font>
      <sz val="10"/>
      <color rgb="FFFF0000"/>
      <name val="Arial"/>
      <family val="2"/>
    </font>
    <font>
      <b/>
      <sz val="8"/>
      <name val="Arial"/>
      <family val="2"/>
    </font>
    <font>
      <u/>
      <sz val="11"/>
      <color theme="10"/>
      <name val="Calibri"/>
      <family val="2"/>
      <scheme val="minor"/>
    </font>
    <font>
      <sz val="10"/>
      <color theme="1"/>
      <name val="Futura Md BT"/>
    </font>
    <font>
      <sz val="10"/>
      <color theme="1"/>
      <name val="Calibri"/>
      <family val="2"/>
      <scheme val="minor"/>
    </font>
    <font>
      <sz val="11"/>
      <color theme="3" tint="-0.249977111117893"/>
      <name val="Calibri"/>
      <family val="2"/>
      <scheme val="minor"/>
    </font>
    <font>
      <sz val="10"/>
      <color theme="3" tint="-0.249977111117893"/>
      <name val="Futura Md BT"/>
    </font>
    <font>
      <b/>
      <sz val="12"/>
      <color theme="3" tint="-0.249977111117893"/>
      <name val="Arial"/>
      <family val="2"/>
    </font>
    <font>
      <sz val="10"/>
      <color theme="3" tint="-0.249977111117893"/>
      <name val="Arial"/>
      <family val="2"/>
    </font>
    <font>
      <sz val="8"/>
      <color theme="1"/>
      <name val="Arial"/>
      <family val="2"/>
    </font>
    <font>
      <sz val="8"/>
      <color rgb="FFFF0000"/>
      <name val="Arial"/>
      <family val="2"/>
    </font>
    <font>
      <sz val="11"/>
      <name val="Calibri"/>
      <family val="2"/>
      <scheme val="minor"/>
    </font>
    <font>
      <i/>
      <sz val="10"/>
      <name val="Arial"/>
      <family val="2"/>
    </font>
    <font>
      <sz val="11"/>
      <color rgb="FF7030A0"/>
      <name val="Calibri"/>
      <family val="2"/>
      <scheme val="minor"/>
    </font>
    <font>
      <sz val="10"/>
      <color rgb="FF7030A0"/>
      <name val="Arial"/>
      <family val="2"/>
    </font>
    <font>
      <b/>
      <sz val="11"/>
      <color rgb="FF7030A0"/>
      <name val="Calibri"/>
      <family val="2"/>
      <scheme val="minor"/>
    </font>
    <font>
      <b/>
      <sz val="11"/>
      <color theme="0"/>
      <name val="Calibri"/>
      <family val="2"/>
      <scheme val="minor"/>
    </font>
    <font>
      <sz val="11"/>
      <color theme="0"/>
      <name val="Calibri"/>
      <family val="2"/>
      <scheme val="minor"/>
    </font>
    <font>
      <b/>
      <sz val="11"/>
      <name val="Calibri"/>
      <family val="2"/>
      <scheme val="minor"/>
    </font>
    <font>
      <vertAlign val="superscript"/>
      <sz val="11"/>
      <name val="Calibri"/>
      <family val="2"/>
      <scheme val="minor"/>
    </font>
    <font>
      <u/>
      <sz val="11"/>
      <name val="Calibri"/>
      <family val="2"/>
      <scheme val="minor"/>
    </font>
    <font>
      <b/>
      <u/>
      <sz val="8"/>
      <name val="Arial"/>
      <family val="2"/>
    </font>
    <font>
      <sz val="9"/>
      <color indexed="81"/>
      <name val="Tahoma"/>
      <family val="2"/>
    </font>
    <font>
      <b/>
      <i/>
      <sz val="11"/>
      <color theme="0"/>
      <name val="Calibri"/>
      <family val="2"/>
      <scheme val="minor"/>
    </font>
    <font>
      <b/>
      <i/>
      <sz val="10"/>
      <color theme="0"/>
      <name val="Arial"/>
      <family val="2"/>
    </font>
    <font>
      <sz val="12"/>
      <color theme="0"/>
      <name val="Arial"/>
      <family val="2"/>
    </font>
    <font>
      <sz val="10"/>
      <color theme="0"/>
      <name val="Arial"/>
      <family val="2"/>
    </font>
    <font>
      <u/>
      <sz val="11"/>
      <color rgb="FFFF0000"/>
      <name val="Calibri"/>
      <family val="2"/>
      <scheme val="minor"/>
    </font>
    <font>
      <b/>
      <sz val="10"/>
      <color theme="0"/>
      <name val="Arial"/>
      <family val="2"/>
    </font>
    <font>
      <b/>
      <vertAlign val="superscript"/>
      <sz val="8"/>
      <name val="Arial"/>
      <family val="2"/>
    </font>
    <font>
      <vertAlign val="superscript"/>
      <sz val="8"/>
      <name val="Arial"/>
      <family val="2"/>
    </font>
    <font>
      <b/>
      <sz val="9"/>
      <name val="Calibri"/>
      <family val="2"/>
      <scheme val="minor"/>
    </font>
    <font>
      <b/>
      <sz val="9"/>
      <color theme="1"/>
      <name val="Arial"/>
      <family val="2"/>
    </font>
    <font>
      <b/>
      <sz val="11"/>
      <name val="Arial"/>
      <family val="2"/>
    </font>
    <font>
      <sz val="9"/>
      <name val="Calibri"/>
      <family val="2"/>
      <scheme val="minor"/>
    </font>
    <font>
      <b/>
      <sz val="9"/>
      <color theme="1"/>
      <name val="Calibri"/>
      <family val="2"/>
      <scheme val="minor"/>
    </font>
    <font>
      <sz val="9"/>
      <color theme="1"/>
      <name val="Arial"/>
      <family val="2"/>
    </font>
    <font>
      <sz val="9"/>
      <color theme="1"/>
      <name val="Calibri"/>
      <family val="2"/>
      <scheme val="minor"/>
    </font>
    <font>
      <b/>
      <u/>
      <sz val="9"/>
      <color theme="1"/>
      <name val="Arial"/>
      <family val="2"/>
    </font>
    <font>
      <b/>
      <sz val="9"/>
      <name val="Arial"/>
      <family val="2"/>
    </font>
    <font>
      <sz val="11"/>
      <name val="Arial"/>
      <family val="2"/>
    </font>
    <font>
      <sz val="11"/>
      <color theme="0"/>
      <name val="Arial"/>
      <family val="2"/>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gray0625">
        <bgColor indexed="41"/>
      </patternFill>
    </fill>
    <fill>
      <patternFill patternType="solid">
        <fgColor theme="9" tint="0.39997558519241921"/>
        <bgColor indexed="64"/>
      </patternFill>
    </fill>
    <fill>
      <patternFill patternType="solid">
        <fgColor theme="8" tint="0.59999389629810485"/>
        <bgColor indexed="64"/>
      </patternFill>
    </fill>
    <fill>
      <patternFill patternType="solid">
        <fgColor theme="1"/>
        <bgColor indexed="64"/>
      </patternFill>
    </fill>
    <fill>
      <patternFill patternType="solid">
        <fgColor theme="6"/>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9"/>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bottom style="double">
        <color rgb="FFC00000"/>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right/>
      <top style="double">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thin">
        <color indexed="64"/>
      </right>
      <top style="medium">
        <color indexed="64"/>
      </top>
      <bottom/>
      <diagonal/>
    </border>
    <border>
      <left style="hair">
        <color indexed="64"/>
      </left>
      <right style="hair">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hair">
        <color indexed="64"/>
      </top>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medium">
        <color indexed="64"/>
      </right>
      <top/>
      <bottom style="hair">
        <color indexed="64"/>
      </bottom>
      <diagonal/>
    </border>
    <border>
      <left style="thin">
        <color indexed="64"/>
      </left>
      <right/>
      <top/>
      <bottom/>
      <diagonal/>
    </border>
  </borders>
  <cellStyleXfs count="2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7" fontId="2" fillId="0" borderId="0" applyFill="0" applyBorder="0" applyAlignment="0" applyProtection="0"/>
    <xf numFmtId="2" fontId="2" fillId="0" borderId="0" applyFill="0" applyBorder="0" applyAlignment="0" applyProtection="0"/>
    <xf numFmtId="168" fontId="2" fillId="0" borderId="0" applyFill="0" applyBorder="0" applyAlignment="0" applyProtection="0"/>
    <xf numFmtId="169" fontId="2" fillId="0" borderId="0" applyFill="0" applyBorder="0" applyAlignment="0" applyProtection="0"/>
    <xf numFmtId="39" fontId="2" fillId="0" borderId="0" applyFill="0" applyBorder="0" applyAlignment="0" applyProtection="0"/>
    <xf numFmtId="37" fontId="2" fillId="0" borderId="0" applyFill="0" applyBorder="0" applyAlignment="0" applyProtection="0"/>
    <xf numFmtId="0" fontId="7" fillId="0" borderId="0"/>
    <xf numFmtId="165" fontId="7" fillId="0" borderId="0" applyFont="0" applyFill="0" applyBorder="0" applyAlignment="0" applyProtection="0"/>
    <xf numFmtId="44" fontId="1" fillId="0" borderId="0" applyFont="0" applyFill="0" applyBorder="0" applyAlignment="0" applyProtection="0"/>
    <xf numFmtId="184" fontId="18" fillId="0" borderId="0" applyFont="0" applyFill="0" applyBorder="0" applyAlignment="0" applyProtection="0"/>
    <xf numFmtId="0" fontId="23" fillId="0" borderId="0" applyNumberFormat="0" applyFill="0" applyBorder="0" applyAlignment="0" applyProtection="0"/>
    <xf numFmtId="0" fontId="2" fillId="0" borderId="0"/>
    <xf numFmtId="0" fontId="2" fillId="0" borderId="0"/>
    <xf numFmtId="164"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cellStyleXfs>
  <cellXfs count="1498">
    <xf numFmtId="0" fontId="0" fillId="0" borderId="0" xfId="0"/>
    <xf numFmtId="0" fontId="0" fillId="0" borderId="0" xfId="0" applyAlignment="1">
      <alignment horizontal="center" vertical="center" wrapText="1"/>
    </xf>
    <xf numFmtId="0" fontId="0" fillId="0" borderId="0" xfId="0" applyAlignment="1">
      <alignment horizontal="center"/>
    </xf>
    <xf numFmtId="170" fontId="0" fillId="0" borderId="0" xfId="0" applyNumberFormat="1" applyAlignment="1">
      <alignment horizontal="center"/>
    </xf>
    <xf numFmtId="171" fontId="0" fillId="0" borderId="0" xfId="0" applyNumberFormat="1" applyAlignment="1">
      <alignment horizontal="center"/>
    </xf>
    <xf numFmtId="43" fontId="0" fillId="0" borderId="0" xfId="0" applyNumberFormat="1"/>
    <xf numFmtId="2" fontId="0" fillId="0" borderId="0" xfId="0" applyNumberFormat="1" applyAlignment="1">
      <alignment horizontal="center"/>
    </xf>
    <xf numFmtId="0" fontId="0" fillId="0" borderId="26" xfId="0" applyBorder="1" applyAlignment="1">
      <alignment horizontal="center"/>
    </xf>
    <xf numFmtId="170" fontId="0" fillId="0" borderId="26" xfId="0" applyNumberFormat="1" applyBorder="1" applyAlignment="1">
      <alignment horizontal="center"/>
    </xf>
    <xf numFmtId="171" fontId="0" fillId="0" borderId="26" xfId="0" applyNumberFormat="1" applyBorder="1" applyAlignment="1">
      <alignment horizontal="center"/>
    </xf>
    <xf numFmtId="2" fontId="0" fillId="0" borderId="26" xfId="0" applyNumberFormat="1" applyBorder="1" applyAlignment="1">
      <alignment horizontal="center"/>
    </xf>
    <xf numFmtId="0" fontId="0" fillId="0" borderId="0" xfId="0" applyBorder="1" applyAlignment="1">
      <alignment horizontal="center"/>
    </xf>
    <xf numFmtId="170" fontId="0" fillId="0" borderId="0" xfId="0" applyNumberFormat="1" applyBorder="1" applyAlignment="1">
      <alignment horizontal="center"/>
    </xf>
    <xf numFmtId="171" fontId="0" fillId="0" borderId="0" xfId="0" applyNumberFormat="1" applyBorder="1" applyAlignment="1">
      <alignment horizontal="center"/>
    </xf>
    <xf numFmtId="2" fontId="0" fillId="0" borderId="0" xfId="0" applyNumberFormat="1" applyBorder="1" applyAlignment="1">
      <alignment horizontal="center"/>
    </xf>
    <xf numFmtId="0" fontId="0" fillId="0" borderId="27" xfId="0" applyBorder="1"/>
    <xf numFmtId="0" fontId="0" fillId="0" borderId="0" xfId="0" applyAlignment="1">
      <alignment vertical="center"/>
    </xf>
    <xf numFmtId="0" fontId="0" fillId="0" borderId="0" xfId="0" applyBorder="1"/>
    <xf numFmtId="43" fontId="1" fillId="0" borderId="0" xfId="1" applyBorder="1" applyAlignment="1">
      <alignment horizontal="center"/>
    </xf>
    <xf numFmtId="43" fontId="1" fillId="0" borderId="0" xfId="1" applyBorder="1"/>
    <xf numFmtId="0" fontId="8" fillId="0" borderId="0" xfId="0" applyFont="1" applyBorder="1"/>
    <xf numFmtId="165" fontId="0" fillId="0" borderId="0" xfId="0" applyNumberFormat="1" applyBorder="1"/>
    <xf numFmtId="10" fontId="0" fillId="0" borderId="0" xfId="0" applyNumberFormat="1" applyBorder="1"/>
    <xf numFmtId="0" fontId="0" fillId="0" borderId="0" xfId="0" applyAlignment="1">
      <alignment horizontal="center"/>
    </xf>
    <xf numFmtId="0" fontId="6" fillId="0" borderId="0" xfId="0" applyFont="1" applyAlignment="1">
      <alignment horizontal="center"/>
    </xf>
    <xf numFmtId="2" fontId="0" fillId="0" borderId="0" xfId="0" applyNumberFormat="1"/>
    <xf numFmtId="44" fontId="0" fillId="0" borderId="0" xfId="0" applyNumberFormat="1"/>
    <xf numFmtId="0" fontId="0" fillId="0" borderId="0" xfId="0" applyAlignment="1">
      <alignment horizontal="left"/>
    </xf>
    <xf numFmtId="0" fontId="0" fillId="0" borderId="0" xfId="0" applyAlignment="1">
      <alignment horizontal="left"/>
    </xf>
    <xf numFmtId="0" fontId="0" fillId="0" borderId="0" xfId="0" applyAlignment="1">
      <alignment horizontal="left"/>
    </xf>
    <xf numFmtId="0" fontId="6" fillId="0" borderId="0" xfId="0" applyFont="1" applyAlignment="1">
      <alignment horizontal="center"/>
    </xf>
    <xf numFmtId="0" fontId="0" fillId="0" borderId="0" xfId="0" applyFill="1" applyBorder="1"/>
    <xf numFmtId="44" fontId="0" fillId="0" borderId="0" xfId="16" applyFont="1" applyAlignment="1">
      <alignment horizontal="center"/>
    </xf>
    <xf numFmtId="44" fontId="0" fillId="0" borderId="0" xfId="16" applyFont="1"/>
    <xf numFmtId="0" fontId="0" fillId="2" borderId="0" xfId="0" applyFill="1" applyAlignment="1">
      <alignment horizontal="center"/>
    </xf>
    <xf numFmtId="44" fontId="0" fillId="2" borderId="0" xfId="16" applyFont="1" applyFill="1"/>
    <xf numFmtId="44" fontId="0" fillId="2" borderId="0" xfId="16" applyFont="1" applyFill="1" applyAlignment="1">
      <alignment horizontal="center"/>
    </xf>
    <xf numFmtId="170" fontId="0" fillId="2" borderId="0" xfId="0" applyNumberFormat="1" applyFill="1" applyAlignment="1">
      <alignment horizontal="center"/>
    </xf>
    <xf numFmtId="0" fontId="0" fillId="2" borderId="0" xfId="0" applyFill="1" applyAlignment="1">
      <alignment horizontal="center" vertical="center" wrapText="1"/>
    </xf>
    <xf numFmtId="0" fontId="13" fillId="0" borderId="0" xfId="0" applyFont="1" applyBorder="1" applyAlignment="1">
      <alignment horizontal="center"/>
    </xf>
    <xf numFmtId="170" fontId="13" fillId="0" borderId="0" xfId="0" applyNumberFormat="1" applyFont="1" applyBorder="1" applyAlignment="1">
      <alignment horizontal="center"/>
    </xf>
    <xf numFmtId="44" fontId="13" fillId="0" borderId="0" xfId="16" applyFont="1" applyBorder="1" applyAlignment="1">
      <alignment horizontal="center"/>
    </xf>
    <xf numFmtId="0" fontId="13" fillId="0" borderId="0" xfId="0" applyFont="1" applyAlignment="1">
      <alignment horizontal="center"/>
    </xf>
    <xf numFmtId="170" fontId="13" fillId="0" borderId="0" xfId="0" applyNumberFormat="1" applyFont="1" applyAlignment="1">
      <alignment horizontal="center"/>
    </xf>
    <xf numFmtId="0" fontId="13" fillId="0" borderId="26" xfId="0" applyFont="1" applyBorder="1" applyAlignment="1">
      <alignment horizontal="center"/>
    </xf>
    <xf numFmtId="170" fontId="13" fillId="0" borderId="26" xfId="0" applyNumberFormat="1" applyFont="1" applyBorder="1" applyAlignment="1">
      <alignment horizontal="center"/>
    </xf>
    <xf numFmtId="0" fontId="0" fillId="0" borderId="0" xfId="0" applyAlignment="1">
      <alignment wrapText="1"/>
    </xf>
    <xf numFmtId="0" fontId="0" fillId="0" borderId="0" xfId="0" applyAlignment="1">
      <alignment horizontal="center" vertical="center"/>
    </xf>
    <xf numFmtId="44" fontId="0" fillId="0" borderId="0" xfId="16" applyFont="1" applyAlignment="1">
      <alignment vertical="center"/>
    </xf>
    <xf numFmtId="0" fontId="0" fillId="0" borderId="0" xfId="0" applyBorder="1" applyAlignment="1">
      <alignment horizontal="center"/>
    </xf>
    <xf numFmtId="0" fontId="14" fillId="0" borderId="0" xfId="0" applyFont="1"/>
    <xf numFmtId="0" fontId="8" fillId="0" borderId="0" xfId="0" applyFont="1" applyBorder="1" applyAlignment="1">
      <alignment vertical="center"/>
    </xf>
    <xf numFmtId="0" fontId="18" fillId="0" borderId="0" xfId="0" applyFont="1" applyAlignment="1">
      <alignment horizontal="center" vertical="center"/>
    </xf>
    <xf numFmtId="0" fontId="18" fillId="0" borderId="0" xfId="1" applyNumberFormat="1" applyFont="1" applyFill="1" applyAlignment="1">
      <alignment vertical="center"/>
    </xf>
    <xf numFmtId="0" fontId="8" fillId="0" borderId="0" xfId="0" applyFont="1" applyAlignment="1">
      <alignment vertical="center" wrapText="1"/>
    </xf>
    <xf numFmtId="0" fontId="0" fillId="0" borderId="7" xfId="0" applyBorder="1" applyAlignment="1">
      <alignment vertical="center"/>
    </xf>
    <xf numFmtId="0" fontId="2" fillId="0" borderId="7" xfId="0" applyFont="1" applyBorder="1" applyAlignment="1">
      <alignment vertical="center"/>
    </xf>
    <xf numFmtId="0" fontId="0" fillId="0" borderId="8" xfId="0" applyBorder="1" applyAlignment="1">
      <alignment vertical="center"/>
    </xf>
    <xf numFmtId="0" fontId="11" fillId="0" borderId="0" xfId="0" applyFont="1" applyBorder="1" applyAlignment="1">
      <alignment vertical="center"/>
    </xf>
    <xf numFmtId="0" fontId="11" fillId="0" borderId="21" xfId="0" applyFont="1" applyBorder="1" applyAlignment="1">
      <alignment vertical="center"/>
    </xf>
    <xf numFmtId="0" fontId="22" fillId="0" borderId="0" xfId="0" quotePrefix="1" applyFont="1" applyAlignment="1">
      <alignment horizontal="left" vertical="center"/>
    </xf>
    <xf numFmtId="0" fontId="11" fillId="0" borderId="0" xfId="0" applyFont="1" applyAlignment="1">
      <alignment vertical="center"/>
    </xf>
    <xf numFmtId="0" fontId="22" fillId="0" borderId="0" xfId="0" applyFont="1" applyAlignment="1">
      <alignment vertical="center"/>
    </xf>
    <xf numFmtId="0" fontId="8" fillId="0" borderId="0" xfId="0" applyFont="1" applyAlignment="1">
      <alignment vertical="center"/>
    </xf>
    <xf numFmtId="0" fontId="11" fillId="0" borderId="37" xfId="0" applyFont="1" applyBorder="1" applyAlignment="1">
      <alignment horizontal="center" vertical="center"/>
    </xf>
    <xf numFmtId="0" fontId="11" fillId="0" borderId="37" xfId="0" quotePrefix="1"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vertical="center"/>
    </xf>
    <xf numFmtId="3" fontId="11" fillId="0" borderId="1" xfId="0" applyNumberFormat="1" applyFont="1" applyBorder="1" applyAlignment="1">
      <alignment horizontal="center" vertical="center"/>
    </xf>
    <xf numFmtId="4" fontId="11" fillId="0" borderId="1" xfId="0" applyNumberFormat="1" applyFont="1" applyBorder="1" applyAlignment="1">
      <alignment vertical="center"/>
    </xf>
    <xf numFmtId="182" fontId="11" fillId="0" borderId="1" xfId="0" applyNumberFormat="1" applyFont="1" applyBorder="1" applyAlignment="1">
      <alignment vertical="center"/>
    </xf>
    <xf numFmtId="4" fontId="11" fillId="0" borderId="2" xfId="0" applyNumberFormat="1" applyFont="1" applyBorder="1" applyAlignment="1">
      <alignment vertical="center"/>
    </xf>
    <xf numFmtId="0" fontId="11" fillId="0" borderId="32" xfId="0" applyFont="1" applyBorder="1" applyAlignment="1">
      <alignment vertical="center"/>
    </xf>
    <xf numFmtId="3" fontId="11" fillId="0" borderId="9" xfId="0" applyNumberFormat="1" applyFont="1" applyBorder="1" applyAlignment="1">
      <alignment horizontal="center" vertical="center"/>
    </xf>
    <xf numFmtId="3" fontId="11" fillId="0" borderId="9" xfId="0" applyNumberFormat="1" applyFont="1" applyBorder="1" applyAlignment="1">
      <alignment vertical="center"/>
    </xf>
    <xf numFmtId="170" fontId="11" fillId="0" borderId="1" xfId="0" applyNumberFormat="1" applyFont="1" applyBorder="1" applyAlignment="1">
      <alignment vertical="center"/>
    </xf>
    <xf numFmtId="3" fontId="11" fillId="0" borderId="40" xfId="0" applyNumberFormat="1" applyFont="1" applyBorder="1" applyAlignment="1">
      <alignment horizontal="center" vertical="center"/>
    </xf>
    <xf numFmtId="3" fontId="11" fillId="0" borderId="40" xfId="0" applyNumberFormat="1" applyFont="1" applyBorder="1" applyAlignment="1">
      <alignment vertical="center"/>
    </xf>
    <xf numFmtId="4" fontId="11" fillId="0" borderId="40" xfId="0" applyNumberFormat="1" applyFont="1" applyBorder="1" applyAlignment="1">
      <alignment vertical="center"/>
    </xf>
    <xf numFmtId="4" fontId="11" fillId="0" borderId="41" xfId="0" applyNumberFormat="1" applyFont="1" applyBorder="1" applyAlignment="1">
      <alignment vertical="center"/>
    </xf>
    <xf numFmtId="0" fontId="11" fillId="0" borderId="31" xfId="0" applyFont="1" applyBorder="1" applyAlignment="1">
      <alignment vertical="center"/>
    </xf>
    <xf numFmtId="0" fontId="22" fillId="0" borderId="0" xfId="0" applyFont="1" applyAlignment="1">
      <alignment horizontal="center" vertical="center"/>
    </xf>
    <xf numFmtId="4" fontId="11" fillId="0" borderId="35" xfId="0" applyNumberFormat="1" applyFont="1" applyBorder="1" applyAlignment="1">
      <alignment vertical="center"/>
    </xf>
    <xf numFmtId="0" fontId="11" fillId="0" borderId="29"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3" fontId="11" fillId="0" borderId="1" xfId="0" applyNumberFormat="1" applyFont="1" applyBorder="1" applyAlignment="1">
      <alignment vertical="center"/>
    </xf>
    <xf numFmtId="182" fontId="11" fillId="0" borderId="9" xfId="0" applyNumberFormat="1" applyFont="1" applyBorder="1" applyAlignment="1">
      <alignment vertical="center"/>
    </xf>
    <xf numFmtId="4" fontId="11" fillId="0" borderId="13" xfId="0" applyNumberFormat="1" applyFont="1" applyBorder="1" applyAlignment="1">
      <alignment vertical="center"/>
    </xf>
    <xf numFmtId="0" fontId="11" fillId="0" borderId="17" xfId="0" applyFont="1" applyBorder="1" applyAlignment="1">
      <alignment vertical="center"/>
    </xf>
    <xf numFmtId="0" fontId="11" fillId="0" borderId="18" xfId="0" applyFont="1" applyBorder="1" applyAlignment="1">
      <alignment vertical="center"/>
    </xf>
    <xf numFmtId="0" fontId="11" fillId="0" borderId="22" xfId="0" applyFont="1" applyBorder="1" applyAlignment="1">
      <alignment vertical="center"/>
    </xf>
    <xf numFmtId="0" fontId="8" fillId="0" borderId="18" xfId="0" applyFont="1" applyBorder="1" applyAlignment="1">
      <alignment vertical="center"/>
    </xf>
    <xf numFmtId="0" fontId="11" fillId="0" borderId="5" xfId="0" applyFont="1" applyBorder="1" applyAlignment="1">
      <alignment vertical="center"/>
    </xf>
    <xf numFmtId="0" fontId="11" fillId="0" borderId="42" xfId="0" applyFont="1" applyBorder="1" applyAlignment="1">
      <alignment horizontal="center" vertical="center"/>
    </xf>
    <xf numFmtId="183" fontId="11" fillId="0" borderId="1" xfId="0" applyNumberFormat="1" applyFont="1" applyBorder="1" applyAlignment="1">
      <alignment horizontal="center" vertical="center"/>
    </xf>
    <xf numFmtId="0" fontId="11" fillId="0" borderId="1" xfId="0" applyNumberFormat="1" applyFont="1" applyBorder="1" applyAlignment="1">
      <alignment horizontal="center" vertical="center"/>
    </xf>
    <xf numFmtId="4" fontId="11" fillId="0" borderId="1" xfId="0" applyNumberFormat="1" applyFont="1" applyBorder="1" applyAlignment="1">
      <alignment horizontal="center" vertical="center"/>
    </xf>
    <xf numFmtId="0" fontId="11" fillId="0" borderId="1" xfId="0" applyFont="1" applyBorder="1" applyAlignment="1">
      <alignment vertical="center"/>
    </xf>
    <xf numFmtId="0" fontId="11" fillId="0" borderId="1" xfId="0" applyNumberFormat="1" applyFont="1" applyBorder="1" applyAlignment="1">
      <alignment vertical="center"/>
    </xf>
    <xf numFmtId="0" fontId="11" fillId="0" borderId="34" xfId="0" applyFont="1" applyBorder="1" applyAlignment="1">
      <alignment vertical="center"/>
    </xf>
    <xf numFmtId="0" fontId="11" fillId="0" borderId="39" xfId="0" applyFont="1" applyBorder="1" applyAlignment="1">
      <alignment vertical="center"/>
    </xf>
    <xf numFmtId="0" fontId="11" fillId="0" borderId="43" xfId="0" applyFont="1" applyBorder="1" applyAlignment="1">
      <alignment horizontal="center" vertical="center"/>
    </xf>
    <xf numFmtId="4" fontId="11" fillId="0" borderId="1" xfId="17" applyNumberFormat="1" applyFont="1" applyBorder="1" applyAlignment="1">
      <alignment vertical="center"/>
    </xf>
    <xf numFmtId="9" fontId="11" fillId="0" borderId="1" xfId="2" applyFont="1" applyBorder="1" applyAlignment="1">
      <alignment horizontal="center" vertical="center"/>
    </xf>
    <xf numFmtId="4" fontId="11" fillId="0" borderId="44" xfId="0" applyNumberFormat="1" applyFont="1" applyBorder="1" applyAlignment="1">
      <alignment vertical="center"/>
    </xf>
    <xf numFmtId="0" fontId="11" fillId="0" borderId="38" xfId="0" applyFont="1" applyBorder="1" applyAlignment="1">
      <alignment vertical="center"/>
    </xf>
    <xf numFmtId="0" fontId="11" fillId="0" borderId="0" xfId="0" applyFont="1" applyAlignment="1">
      <alignment horizontal="center" vertical="center"/>
    </xf>
    <xf numFmtId="0" fontId="22" fillId="0" borderId="0" xfId="0" applyFont="1" applyAlignment="1">
      <alignment horizontal="centerContinuous" vertical="center"/>
    </xf>
    <xf numFmtId="0" fontId="11" fillId="0" borderId="0" xfId="0" applyFont="1" applyAlignment="1">
      <alignment horizontal="centerContinuous" vertical="center"/>
    </xf>
    <xf numFmtId="0" fontId="11" fillId="0" borderId="45" xfId="0" applyFont="1" applyBorder="1" applyAlignment="1">
      <alignment horizontal="centerContinuous" vertical="center"/>
    </xf>
    <xf numFmtId="0" fontId="11" fillId="0" borderId="7" xfId="0" applyFont="1" applyBorder="1" applyAlignment="1">
      <alignment horizontal="centerContinuous" vertical="center"/>
    </xf>
    <xf numFmtId="0" fontId="11" fillId="0" borderId="46" xfId="0" applyFont="1" applyBorder="1" applyAlignment="1">
      <alignment horizontal="centerContinuous" vertical="center"/>
    </xf>
    <xf numFmtId="0" fontId="11" fillId="0" borderId="46" xfId="0" applyFont="1" applyBorder="1" applyAlignment="1">
      <alignment horizontal="center" vertical="center"/>
    </xf>
    <xf numFmtId="0" fontId="11" fillId="0" borderId="7" xfId="0" applyFont="1" applyBorder="1" applyAlignment="1">
      <alignment horizontal="center" vertical="center"/>
    </xf>
    <xf numFmtId="9" fontId="11" fillId="0" borderId="4" xfId="0" applyNumberFormat="1" applyFont="1" applyBorder="1" applyAlignment="1">
      <alignment vertical="center"/>
    </xf>
    <xf numFmtId="4" fontId="11" fillId="0" borderId="3" xfId="0" applyNumberFormat="1" applyFont="1" applyBorder="1" applyAlignment="1">
      <alignment vertical="center"/>
    </xf>
    <xf numFmtId="0" fontId="11" fillId="0" borderId="28" xfId="0" applyFont="1" applyBorder="1" applyAlignment="1">
      <alignment vertical="center"/>
    </xf>
    <xf numFmtId="9" fontId="11" fillId="0" borderId="40" xfId="0" applyNumberFormat="1" applyFont="1" applyBorder="1" applyAlignment="1">
      <alignment vertical="center"/>
    </xf>
    <xf numFmtId="4" fontId="11" fillId="0" borderId="18" xfId="0" applyNumberFormat="1" applyFont="1" applyBorder="1" applyAlignment="1">
      <alignment vertical="center"/>
    </xf>
    <xf numFmtId="4" fontId="11" fillId="0" borderId="31" xfId="0" applyNumberFormat="1" applyFont="1" applyBorder="1" applyAlignment="1">
      <alignment vertical="center"/>
    </xf>
    <xf numFmtId="0" fontId="2" fillId="0" borderId="0" xfId="0" applyFont="1" applyFill="1" applyBorder="1" applyAlignment="1">
      <alignment vertical="center"/>
    </xf>
    <xf numFmtId="10" fontId="0" fillId="0" borderId="0" xfId="0" applyNumberFormat="1"/>
    <xf numFmtId="1" fontId="11" fillId="0" borderId="1" xfId="2" applyNumberFormat="1" applyFont="1" applyBorder="1" applyAlignment="1">
      <alignment horizontal="center" vertical="center"/>
    </xf>
    <xf numFmtId="4" fontId="11" fillId="0" borderId="37" xfId="0" quotePrefix="1" applyNumberFormat="1" applyFont="1" applyBorder="1" applyAlignment="1">
      <alignment horizontal="center" vertical="center"/>
    </xf>
    <xf numFmtId="44" fontId="0" fillId="0" borderId="0" xfId="16" applyFont="1" applyBorder="1"/>
    <xf numFmtId="0" fontId="0" fillId="0" borderId="47" xfId="0" applyBorder="1"/>
    <xf numFmtId="0" fontId="11" fillId="0" borderId="2" xfId="0" applyFont="1" applyBorder="1" applyAlignment="1">
      <alignment vertical="center"/>
    </xf>
    <xf numFmtId="0" fontId="11" fillId="0" borderId="48" xfId="0" applyFont="1" applyBorder="1" applyAlignment="1">
      <alignment vertical="center"/>
    </xf>
    <xf numFmtId="0" fontId="11" fillId="0" borderId="12" xfId="0" applyFont="1" applyBorder="1" applyAlignment="1">
      <alignment vertical="center"/>
    </xf>
    <xf numFmtId="0" fontId="11" fillId="0" borderId="16" xfId="0" applyFont="1" applyBorder="1" applyAlignment="1">
      <alignment vertical="center"/>
    </xf>
    <xf numFmtId="3" fontId="11" fillId="0" borderId="10" xfId="0" applyNumberFormat="1" applyFont="1" applyBorder="1" applyAlignment="1">
      <alignment horizontal="center" vertical="center"/>
    </xf>
    <xf numFmtId="3" fontId="11" fillId="0" borderId="10" xfId="0" applyNumberFormat="1" applyFont="1" applyBorder="1" applyAlignment="1">
      <alignment vertical="center"/>
    </xf>
    <xf numFmtId="182" fontId="11" fillId="0" borderId="10" xfId="0" applyNumberFormat="1" applyFont="1" applyBorder="1" applyAlignment="1">
      <alignment vertical="center"/>
    </xf>
    <xf numFmtId="0" fontId="11" fillId="0" borderId="11" xfId="0" applyFont="1" applyBorder="1" applyAlignment="1">
      <alignment vertical="center"/>
    </xf>
    <xf numFmtId="3" fontId="11" fillId="0" borderId="5" xfId="0" applyNumberFormat="1" applyFont="1" applyBorder="1" applyAlignment="1">
      <alignment horizontal="center" vertical="center"/>
    </xf>
    <xf numFmtId="182" fontId="11" fillId="0" borderId="5" xfId="0" applyNumberFormat="1" applyFont="1" applyBorder="1" applyAlignment="1">
      <alignment vertical="center"/>
    </xf>
    <xf numFmtId="4" fontId="11" fillId="0" borderId="9" xfId="0" applyNumberFormat="1" applyFont="1" applyBorder="1" applyAlignment="1">
      <alignment vertical="center"/>
    </xf>
    <xf numFmtId="4" fontId="11" fillId="0" borderId="5" xfId="0" applyNumberFormat="1" applyFont="1" applyBorder="1" applyAlignment="1">
      <alignment vertical="center"/>
    </xf>
    <xf numFmtId="3" fontId="11" fillId="3" borderId="9" xfId="0" applyNumberFormat="1" applyFont="1" applyFill="1" applyBorder="1" applyAlignment="1">
      <alignment vertical="center"/>
    </xf>
    <xf numFmtId="3" fontId="11" fillId="3" borderId="5" xfId="0" applyNumberFormat="1" applyFont="1" applyFill="1" applyBorder="1" applyAlignment="1">
      <alignment vertical="center"/>
    </xf>
    <xf numFmtId="3" fontId="11" fillId="0" borderId="14" xfId="0" applyNumberFormat="1" applyFont="1" applyBorder="1" applyAlignment="1">
      <alignment horizontal="center" vertical="center"/>
    </xf>
    <xf numFmtId="3" fontId="11" fillId="3" borderId="1" xfId="0" applyNumberFormat="1" applyFont="1" applyFill="1" applyBorder="1" applyAlignment="1">
      <alignment vertical="center"/>
    </xf>
    <xf numFmtId="4" fontId="11" fillId="0" borderId="22" xfId="0" applyNumberFormat="1" applyFont="1" applyBorder="1" applyAlignment="1">
      <alignment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185" fontId="11" fillId="0" borderId="9" xfId="0" applyNumberFormat="1" applyFont="1" applyBorder="1" applyAlignment="1">
      <alignment horizontal="center" vertical="center"/>
    </xf>
    <xf numFmtId="4" fontId="11" fillId="0" borderId="11" xfId="0" applyNumberFormat="1" applyFont="1" applyBorder="1" applyAlignment="1">
      <alignment vertical="center"/>
    </xf>
    <xf numFmtId="185" fontId="11" fillId="0" borderId="1" xfId="0" applyNumberFormat="1"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185" fontId="11" fillId="0" borderId="1" xfId="0" applyNumberFormat="1" applyFont="1" applyBorder="1" applyAlignment="1">
      <alignment vertical="center"/>
    </xf>
    <xf numFmtId="177" fontId="11" fillId="0" borderId="1" xfId="0" applyNumberFormat="1" applyFont="1" applyBorder="1" applyAlignment="1">
      <alignment horizontal="center" vertical="center"/>
    </xf>
    <xf numFmtId="185" fontId="11" fillId="0" borderId="9" xfId="0" applyNumberFormat="1" applyFont="1" applyBorder="1" applyAlignment="1">
      <alignment vertical="center"/>
    </xf>
    <xf numFmtId="0" fontId="0" fillId="0" borderId="2" xfId="0" applyBorder="1"/>
    <xf numFmtId="0" fontId="0" fillId="0" borderId="3" xfId="0" applyBorder="1"/>
    <xf numFmtId="0" fontId="0" fillId="0" borderId="4" xfId="0" applyBorder="1"/>
    <xf numFmtId="0" fontId="0" fillId="0" borderId="1" xfId="0" applyBorder="1"/>
    <xf numFmtId="0" fontId="30" fillId="0" borderId="2" xfId="0" applyFont="1" applyBorder="1"/>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3" fontId="11" fillId="0" borderId="1" xfId="0" applyNumberFormat="1" applyFont="1" applyBorder="1" applyAlignment="1">
      <alignment horizontal="right" vertical="center"/>
    </xf>
    <xf numFmtId="3" fontId="11" fillId="0" borderId="4" xfId="0" applyNumberFormat="1" applyFont="1" applyBorder="1" applyAlignment="1">
      <alignment horizontal="center" vertical="center"/>
    </xf>
    <xf numFmtId="3" fontId="11" fillId="0" borderId="2" xfId="0" applyNumberFormat="1" applyFont="1" applyBorder="1" applyAlignment="1">
      <alignment horizontal="center" vertical="center"/>
    </xf>
    <xf numFmtId="3" fontId="11" fillId="0" borderId="3" xfId="0" applyNumberFormat="1"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4" fontId="0" fillId="0" borderId="0" xfId="0" applyNumberFormat="1"/>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49" xfId="0" applyFont="1" applyBorder="1" applyAlignment="1">
      <alignment horizontal="left"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4" fontId="11" fillId="0" borderId="40" xfId="0" applyNumberFormat="1" applyFont="1" applyBorder="1" applyAlignment="1">
      <alignment horizontal="center" vertical="center"/>
    </xf>
    <xf numFmtId="4" fontId="11" fillId="0" borderId="41" xfId="0" applyNumberFormat="1"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11" fillId="0" borderId="45" xfId="0" applyFont="1" applyBorder="1" applyAlignment="1">
      <alignment horizontal="center" vertical="center"/>
    </xf>
    <xf numFmtId="0" fontId="12" fillId="0" borderId="49" xfId="0" applyFont="1" applyBorder="1" applyAlignment="1">
      <alignment horizontal="left"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185" fontId="11" fillId="0" borderId="10" xfId="0" applyNumberFormat="1" applyFont="1" applyBorder="1" applyAlignment="1">
      <alignment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10" fontId="11" fillId="0" borderId="1" xfId="2" applyNumberFormat="1"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4" fontId="11" fillId="0" borderId="10" xfId="0" applyNumberFormat="1" applyFont="1" applyBorder="1" applyAlignment="1">
      <alignment vertical="center"/>
    </xf>
    <xf numFmtId="0" fontId="18" fillId="0" borderId="0" xfId="0" applyFont="1" applyBorder="1" applyAlignment="1">
      <alignment horizontal="center" vertical="center"/>
    </xf>
    <xf numFmtId="0" fontId="18" fillId="0" borderId="0" xfId="1" applyNumberFormat="1" applyFont="1" applyFill="1" applyBorder="1" applyAlignment="1">
      <alignment vertical="center"/>
    </xf>
    <xf numFmtId="181" fontId="18" fillId="0" borderId="0" xfId="1" applyNumberFormat="1" applyFont="1" applyFill="1" applyBorder="1" applyAlignment="1">
      <alignmen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0" fillId="0" borderId="0" xfId="0" applyBorder="1" applyAlignment="1">
      <alignment horizontal="center"/>
    </xf>
    <xf numFmtId="0" fontId="11" fillId="0" borderId="37" xfId="0" applyFont="1" applyBorder="1" applyAlignment="1">
      <alignment horizontal="center" vertical="center"/>
    </xf>
    <xf numFmtId="44" fontId="0" fillId="0" borderId="1" xfId="0" applyNumberFormat="1" applyBorder="1"/>
    <xf numFmtId="44" fontId="0" fillId="0" borderId="47" xfId="0" applyNumberFormat="1" applyBorder="1"/>
    <xf numFmtId="9" fontId="11" fillId="0" borderId="1" xfId="2" applyNumberFormat="1" applyFont="1" applyBorder="1" applyAlignment="1">
      <alignment horizontal="center" vertical="center"/>
    </xf>
    <xf numFmtId="0" fontId="16" fillId="5" borderId="50" xfId="0" applyFont="1" applyFill="1" applyBorder="1" applyAlignment="1">
      <alignment horizontal="center" vertical="center" wrapText="1"/>
    </xf>
    <xf numFmtId="0" fontId="16" fillId="5" borderId="51" xfId="0" applyFont="1" applyFill="1" applyBorder="1" applyAlignment="1">
      <alignment horizontal="center" vertical="center" wrapText="1"/>
    </xf>
    <xf numFmtId="0" fontId="11" fillId="0" borderId="0" xfId="0" applyFont="1" applyFill="1" applyBorder="1" applyAlignment="1">
      <alignment vertical="center"/>
    </xf>
    <xf numFmtId="0" fontId="8" fillId="0" borderId="0" xfId="0" applyFont="1" applyFill="1" applyBorder="1" applyAlignment="1">
      <alignment horizontal="center"/>
    </xf>
    <xf numFmtId="43" fontId="8" fillId="0" borderId="0" xfId="1" applyFont="1" applyFill="1" applyBorder="1" applyAlignment="1">
      <alignment horizontal="center"/>
    </xf>
    <xf numFmtId="0" fontId="22" fillId="0" borderId="0" xfId="0" applyFont="1" applyFill="1" applyBorder="1" applyAlignment="1">
      <alignment horizontal="center" vertical="center"/>
    </xf>
    <xf numFmtId="0" fontId="2" fillId="0" borderId="0" xfId="0" applyFont="1" applyFill="1" applyBorder="1"/>
    <xf numFmtId="44" fontId="1" fillId="0" borderId="0" xfId="16" applyNumberFormat="1" applyFill="1" applyBorder="1" applyAlignment="1">
      <alignment horizontal="center"/>
    </xf>
    <xf numFmtId="10" fontId="1" fillId="0" borderId="0" xfId="2" applyNumberFormat="1" applyFill="1" applyBorder="1" applyAlignment="1">
      <alignment horizontal="center"/>
    </xf>
    <xf numFmtId="43" fontId="8" fillId="0" borderId="0" xfId="1" applyFont="1" applyFill="1" applyBorder="1"/>
    <xf numFmtId="44" fontId="0" fillId="0" borderId="0" xfId="16" applyNumberFormat="1" applyFont="1" applyFill="1" applyBorder="1"/>
    <xf numFmtId="0" fontId="25" fillId="0" borderId="0" xfId="0" applyFont="1" applyFill="1" applyBorder="1"/>
    <xf numFmtId="44" fontId="0" fillId="0" borderId="0" xfId="16" applyNumberFormat="1" applyFont="1" applyFill="1" applyBorder="1" applyAlignment="1">
      <alignment horizontal="center"/>
    </xf>
    <xf numFmtId="10" fontId="1" fillId="0" borderId="0" xfId="1" applyNumberFormat="1" applyFill="1" applyBorder="1" applyAlignment="1">
      <alignment horizontal="center"/>
    </xf>
    <xf numFmtId="44" fontId="24" fillId="0" borderId="0" xfId="16" applyNumberFormat="1" applyFont="1" applyFill="1" applyBorder="1" applyAlignment="1">
      <alignment horizontal="center"/>
    </xf>
    <xf numFmtId="10" fontId="0" fillId="0" borderId="0" xfId="0" applyNumberFormat="1" applyFill="1" applyBorder="1" applyAlignment="1">
      <alignment horizontal="center"/>
    </xf>
    <xf numFmtId="10" fontId="0" fillId="0" borderId="0" xfId="0" applyNumberFormat="1" applyFill="1" applyBorder="1"/>
    <xf numFmtId="0" fontId="17" fillId="0" borderId="52" xfId="0" applyFont="1" applyFill="1" applyBorder="1" applyAlignment="1">
      <alignment vertical="center"/>
    </xf>
    <xf numFmtId="0" fontId="17" fillId="0" borderId="53" xfId="0" applyFont="1" applyFill="1" applyBorder="1" applyAlignment="1">
      <alignment vertical="center"/>
    </xf>
    <xf numFmtId="0" fontId="17" fillId="0" borderId="52" xfId="0" applyFont="1" applyFill="1" applyBorder="1" applyAlignment="1">
      <alignment horizontal="center" vertical="center"/>
    </xf>
    <xf numFmtId="0" fontId="17" fillId="0" borderId="53" xfId="0" applyFont="1" applyFill="1" applyBorder="1" applyAlignment="1">
      <alignment horizontal="center" vertical="center"/>
    </xf>
    <xf numFmtId="9" fontId="26" fillId="0" borderId="52" xfId="0" applyNumberFormat="1" applyFont="1" applyFill="1" applyBorder="1" applyAlignment="1">
      <alignment horizontal="center" vertical="center"/>
    </xf>
    <xf numFmtId="9" fontId="26" fillId="0" borderId="53" xfId="0" applyNumberFormat="1" applyFont="1" applyFill="1" applyBorder="1" applyAlignment="1">
      <alignment horizontal="center"/>
    </xf>
    <xf numFmtId="10" fontId="27" fillId="0" borderId="53" xfId="1" applyNumberFormat="1" applyFont="1" applyFill="1" applyBorder="1" applyAlignment="1">
      <alignment horizontal="center" vertical="center"/>
    </xf>
    <xf numFmtId="43" fontId="0" fillId="2" borderId="47" xfId="0" applyNumberFormat="1" applyFill="1" applyBorder="1"/>
    <xf numFmtId="0" fontId="21" fillId="0" borderId="53" xfId="0" applyFont="1" applyFill="1" applyBorder="1" applyAlignment="1">
      <alignment vertical="center"/>
    </xf>
    <xf numFmtId="0" fontId="21" fillId="0" borderId="53" xfId="0" applyFont="1" applyFill="1" applyBorder="1" applyAlignment="1">
      <alignment horizontal="center" vertical="center"/>
    </xf>
    <xf numFmtId="44" fontId="21" fillId="0" borderId="53" xfId="16" applyFont="1" applyFill="1" applyBorder="1" applyAlignment="1">
      <alignment horizontal="center" vertical="center"/>
    </xf>
    <xf numFmtId="44" fontId="0" fillId="0" borderId="0" xfId="0" applyNumberFormat="1" applyBorder="1"/>
    <xf numFmtId="0" fontId="21" fillId="0" borderId="54" xfId="0" applyFont="1" applyFill="1" applyBorder="1" applyAlignment="1">
      <alignment vertical="center"/>
    </xf>
    <xf numFmtId="0" fontId="21" fillId="0" borderId="54" xfId="0" applyFont="1" applyFill="1" applyBorder="1" applyAlignment="1">
      <alignment horizontal="center" vertical="center"/>
    </xf>
    <xf numFmtId="44" fontId="21" fillId="0" borderId="54" xfId="16" applyFont="1" applyFill="1" applyBorder="1" applyAlignment="1">
      <alignment horizontal="center" vertical="center"/>
    </xf>
    <xf numFmtId="4" fontId="11" fillId="0" borderId="2" xfId="19" applyNumberFormat="1" applyFont="1" applyBorder="1"/>
    <xf numFmtId="3" fontId="31" fillId="0" borderId="1" xfId="19" applyNumberFormat="1" applyFont="1" applyBorder="1" applyAlignment="1">
      <alignment horizontal="center"/>
    </xf>
    <xf numFmtId="3" fontId="11" fillId="0" borderId="1" xfId="19" applyNumberFormat="1" applyFont="1" applyBorder="1"/>
    <xf numFmtId="4" fontId="31" fillId="0" borderId="1" xfId="19" applyNumberFormat="1" applyFont="1" applyBorder="1"/>
    <xf numFmtId="3" fontId="11" fillId="0" borderId="9" xfId="19" applyNumberFormat="1" applyFont="1" applyBorder="1" applyAlignment="1">
      <alignment horizontal="center"/>
    </xf>
    <xf numFmtId="3" fontId="11" fillId="0" borderId="9" xfId="19" applyNumberFormat="1" applyFont="1" applyBorder="1"/>
    <xf numFmtId="0" fontId="11" fillId="0" borderId="32" xfId="19" applyFont="1" applyBorder="1"/>
    <xf numFmtId="0" fontId="11" fillId="0" borderId="31" xfId="19" applyFont="1" applyBorder="1"/>
    <xf numFmtId="0" fontId="11" fillId="0" borderId="0" xfId="19" applyFont="1"/>
    <xf numFmtId="0" fontId="22" fillId="0" borderId="0" xfId="19" applyFont="1" applyAlignment="1">
      <alignment horizontal="center"/>
    </xf>
    <xf numFmtId="4" fontId="11" fillId="0" borderId="35" xfId="19" applyNumberFormat="1" applyFont="1" applyBorder="1"/>
    <xf numFmtId="3" fontId="11" fillId="0" borderId="1" xfId="19" applyNumberFormat="1" applyFont="1" applyBorder="1" applyAlignment="1">
      <alignment horizontal="center"/>
    </xf>
    <xf numFmtId="4" fontId="11" fillId="0" borderId="1" xfId="19" applyNumberFormat="1" applyFont="1" applyBorder="1"/>
    <xf numFmtId="4" fontId="11" fillId="0" borderId="2" xfId="0" applyNumberFormat="1" applyFont="1" applyBorder="1"/>
    <xf numFmtId="4" fontId="11" fillId="0" borderId="1" xfId="0" applyNumberFormat="1" applyFont="1" applyBorder="1" applyAlignment="1">
      <alignment horizontal="center"/>
    </xf>
    <xf numFmtId="4" fontId="11" fillId="0" borderId="1" xfId="0" applyNumberFormat="1" applyFont="1" applyBorder="1"/>
    <xf numFmtId="2" fontId="11" fillId="0" borderId="1" xfId="0" applyNumberFormat="1" applyFont="1" applyBorder="1" applyAlignment="1">
      <alignment horizontal="center" vertical="center"/>
    </xf>
    <xf numFmtId="0" fontId="11" fillId="0" borderId="19" xfId="0" applyFont="1" applyBorder="1" applyAlignment="1">
      <alignment vertical="center"/>
    </xf>
    <xf numFmtId="0" fontId="11" fillId="0" borderId="8" xfId="0" applyFont="1" applyBorder="1" applyAlignment="1">
      <alignment horizontal="center" vertical="center"/>
    </xf>
    <xf numFmtId="4" fontId="11" fillId="0" borderId="56" xfId="0" applyNumberFormat="1" applyFont="1" applyBorder="1" applyAlignment="1">
      <alignment vertical="center"/>
    </xf>
    <xf numFmtId="4" fontId="11" fillId="0" borderId="2" xfId="19" applyNumberFormat="1" applyFont="1" applyBorder="1" applyAlignment="1">
      <alignment vertical="center"/>
    </xf>
    <xf numFmtId="0" fontId="16" fillId="5" borderId="35" xfId="0" applyFont="1" applyFill="1" applyBorder="1" applyAlignment="1">
      <alignment horizontal="center" vertical="center" wrapText="1"/>
    </xf>
    <xf numFmtId="0" fontId="0" fillId="0" borderId="0" xfId="0" applyFill="1"/>
    <xf numFmtId="0" fontId="0" fillId="0" borderId="0" xfId="0" applyFill="1" applyAlignment="1">
      <alignment horizontal="center"/>
    </xf>
    <xf numFmtId="44" fontId="32" fillId="0" borderId="0" xfId="16" applyFont="1" applyFill="1" applyBorder="1"/>
    <xf numFmtId="0" fontId="6" fillId="0" borderId="0" xfId="0" applyFont="1" applyBorder="1" applyAlignment="1">
      <alignment horizontal="center"/>
    </xf>
    <xf numFmtId="44" fontId="34" fillId="0" borderId="0" xfId="16" applyFont="1" applyAlignment="1">
      <alignment horizontal="center"/>
    </xf>
    <xf numFmtId="44" fontId="34" fillId="0" borderId="0" xfId="16" applyFont="1" applyBorder="1" applyAlignment="1">
      <alignment horizontal="center"/>
    </xf>
    <xf numFmtId="0" fontId="16" fillId="5" borderId="30" xfId="0" applyFont="1" applyFill="1" applyBorder="1" applyAlignment="1">
      <alignment horizontal="center" vertical="center" wrapText="1"/>
    </xf>
    <xf numFmtId="0" fontId="20" fillId="0" borderId="0" xfId="0" applyFont="1" applyFill="1" applyBorder="1" applyAlignment="1">
      <alignment horizontal="center" vertical="center" wrapText="1"/>
    </xf>
    <xf numFmtId="44" fontId="17" fillId="0" borderId="0" xfId="16" applyFont="1" applyFill="1" applyBorder="1" applyAlignment="1">
      <alignment vertical="center"/>
    </xf>
    <xf numFmtId="44" fontId="0" fillId="0" borderId="0" xfId="16" applyFont="1" applyFill="1" applyBorder="1"/>
    <xf numFmtId="0" fontId="2" fillId="0" borderId="0" xfId="0" applyFont="1" applyFill="1" applyBorder="1" applyAlignment="1">
      <alignment horizontal="center" vertical="center" wrapText="1"/>
    </xf>
    <xf numFmtId="0" fontId="0" fillId="0" borderId="18" xfId="0" applyBorder="1"/>
    <xf numFmtId="0" fontId="2" fillId="0" borderId="67"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69" xfId="0" applyFont="1" applyFill="1" applyBorder="1" applyAlignment="1">
      <alignment horizontal="center" vertical="center" wrapText="1"/>
    </xf>
    <xf numFmtId="0" fontId="13" fillId="0" borderId="67" xfId="0" applyFont="1" applyBorder="1" applyAlignment="1">
      <alignment horizontal="center"/>
    </xf>
    <xf numFmtId="170" fontId="13" fillId="0" borderId="68" xfId="0" applyNumberFormat="1" applyFont="1" applyBorder="1" applyAlignment="1">
      <alignment horizontal="center"/>
    </xf>
    <xf numFmtId="0" fontId="13"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170" fontId="13" fillId="0" borderId="67" xfId="0" applyNumberFormat="1" applyFont="1" applyBorder="1" applyAlignment="1">
      <alignment horizontal="center"/>
    </xf>
    <xf numFmtId="0" fontId="0" fillId="0" borderId="68" xfId="0" applyBorder="1"/>
    <xf numFmtId="2" fontId="0" fillId="0" borderId="69" xfId="0" applyNumberFormat="1" applyBorder="1" applyAlignment="1">
      <alignment horizontal="center"/>
    </xf>
    <xf numFmtId="44" fontId="13" fillId="0" borderId="67" xfId="0" applyNumberFormat="1" applyFont="1" applyBorder="1" applyAlignment="1">
      <alignment horizontal="center"/>
    </xf>
    <xf numFmtId="0" fontId="0" fillId="0" borderId="69" xfId="0" applyBorder="1"/>
    <xf numFmtId="2" fontId="13" fillId="0" borderId="67" xfId="0" applyNumberFormat="1" applyFont="1" applyBorder="1" applyAlignment="1">
      <alignment horizontal="center"/>
    </xf>
    <xf numFmtId="2" fontId="13" fillId="0" borderId="68" xfId="0" applyNumberFormat="1" applyFont="1" applyBorder="1" applyAlignment="1">
      <alignment horizontal="center"/>
    </xf>
    <xf numFmtId="0" fontId="0" fillId="0" borderId="67" xfId="0" applyBorder="1"/>
    <xf numFmtId="44" fontId="0" fillId="0" borderId="70" xfId="0" applyNumberFormat="1" applyBorder="1"/>
    <xf numFmtId="44" fontId="0" fillId="0" borderId="71" xfId="0" applyNumberFormat="1" applyBorder="1"/>
    <xf numFmtId="44" fontId="0" fillId="0" borderId="72" xfId="0" applyNumberFormat="1" applyBorder="1"/>
    <xf numFmtId="44" fontId="0" fillId="0" borderId="73" xfId="0" applyNumberFormat="1" applyFont="1" applyBorder="1" applyAlignment="1">
      <alignment horizontal="center"/>
    </xf>
    <xf numFmtId="0" fontId="0" fillId="0" borderId="74" xfId="0" applyBorder="1"/>
    <xf numFmtId="0" fontId="0" fillId="0" borderId="75" xfId="0" applyBorder="1"/>
    <xf numFmtId="44" fontId="0" fillId="0" borderId="67" xfId="0" applyNumberFormat="1" applyFont="1" applyBorder="1" applyAlignment="1">
      <alignment horizontal="center"/>
    </xf>
    <xf numFmtId="0" fontId="0" fillId="0" borderId="20" xfId="0" applyBorder="1" applyAlignment="1">
      <alignment horizontal="left"/>
    </xf>
    <xf numFmtId="0" fontId="0" fillId="0" borderId="0" xfId="0" applyBorder="1" applyAlignment="1">
      <alignment horizontal="left"/>
    </xf>
    <xf numFmtId="0" fontId="6" fillId="0" borderId="20" xfId="0" applyFont="1" applyBorder="1" applyAlignment="1">
      <alignment horizontal="center"/>
    </xf>
    <xf numFmtId="0" fontId="6" fillId="0" borderId="21"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xf>
    <xf numFmtId="44" fontId="0" fillId="0" borderId="18" xfId="0" applyNumberFormat="1" applyFont="1" applyBorder="1" applyAlignment="1">
      <alignment horizontal="center"/>
    </xf>
    <xf numFmtId="0" fontId="6" fillId="0" borderId="19" xfId="0" applyFont="1" applyBorder="1" applyAlignment="1">
      <alignment horizontal="center"/>
    </xf>
    <xf numFmtId="0" fontId="6" fillId="0" borderId="35" xfId="0" applyFont="1" applyBorder="1" applyAlignment="1">
      <alignment horizontal="center"/>
    </xf>
    <xf numFmtId="0" fontId="6" fillId="6" borderId="35" xfId="0" applyFont="1" applyFill="1" applyBorder="1" applyAlignment="1">
      <alignment horizontal="center"/>
    </xf>
    <xf numFmtId="44" fontId="0" fillId="6" borderId="35" xfId="0" applyNumberFormat="1" applyFont="1" applyFill="1" applyBorder="1" applyAlignment="1">
      <alignment horizontal="center"/>
    </xf>
    <xf numFmtId="3" fontId="11" fillId="0" borderId="1" xfId="19" applyNumberFormat="1" applyFont="1" applyBorder="1" applyAlignment="1">
      <alignment horizontal="center" vertical="center"/>
    </xf>
    <xf numFmtId="4" fontId="11" fillId="0" borderId="1" xfId="19" applyNumberFormat="1" applyFont="1" applyBorder="1" applyAlignment="1">
      <alignment horizontal="center" vertical="center"/>
    </xf>
    <xf numFmtId="182" fontId="11" fillId="0" borderId="1" xfId="19" applyNumberFormat="1" applyFont="1" applyBorder="1" applyAlignment="1">
      <alignment horizontal="center" vertical="center"/>
    </xf>
    <xf numFmtId="0" fontId="11" fillId="0" borderId="49" xfId="0" applyFont="1" applyBorder="1" applyAlignment="1">
      <alignment vertical="center"/>
    </xf>
    <xf numFmtId="0" fontId="11" fillId="0" borderId="15" xfId="0" applyFont="1" applyBorder="1" applyAlignment="1">
      <alignment vertical="center"/>
    </xf>
    <xf numFmtId="2" fontId="11" fillId="0" borderId="9" xfId="0" applyNumberFormat="1" applyFont="1" applyBorder="1" applyAlignment="1">
      <alignment horizontal="center" vertical="center"/>
    </xf>
    <xf numFmtId="4" fontId="11" fillId="0" borderId="9" xfId="0" applyNumberFormat="1" applyFont="1" applyBorder="1" applyAlignment="1">
      <alignment horizontal="center"/>
    </xf>
    <xf numFmtId="4" fontId="11" fillId="0" borderId="13" xfId="0" applyNumberFormat="1" applyFont="1" applyBorder="1" applyAlignment="1">
      <alignment horizontal="center" vertical="center"/>
    </xf>
    <xf numFmtId="4" fontId="11" fillId="0" borderId="9" xfId="0" applyNumberFormat="1" applyFont="1" applyBorder="1"/>
    <xf numFmtId="4" fontId="11" fillId="0" borderId="1" xfId="19" applyNumberFormat="1" applyFont="1" applyBorder="1" applyAlignment="1">
      <alignment horizontal="center"/>
    </xf>
    <xf numFmtId="0" fontId="2" fillId="2" borderId="68" xfId="0" applyFont="1" applyFill="1" applyBorder="1" applyAlignment="1">
      <alignment horizontal="center" vertical="center" wrapText="1"/>
    </xf>
    <xf numFmtId="0" fontId="0" fillId="2" borderId="68" xfId="0" applyFill="1" applyBorder="1" applyAlignment="1">
      <alignment horizontal="center"/>
    </xf>
    <xf numFmtId="170" fontId="13" fillId="2" borderId="68" xfId="0" applyNumberFormat="1" applyFont="1" applyFill="1" applyBorder="1" applyAlignment="1">
      <alignment horizontal="center"/>
    </xf>
    <xf numFmtId="2" fontId="0" fillId="2" borderId="68" xfId="0" applyNumberFormat="1" applyFill="1" applyBorder="1" applyAlignment="1">
      <alignment horizontal="center"/>
    </xf>
    <xf numFmtId="0" fontId="0" fillId="2" borderId="74" xfId="0" applyFill="1" applyBorder="1"/>
    <xf numFmtId="0" fontId="0" fillId="2" borderId="68" xfId="0" applyFill="1" applyBorder="1"/>
    <xf numFmtId="44" fontId="0" fillId="2" borderId="71" xfId="0" applyNumberFormat="1" applyFill="1" applyBorder="1"/>
    <xf numFmtId="170" fontId="0" fillId="2" borderId="68" xfId="0" applyNumberFormat="1" applyFill="1" applyBorder="1" applyAlignment="1">
      <alignment horizontal="center"/>
    </xf>
    <xf numFmtId="182" fontId="11" fillId="0" borderId="40" xfId="0" applyNumberFormat="1" applyFont="1" applyBorder="1" applyAlignment="1">
      <alignment vertical="center"/>
    </xf>
    <xf numFmtId="182" fontId="11" fillId="0" borderId="1" xfId="0" applyNumberFormat="1" applyFont="1" applyBorder="1" applyAlignment="1">
      <alignment horizontal="center" vertical="center"/>
    </xf>
    <xf numFmtId="0" fontId="11" fillId="0" borderId="46" xfId="0" applyFont="1" applyBorder="1" applyAlignment="1">
      <alignment horizontal="center" vertical="center"/>
    </xf>
    <xf numFmtId="49" fontId="6" fillId="0" borderId="0" xfId="0" applyNumberFormat="1" applyFont="1" applyAlignment="1">
      <alignment horizontal="center"/>
    </xf>
    <xf numFmtId="0" fontId="2" fillId="0" borderId="7" xfId="0" applyFont="1" applyFill="1" applyBorder="1" applyAlignment="1">
      <alignment horizontal="center" vertical="center" wrapText="1"/>
    </xf>
    <xf numFmtId="0" fontId="36" fillId="0" borderId="30" xfId="0" applyFont="1" applyBorder="1" applyAlignment="1">
      <alignment horizontal="center"/>
    </xf>
    <xf numFmtId="2" fontId="0" fillId="0" borderId="7" xfId="0" applyNumberFormat="1" applyBorder="1" applyAlignment="1">
      <alignment horizontal="center"/>
    </xf>
    <xf numFmtId="0" fontId="0" fillId="0" borderId="7" xfId="0" applyBorder="1"/>
    <xf numFmtId="44" fontId="36" fillId="0" borderId="30" xfId="0" applyNumberFormat="1" applyFont="1" applyBorder="1" applyAlignment="1">
      <alignment horizontal="center"/>
    </xf>
    <xf numFmtId="0" fontId="2" fillId="0" borderId="30"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13" fillId="0" borderId="32" xfId="0" applyFont="1" applyBorder="1" applyAlignment="1">
      <alignment horizontal="center"/>
    </xf>
    <xf numFmtId="0" fontId="13" fillId="0" borderId="30" xfId="0" applyFont="1" applyBorder="1"/>
    <xf numFmtId="0" fontId="0" fillId="0" borderId="32" xfId="0" applyBorder="1"/>
    <xf numFmtId="2" fontId="13" fillId="0" borderId="30" xfId="0" applyNumberFormat="1" applyFont="1" applyBorder="1" applyAlignment="1">
      <alignment horizontal="center"/>
    </xf>
    <xf numFmtId="2" fontId="0" fillId="0" borderId="32" xfId="0" applyNumberFormat="1" applyBorder="1" applyAlignment="1">
      <alignment horizontal="center"/>
    </xf>
    <xf numFmtId="0" fontId="13" fillId="0" borderId="31" xfId="0" applyFont="1" applyBorder="1" applyAlignment="1">
      <alignment horizontal="center"/>
    </xf>
    <xf numFmtId="44" fontId="0" fillId="0" borderId="31" xfId="0" applyNumberFormat="1" applyBorder="1"/>
    <xf numFmtId="44" fontId="0" fillId="0" borderId="35" xfId="0" applyNumberFormat="1" applyBorder="1"/>
    <xf numFmtId="2" fontId="13" fillId="0" borderId="31" xfId="0" applyNumberFormat="1" applyFont="1" applyBorder="1" applyAlignment="1">
      <alignment horizontal="center"/>
    </xf>
    <xf numFmtId="0" fontId="13" fillId="0" borderId="31" xfId="0" applyFont="1" applyBorder="1"/>
    <xf numFmtId="0" fontId="13" fillId="0" borderId="30" xfId="0" applyFont="1" applyBorder="1" applyAlignment="1">
      <alignment horizontal="center"/>
    </xf>
    <xf numFmtId="0" fontId="32" fillId="0" borderId="0" xfId="14" applyFont="1" applyFill="1" applyAlignment="1">
      <alignment horizontal="center"/>
    </xf>
    <xf numFmtId="0" fontId="32" fillId="0" borderId="0" xfId="14" applyFont="1" applyFill="1"/>
    <xf numFmtId="0" fontId="32" fillId="0" borderId="0" xfId="14" applyFont="1" applyFill="1" applyAlignment="1">
      <alignment horizontal="center" vertical="center"/>
    </xf>
    <xf numFmtId="173" fontId="32" fillId="0" borderId="0" xfId="15" applyNumberFormat="1" applyFont="1" applyFill="1" applyAlignment="1"/>
    <xf numFmtId="0" fontId="39" fillId="0" borderId="35" xfId="14" applyFont="1" applyFill="1" applyBorder="1" applyAlignment="1">
      <alignment horizontal="center" vertical="center"/>
    </xf>
    <xf numFmtId="44" fontId="32" fillId="0" borderId="0" xfId="16" applyFont="1" applyFill="1" applyBorder="1" applyAlignment="1">
      <alignment horizontal="center"/>
    </xf>
    <xf numFmtId="174" fontId="39" fillId="0" borderId="35" xfId="15" applyNumberFormat="1" applyFont="1" applyFill="1" applyBorder="1" applyAlignment="1">
      <alignment horizontal="center" vertical="center"/>
    </xf>
    <xf numFmtId="44" fontId="39" fillId="0" borderId="0" xfId="16" applyFont="1" applyFill="1" applyBorder="1" applyAlignment="1">
      <alignment vertical="center" wrapText="1"/>
    </xf>
    <xf numFmtId="175" fontId="32" fillId="0" borderId="0" xfId="14" applyNumberFormat="1" applyFont="1" applyFill="1"/>
    <xf numFmtId="44" fontId="32" fillId="0" borderId="0" xfId="16" applyFont="1" applyFill="1" applyBorder="1" applyAlignment="1">
      <alignment vertical="center"/>
    </xf>
    <xf numFmtId="0" fontId="32" fillId="0" borderId="0" xfId="14" applyFont="1" applyFill="1" applyBorder="1" applyAlignment="1">
      <alignment vertical="center"/>
    </xf>
    <xf numFmtId="44" fontId="39" fillId="0" borderId="0" xfId="16" applyFont="1" applyFill="1" applyBorder="1" applyAlignment="1">
      <alignment vertical="center"/>
    </xf>
    <xf numFmtId="4" fontId="11" fillId="0" borderId="46" xfId="0" quotePrefix="1" applyNumberFormat="1" applyFont="1" applyBorder="1" applyAlignment="1">
      <alignment horizontal="center" vertical="center"/>
    </xf>
    <xf numFmtId="0" fontId="11" fillId="0" borderId="76" xfId="0" applyFont="1" applyBorder="1" applyAlignment="1">
      <alignment horizontal="center" vertical="center"/>
    </xf>
    <xf numFmtId="4" fontId="11" fillId="0" borderId="5" xfId="17" applyNumberFormat="1" applyFont="1" applyBorder="1" applyAlignment="1">
      <alignment vertical="center"/>
    </xf>
    <xf numFmtId="9" fontId="11" fillId="0" borderId="5" xfId="2"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46" xfId="0" applyFont="1" applyBorder="1" applyAlignment="1">
      <alignment horizontal="center" vertical="center"/>
    </xf>
    <xf numFmtId="4" fontId="11" fillId="0" borderId="9" xfId="0" applyNumberFormat="1" applyFont="1" applyBorder="1" applyAlignment="1">
      <alignment horizontal="center" vertical="center"/>
    </xf>
    <xf numFmtId="0" fontId="11" fillId="0" borderId="16" xfId="0" applyFont="1" applyBorder="1" applyAlignment="1">
      <alignment horizontal="center" vertical="center"/>
    </xf>
    <xf numFmtId="0" fontId="11" fillId="0" borderId="0" xfId="0" applyFont="1" applyBorder="1" applyAlignment="1">
      <alignment horizontal="center" vertical="center"/>
    </xf>
    <xf numFmtId="0" fontId="11" fillId="0" borderId="57" xfId="0" applyFont="1" applyBorder="1" applyAlignment="1">
      <alignment horizontal="center" vertical="center"/>
    </xf>
    <xf numFmtId="4" fontId="31" fillId="0" borderId="40" xfId="19" applyNumberFormat="1" applyFont="1" applyBorder="1" applyAlignment="1">
      <alignment vertical="center"/>
    </xf>
    <xf numFmtId="0" fontId="22" fillId="0" borderId="0" xfId="0" quotePrefix="1" applyFont="1" applyFill="1" applyAlignment="1">
      <alignment horizontal="left" vertical="center"/>
    </xf>
    <xf numFmtId="44" fontId="11" fillId="0" borderId="12" xfId="0" applyNumberFormat="1" applyFont="1" applyBorder="1" applyAlignment="1">
      <alignment horizontal="center" vertical="center"/>
    </xf>
    <xf numFmtId="2" fontId="11" fillId="0" borderId="16" xfId="16" quotePrefix="1" applyNumberFormat="1" applyFont="1" applyBorder="1" applyAlignment="1">
      <alignment horizontal="center" vertical="center"/>
    </xf>
    <xf numFmtId="0" fontId="11" fillId="0" borderId="16" xfId="0" applyFont="1" applyBorder="1" applyAlignment="1">
      <alignment horizontal="right" vertical="center"/>
    </xf>
    <xf numFmtId="0" fontId="11" fillId="0" borderId="20" xfId="0" applyFont="1" applyBorder="1" applyAlignment="1">
      <alignment horizontal="left"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44" fontId="11" fillId="0" borderId="1" xfId="0" applyNumberFormat="1" applyFont="1" applyBorder="1" applyAlignment="1">
      <alignment horizontal="center" vertical="center"/>
    </xf>
    <xf numFmtId="0" fontId="11" fillId="0" borderId="29" xfId="0" applyFont="1" applyBorder="1" applyAlignment="1">
      <alignment horizontal="center" vertical="center"/>
    </xf>
    <xf numFmtId="44" fontId="11" fillId="0" borderId="44" xfId="0" applyNumberFormat="1" applyFont="1" applyBorder="1" applyAlignment="1">
      <alignment horizontal="center" vertical="center"/>
    </xf>
    <xf numFmtId="4" fontId="31" fillId="0" borderId="41" xfId="0" applyNumberFormat="1" applyFont="1" applyBorder="1" applyAlignment="1">
      <alignment vertical="center"/>
    </xf>
    <xf numFmtId="0" fontId="32" fillId="0" borderId="0" xfId="0" applyFont="1" applyFill="1" applyBorder="1"/>
    <xf numFmtId="44" fontId="6" fillId="0" borderId="0" xfId="16" applyFont="1" applyAlignment="1">
      <alignment horizontal="center"/>
    </xf>
    <xf numFmtId="0" fontId="6" fillId="0" borderId="1" xfId="0" applyFont="1" applyBorder="1" applyAlignment="1">
      <alignment horizontal="left"/>
    </xf>
    <xf numFmtId="0" fontId="6" fillId="0" borderId="1" xfId="0" applyFont="1" applyBorder="1"/>
    <xf numFmtId="44" fontId="13" fillId="0" borderId="47" xfId="16" applyFont="1" applyFill="1" applyBorder="1"/>
    <xf numFmtId="44" fontId="39" fillId="0" borderId="0" xfId="16" applyFont="1" applyFill="1" applyBorder="1" applyAlignment="1"/>
    <xf numFmtId="0" fontId="39" fillId="0" borderId="0" xfId="14" applyFont="1" applyFill="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44" fontId="0" fillId="0" borderId="0" xfId="16" applyFont="1" applyFill="1"/>
    <xf numFmtId="10" fontId="0" fillId="0" borderId="0" xfId="2" applyNumberFormat="1" applyFont="1"/>
    <xf numFmtId="186" fontId="0" fillId="0" borderId="0" xfId="0" applyNumberFormat="1"/>
    <xf numFmtId="186" fontId="0" fillId="0" borderId="0" xfId="0" applyNumberFormat="1" applyBorder="1"/>
    <xf numFmtId="44" fontId="36" fillId="0" borderId="47" xfId="16" applyFont="1" applyBorder="1"/>
    <xf numFmtId="0" fontId="0" fillId="0" borderId="77" xfId="0" applyFill="1" applyBorder="1"/>
    <xf numFmtId="44" fontId="0" fillId="0" borderId="77" xfId="0" applyNumberFormat="1" applyBorder="1"/>
    <xf numFmtId="43" fontId="0" fillId="2" borderId="77" xfId="0" applyNumberFormat="1" applyFill="1" applyBorder="1"/>
    <xf numFmtId="44" fontId="13" fillId="0" borderId="77" xfId="16" applyFont="1" applyFill="1" applyBorder="1"/>
    <xf numFmtId="0" fontId="36" fillId="0" borderId="59" xfId="0" applyFont="1" applyBorder="1"/>
    <xf numFmtId="44" fontId="36" fillId="0" borderId="60" xfId="16" applyFont="1" applyBorder="1"/>
    <xf numFmtId="44" fontId="36" fillId="0" borderId="61" xfId="16" applyFont="1" applyFill="1" applyBorder="1"/>
    <xf numFmtId="0" fontId="36" fillId="0" borderId="62" xfId="0" applyFont="1" applyBorder="1"/>
    <xf numFmtId="44" fontId="36" fillId="0" borderId="63" xfId="16" applyFont="1" applyBorder="1"/>
    <xf numFmtId="0" fontId="36" fillId="0" borderId="64" xfId="0" applyFont="1" applyFill="1" applyBorder="1"/>
    <xf numFmtId="44" fontId="36" fillId="0" borderId="65" xfId="0" applyNumberFormat="1" applyFont="1" applyFill="1" applyBorder="1"/>
    <xf numFmtId="43" fontId="36" fillId="0" borderId="65" xfId="0" applyNumberFormat="1" applyFont="1" applyFill="1" applyBorder="1"/>
    <xf numFmtId="44" fontId="36" fillId="0" borderId="66" xfId="16" applyFont="1" applyFill="1" applyBorder="1"/>
    <xf numFmtId="44" fontId="34" fillId="0" borderId="45" xfId="16" applyFont="1" applyBorder="1"/>
    <xf numFmtId="44" fontId="0" fillId="0" borderId="43" xfId="0" applyNumberFormat="1" applyBorder="1"/>
    <xf numFmtId="0" fontId="6" fillId="0" borderId="78" xfId="0" applyFont="1" applyBorder="1" applyAlignment="1">
      <alignment horizontal="center"/>
    </xf>
    <xf numFmtId="44" fontId="34" fillId="0" borderId="79" xfId="16" applyFont="1" applyBorder="1"/>
    <xf numFmtId="44" fontId="0" fillId="0" borderId="40" xfId="0" applyNumberFormat="1" applyBorder="1"/>
    <xf numFmtId="0" fontId="6" fillId="0" borderId="56" xfId="0" applyFont="1" applyBorder="1" applyAlignment="1">
      <alignment horizontal="center"/>
    </xf>
    <xf numFmtId="44" fontId="6" fillId="0" borderId="35" xfId="0" applyNumberFormat="1" applyFont="1" applyFill="1" applyBorder="1"/>
    <xf numFmtId="0" fontId="8" fillId="0" borderId="35" xfId="0" applyFont="1" applyBorder="1" applyAlignment="1">
      <alignment horizontal="center"/>
    </xf>
    <xf numFmtId="0" fontId="8" fillId="0" borderId="80" xfId="0" applyFont="1" applyBorder="1" applyAlignment="1">
      <alignment horizontal="center"/>
    </xf>
    <xf numFmtId="43" fontId="8" fillId="0" borderId="81" xfId="1" applyFont="1" applyBorder="1" applyAlignment="1">
      <alignment horizontal="center"/>
    </xf>
    <xf numFmtId="0" fontId="8" fillId="0" borderId="82" xfId="0" applyFont="1" applyBorder="1" applyAlignment="1">
      <alignment horizontal="center"/>
    </xf>
    <xf numFmtId="0" fontId="8" fillId="0" borderId="67" xfId="0" applyFont="1" applyBorder="1"/>
    <xf numFmtId="0" fontId="8" fillId="0" borderId="68" xfId="0" applyFont="1" applyBorder="1"/>
    <xf numFmtId="0" fontId="0" fillId="0" borderId="68" xfId="0" applyFill="1" applyBorder="1"/>
    <xf numFmtId="0" fontId="2" fillId="6" borderId="68" xfId="0" applyFont="1" applyFill="1" applyBorder="1"/>
    <xf numFmtId="0" fontId="21" fillId="6" borderId="68" xfId="0" applyFont="1" applyFill="1" applyBorder="1"/>
    <xf numFmtId="0" fontId="8" fillId="0" borderId="67" xfId="0" applyFont="1" applyBorder="1" applyAlignment="1">
      <alignment horizontal="center"/>
    </xf>
    <xf numFmtId="0" fontId="0" fillId="0" borderId="68" xfId="0" applyFill="1" applyBorder="1" applyAlignment="1">
      <alignment horizontal="center"/>
    </xf>
    <xf numFmtId="43" fontId="8" fillId="0" borderId="67" xfId="1" applyFont="1" applyBorder="1" applyAlignment="1">
      <alignment horizontal="center"/>
    </xf>
    <xf numFmtId="43" fontId="7" fillId="0" borderId="68" xfId="1" applyFont="1" applyBorder="1" applyAlignment="1">
      <alignment horizontal="center"/>
    </xf>
    <xf numFmtId="43" fontId="1" fillId="0" borderId="68" xfId="1" applyFill="1" applyBorder="1" applyAlignment="1">
      <alignment horizontal="center"/>
    </xf>
    <xf numFmtId="172" fontId="1" fillId="0" borderId="68" xfId="2" applyNumberFormat="1" applyFill="1" applyBorder="1" applyAlignment="1">
      <alignment horizontal="center"/>
    </xf>
    <xf numFmtId="10" fontId="1" fillId="0" borderId="68" xfId="2" applyNumberFormat="1" applyBorder="1" applyAlignment="1">
      <alignment horizontal="center"/>
    </xf>
    <xf numFmtId="43" fontId="1" fillId="0" borderId="68" xfId="1" applyBorder="1"/>
    <xf numFmtId="180" fontId="1" fillId="0" borderId="68" xfId="1" applyNumberFormat="1" applyFill="1" applyBorder="1"/>
    <xf numFmtId="10" fontId="1" fillId="0" borderId="68" xfId="2" applyNumberFormat="1" applyFill="1" applyBorder="1"/>
    <xf numFmtId="0" fontId="0" fillId="0" borderId="83" xfId="0" applyBorder="1"/>
    <xf numFmtId="0" fontId="0" fillId="0" borderId="74" xfId="0" applyBorder="1" applyAlignment="1">
      <alignment horizontal="center"/>
    </xf>
    <xf numFmtId="43" fontId="8" fillId="0" borderId="23" xfId="1" applyFont="1" applyBorder="1" applyAlignment="1">
      <alignment horizontal="center"/>
    </xf>
    <xf numFmtId="0" fontId="0" fillId="0" borderId="84" xfId="0" applyBorder="1"/>
    <xf numFmtId="0" fontId="0" fillId="0" borderId="73" xfId="0" applyBorder="1" applyAlignment="1">
      <alignment horizontal="center"/>
    </xf>
    <xf numFmtId="43" fontId="1" fillId="0" borderId="70" xfId="1" applyFill="1" applyBorder="1" applyAlignment="1">
      <alignment horizontal="center"/>
    </xf>
    <xf numFmtId="0" fontId="0" fillId="0" borderId="85" xfId="0" applyBorder="1"/>
    <xf numFmtId="43" fontId="1" fillId="0" borderId="71" xfId="1" applyFill="1" applyBorder="1" applyAlignment="1">
      <alignment horizontal="center"/>
    </xf>
    <xf numFmtId="0" fontId="0" fillId="0" borderId="86" xfId="0" applyBorder="1"/>
    <xf numFmtId="0" fontId="0" fillId="0" borderId="75" xfId="0" applyBorder="1" applyAlignment="1">
      <alignment horizontal="center"/>
    </xf>
    <xf numFmtId="43" fontId="1" fillId="0" borderId="72" xfId="1" applyFill="1" applyBorder="1" applyAlignment="1">
      <alignment horizontal="center"/>
    </xf>
    <xf numFmtId="44" fontId="1" fillId="0" borderId="68" xfId="16" applyBorder="1" applyAlignment="1">
      <alignment horizontal="center"/>
    </xf>
    <xf numFmtId="44" fontId="1" fillId="0" borderId="69" xfId="16" applyBorder="1" applyAlignment="1">
      <alignment horizontal="center"/>
    </xf>
    <xf numFmtId="0" fontId="0" fillId="0" borderId="67" xfId="0" applyBorder="1" applyAlignment="1">
      <alignment horizontal="center"/>
    </xf>
    <xf numFmtId="166" fontId="7" fillId="0" borderId="68" xfId="1" applyNumberFormat="1" applyFont="1" applyBorder="1" applyAlignment="1">
      <alignment horizontal="center"/>
    </xf>
    <xf numFmtId="166" fontId="0" fillId="0" borderId="68" xfId="0" applyNumberFormat="1" applyFill="1" applyBorder="1" applyAlignment="1">
      <alignment horizontal="center"/>
    </xf>
    <xf numFmtId="166" fontId="7" fillId="0" borderId="69" xfId="1" applyNumberFormat="1" applyFont="1" applyBorder="1" applyAlignment="1">
      <alignment horizontal="center"/>
    </xf>
    <xf numFmtId="186" fontId="0" fillId="0" borderId="1" xfId="0" applyNumberFormat="1" applyBorder="1"/>
    <xf numFmtId="44" fontId="11" fillId="0" borderId="57" xfId="0" applyNumberFormat="1" applyFont="1" applyBorder="1" applyAlignment="1">
      <alignment horizontal="center" vertical="center"/>
    </xf>
    <xf numFmtId="44" fontId="11" fillId="0" borderId="0" xfId="0" applyNumberFormat="1"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horizontal="left" vertical="center"/>
    </xf>
    <xf numFmtId="4" fontId="11" fillId="0" borderId="10" xfId="0" applyNumberFormat="1" applyFont="1" applyBorder="1" applyAlignment="1">
      <alignment horizontal="center" vertical="center"/>
    </xf>
    <xf numFmtId="44" fontId="11" fillId="0" borderId="2" xfId="0" applyNumberFormat="1" applyFont="1" applyBorder="1" applyAlignment="1">
      <alignment horizontal="center" vertical="center"/>
    </xf>
    <xf numFmtId="182" fontId="11" fillId="0" borderId="46" xfId="0" applyNumberFormat="1" applyFont="1" applyBorder="1" applyAlignment="1">
      <alignment horizontal="center" vertical="center"/>
    </xf>
    <xf numFmtId="182" fontId="11" fillId="0" borderId="10" xfId="0" applyNumberFormat="1"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4" fontId="11" fillId="3" borderId="1" xfId="0" applyNumberFormat="1" applyFont="1" applyFill="1" applyBorder="1" applyAlignment="1">
      <alignment vertical="center"/>
    </xf>
    <xf numFmtId="0" fontId="11" fillId="0" borderId="9" xfId="0" applyFont="1" applyBorder="1" applyAlignment="1">
      <alignment horizontal="center" vertical="center"/>
    </xf>
    <xf numFmtId="44" fontId="11" fillId="0" borderId="55" xfId="0" applyNumberFormat="1" applyFont="1" applyBorder="1" applyAlignment="1">
      <alignment horizontal="center" vertical="center"/>
    </xf>
    <xf numFmtId="3" fontId="11" fillId="3" borderId="9" xfId="0" applyNumberFormat="1" applyFont="1" applyFill="1" applyBorder="1" applyAlignment="1">
      <alignment horizontal="center" vertical="center"/>
    </xf>
    <xf numFmtId="3" fontId="11" fillId="3" borderId="1" xfId="0" applyNumberFormat="1" applyFont="1" applyFill="1" applyBorder="1" applyAlignment="1">
      <alignment horizontal="center" vertical="center"/>
    </xf>
    <xf numFmtId="0" fontId="11" fillId="0" borderId="8" xfId="0" applyFont="1" applyBorder="1" applyAlignment="1">
      <alignment vertical="center"/>
    </xf>
    <xf numFmtId="4" fontId="11" fillId="0" borderId="55" xfId="0" applyNumberFormat="1" applyFont="1" applyBorder="1" applyAlignment="1">
      <alignment vertical="center"/>
    </xf>
    <xf numFmtId="4" fontId="11" fillId="0" borderId="87" xfId="0" applyNumberFormat="1" applyFont="1" applyBorder="1" applyAlignment="1">
      <alignment vertical="center"/>
    </xf>
    <xf numFmtId="4" fontId="11" fillId="0" borderId="88" xfId="0" applyNumberFormat="1" applyFont="1" applyBorder="1" applyAlignment="1">
      <alignment vertical="center"/>
    </xf>
    <xf numFmtId="4" fontId="11" fillId="0" borderId="1" xfId="0" applyNumberFormat="1" applyFont="1" applyBorder="1" applyAlignment="1">
      <alignment horizontal="right"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37" xfId="0" applyFont="1" applyBorder="1" applyAlignment="1">
      <alignment horizontal="center" vertical="center"/>
    </xf>
    <xf numFmtId="0" fontId="11" fillId="0" borderId="46" xfId="0" applyFont="1" applyBorder="1" applyAlignment="1">
      <alignment horizontal="center" vertical="center"/>
    </xf>
    <xf numFmtId="185" fontId="11" fillId="0" borderId="1" xfId="19" applyNumberFormat="1" applyFont="1" applyBorder="1" applyAlignment="1">
      <alignment horizontal="center" vertical="center"/>
    </xf>
    <xf numFmtId="4" fontId="11" fillId="0" borderId="44" xfId="19" applyNumberFormat="1" applyFont="1" applyBorder="1" applyAlignment="1">
      <alignment vertical="center"/>
    </xf>
    <xf numFmtId="3" fontId="31" fillId="0" borderId="40" xfId="19" applyNumberFormat="1" applyFont="1" applyBorder="1" applyAlignment="1">
      <alignment horizontal="center"/>
    </xf>
    <xf numFmtId="3" fontId="11" fillId="0" borderId="40" xfId="19" applyNumberFormat="1" applyFont="1" applyBorder="1"/>
    <xf numFmtId="4" fontId="31" fillId="0" borderId="40" xfId="19" applyNumberFormat="1" applyFont="1" applyBorder="1"/>
    <xf numFmtId="4" fontId="11" fillId="0" borderId="56" xfId="19" applyNumberFormat="1" applyFont="1" applyBorder="1"/>
    <xf numFmtId="3" fontId="11" fillId="0" borderId="2" xfId="0" applyNumberFormat="1" applyFont="1" applyBorder="1" applyAlignment="1">
      <alignment horizontal="right" vertical="center"/>
    </xf>
    <xf numFmtId="3" fontId="11" fillId="0" borderId="13" xfId="0" applyNumberFormat="1" applyFont="1" applyBorder="1" applyAlignment="1">
      <alignment vertical="center"/>
    </xf>
    <xf numFmtId="3" fontId="11" fillId="0" borderId="2" xfId="0" applyNumberFormat="1" applyFont="1" applyBorder="1" applyAlignment="1">
      <alignment vertical="center"/>
    </xf>
    <xf numFmtId="3" fontId="11" fillId="0" borderId="1" xfId="19" applyNumberFormat="1" applyFont="1" applyFill="1" applyBorder="1" applyAlignment="1">
      <alignment horizontal="center" vertical="center"/>
    </xf>
    <xf numFmtId="185" fontId="11" fillId="0" borderId="40" xfId="0" applyNumberFormat="1" applyFont="1" applyBorder="1" applyAlignment="1">
      <alignment horizontal="center" vertical="center"/>
    </xf>
    <xf numFmtId="0" fontId="22" fillId="0" borderId="0" xfId="0" quotePrefix="1" applyFont="1" applyAlignment="1">
      <alignment vertical="center"/>
    </xf>
    <xf numFmtId="2" fontId="11" fillId="0" borderId="13" xfId="0" applyNumberFormat="1" applyFont="1" applyBorder="1" applyAlignment="1">
      <alignment horizontal="center" vertical="center"/>
    </xf>
    <xf numFmtId="0" fontId="11" fillId="0" borderId="43" xfId="0" applyFont="1" applyBorder="1" applyAlignment="1">
      <alignment vertical="center"/>
    </xf>
    <xf numFmtId="4" fontId="11" fillId="0" borderId="44" xfId="0" applyNumberFormat="1" applyFont="1" applyBorder="1"/>
    <xf numFmtId="4" fontId="11" fillId="0" borderId="56" xfId="0" applyNumberFormat="1" applyFont="1" applyBorder="1"/>
    <xf numFmtId="0" fontId="11" fillId="0" borderId="29" xfId="19" applyFont="1" applyBorder="1" applyAlignment="1">
      <alignment vertical="center" wrapText="1"/>
    </xf>
    <xf numFmtId="0" fontId="11" fillId="0" borderId="3" xfId="19" applyFont="1" applyBorder="1" applyAlignment="1">
      <alignment vertical="center" wrapText="1"/>
    </xf>
    <xf numFmtId="0" fontId="11" fillId="0" borderId="4" xfId="19" applyFont="1" applyBorder="1" applyAlignment="1">
      <alignment vertical="center" wrapText="1"/>
    </xf>
    <xf numFmtId="0" fontId="11" fillId="0" borderId="29" xfId="19" applyFont="1" applyBorder="1" applyAlignment="1"/>
    <xf numFmtId="0" fontId="11" fillId="0" borderId="3" xfId="19" applyFont="1" applyBorder="1" applyAlignment="1"/>
    <xf numFmtId="0" fontId="11" fillId="0" borderId="4" xfId="19" applyFont="1" applyBorder="1" applyAlignment="1"/>
    <xf numFmtId="0" fontId="11" fillId="0" borderId="17" xfId="19" applyFont="1" applyBorder="1" applyAlignment="1"/>
    <xf numFmtId="0" fontId="11" fillId="0" borderId="18" xfId="19" applyFont="1" applyBorder="1" applyAlignment="1"/>
    <xf numFmtId="0" fontId="11" fillId="0" borderId="22" xfId="19" applyFont="1" applyBorder="1" applyAlignment="1"/>
    <xf numFmtId="3" fontId="31" fillId="0" borderId="89" xfId="19" applyNumberFormat="1" applyFont="1" applyBorder="1" applyAlignment="1">
      <alignment horizontal="center"/>
    </xf>
    <xf numFmtId="3" fontId="11" fillId="0" borderId="89" xfId="19" applyNumberFormat="1" applyFont="1" applyBorder="1"/>
    <xf numFmtId="4" fontId="31" fillId="0" borderId="89" xfId="19" applyNumberFormat="1" applyFont="1" applyBorder="1"/>
    <xf numFmtId="4" fontId="11" fillId="0" borderId="88" xfId="19" applyNumberFormat="1" applyFont="1" applyBorder="1"/>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185" fontId="11" fillId="3" borderId="1" xfId="0" applyNumberFormat="1" applyFont="1" applyFill="1" applyBorder="1" applyAlignment="1">
      <alignment vertical="center"/>
    </xf>
    <xf numFmtId="3" fontId="11" fillId="0" borderId="29" xfId="0" applyNumberFormat="1" applyFont="1" applyBorder="1" applyAlignment="1">
      <alignment horizontal="center" vertical="center"/>
    </xf>
    <xf numFmtId="3" fontId="11" fillId="0" borderId="44" xfId="0" applyNumberFormat="1" applyFont="1" applyBorder="1" applyAlignment="1">
      <alignment horizontal="right" vertical="center"/>
    </xf>
    <xf numFmtId="0" fontId="0" fillId="0" borderId="29" xfId="0" applyBorder="1"/>
    <xf numFmtId="0" fontId="0" fillId="0" borderId="44" xfId="0" applyBorder="1"/>
    <xf numFmtId="3" fontId="11" fillId="0" borderId="2" xfId="0" applyNumberFormat="1" applyFont="1" applyBorder="1" applyAlignment="1">
      <alignment horizontal="left" vertical="center"/>
    </xf>
    <xf numFmtId="0" fontId="11" fillId="0" borderId="46" xfId="0" applyFont="1" applyBorder="1" applyAlignment="1">
      <alignment horizontal="center" vertical="center"/>
    </xf>
    <xf numFmtId="0" fontId="30" fillId="0" borderId="2" xfId="0" applyFont="1" applyBorder="1" applyAlignment="1">
      <alignment horizont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20" xfId="0" applyFont="1" applyBorder="1" applyAlignment="1">
      <alignment vertical="center"/>
    </xf>
    <xf numFmtId="0" fontId="11" fillId="0" borderId="57" xfId="0" applyFont="1" applyBorder="1" applyAlignment="1">
      <alignment vertical="center"/>
    </xf>
    <xf numFmtId="3" fontId="11" fillId="0" borderId="89" xfId="0" applyNumberFormat="1" applyFont="1" applyBorder="1" applyAlignment="1">
      <alignment horizontal="center" vertical="center"/>
    </xf>
    <xf numFmtId="3" fontId="11" fillId="0" borderId="89" xfId="0" applyNumberFormat="1" applyFont="1" applyBorder="1" applyAlignment="1">
      <alignment vertical="center"/>
    </xf>
    <xf numFmtId="182" fontId="11" fillId="0" borderId="89" xfId="0" applyNumberFormat="1" applyFont="1" applyBorder="1" applyAlignment="1">
      <alignment vertical="center"/>
    </xf>
    <xf numFmtId="186" fontId="11" fillId="0" borderId="1" xfId="0" applyNumberFormat="1" applyFont="1" applyBorder="1" applyAlignment="1">
      <alignment horizontal="center" vertical="center"/>
    </xf>
    <xf numFmtId="186" fontId="11" fillId="0" borderId="9" xfId="0" applyNumberFormat="1"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185" fontId="11" fillId="0" borderId="40" xfId="0" applyNumberFormat="1" applyFont="1" applyBorder="1" applyAlignment="1">
      <alignment vertical="center"/>
    </xf>
    <xf numFmtId="0" fontId="22" fillId="0" borderId="0" xfId="0" applyFont="1" applyAlignment="1">
      <alignment vertical="center" wrapText="1"/>
    </xf>
    <xf numFmtId="0" fontId="11" fillId="0" borderId="0" xfId="0" applyFont="1" applyAlignment="1">
      <alignment vertical="center"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3" fontId="11" fillId="3" borderId="1" xfId="0" applyNumberFormat="1" applyFont="1" applyFill="1" applyBorder="1" applyAlignment="1">
      <alignment horizontal="right" vertical="center"/>
    </xf>
    <xf numFmtId="3" fontId="11" fillId="0" borderId="9" xfId="0" applyNumberFormat="1" applyFont="1" applyBorder="1" applyAlignment="1">
      <alignment horizontal="right" vertical="center"/>
    </xf>
    <xf numFmtId="185" fontId="11" fillId="0" borderId="2" xfId="0" applyNumberFormat="1" applyFont="1" applyBorder="1" applyAlignment="1">
      <alignment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49" xfId="0" applyFont="1" applyBorder="1" applyAlignment="1">
      <alignment horizontal="left"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4" fontId="11" fillId="0" borderId="0" xfId="0" applyNumberFormat="1" applyFont="1" applyBorder="1" applyAlignment="1">
      <alignment vertical="center"/>
    </xf>
    <xf numFmtId="175" fontId="32" fillId="0" borderId="0" xfId="16" applyNumberFormat="1" applyFont="1" applyFill="1" applyBorder="1"/>
    <xf numFmtId="187" fontId="11" fillId="0" borderId="1" xfId="0" applyNumberFormat="1" applyFont="1" applyBorder="1" applyAlignment="1">
      <alignment vertical="center"/>
    </xf>
    <xf numFmtId="4" fontId="11" fillId="0" borderId="1" xfId="19" applyNumberFormat="1" applyFont="1" applyBorder="1" applyAlignment="1">
      <alignment horizontal="right"/>
    </xf>
    <xf numFmtId="44" fontId="13" fillId="0" borderId="0" xfId="16" applyFont="1" applyFill="1" applyBorder="1"/>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3" fontId="11" fillId="3" borderId="40" xfId="0" applyNumberFormat="1" applyFont="1" applyFill="1" applyBorder="1" applyAlignment="1">
      <alignmen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3" fontId="11" fillId="0" borderId="1" xfId="19" applyNumberFormat="1" applyFont="1" applyBorder="1" applyAlignment="1">
      <alignment horizontal="right"/>
    </xf>
    <xf numFmtId="185" fontId="11" fillId="0" borderId="1" xfId="19" applyNumberFormat="1" applyFont="1" applyBorder="1" applyAlignment="1">
      <alignment horizontal="right"/>
    </xf>
    <xf numFmtId="3" fontId="11" fillId="0" borderId="2" xfId="19" applyNumberFormat="1" applyFont="1" applyBorder="1"/>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32" fillId="0" borderId="90" xfId="14" applyFont="1" applyFill="1" applyBorder="1"/>
    <xf numFmtId="0" fontId="32" fillId="0" borderId="0" xfId="14" applyFont="1" applyFill="1" applyBorder="1"/>
    <xf numFmtId="0" fontId="32" fillId="0" borderId="83" xfId="14" applyFont="1" applyFill="1" applyBorder="1"/>
    <xf numFmtId="0" fontId="32" fillId="0" borderId="67" xfId="14" applyFont="1" applyFill="1" applyBorder="1" applyAlignment="1">
      <alignment horizontal="center"/>
    </xf>
    <xf numFmtId="0" fontId="32" fillId="0" borderId="68" xfId="14" applyFont="1" applyFill="1" applyBorder="1" applyAlignment="1">
      <alignment horizontal="center"/>
    </xf>
    <xf numFmtId="2" fontId="32" fillId="0" borderId="68" xfId="14" applyNumberFormat="1" applyFont="1" applyFill="1" applyBorder="1" applyAlignment="1">
      <alignment horizontal="center"/>
    </xf>
    <xf numFmtId="0" fontId="32" fillId="0" borderId="68" xfId="14" applyFont="1" applyFill="1" applyBorder="1" applyAlignment="1">
      <alignment horizontal="center" vertical="center"/>
    </xf>
    <xf numFmtId="177" fontId="39" fillId="0" borderId="68" xfId="14" applyNumberFormat="1" applyFont="1" applyFill="1" applyBorder="1" applyAlignment="1">
      <alignment horizontal="center"/>
    </xf>
    <xf numFmtId="0" fontId="39" fillId="0" borderId="68" xfId="14" applyFont="1" applyFill="1" applyBorder="1" applyAlignment="1">
      <alignment horizontal="center"/>
    </xf>
    <xf numFmtId="2" fontId="32" fillId="0" borderId="68" xfId="15" applyNumberFormat="1" applyFont="1" applyFill="1" applyBorder="1" applyAlignment="1">
      <alignment horizontal="center" vertical="center"/>
    </xf>
    <xf numFmtId="0" fontId="32" fillId="2" borderId="68" xfId="14" applyFont="1" applyFill="1" applyBorder="1" applyAlignment="1">
      <alignment horizontal="center"/>
    </xf>
    <xf numFmtId="177" fontId="39" fillId="0" borderId="68" xfId="14" applyNumberFormat="1" applyFont="1" applyFill="1" applyBorder="1" applyAlignment="1">
      <alignment horizontal="center" vertical="center"/>
    </xf>
    <xf numFmtId="0" fontId="32" fillId="0" borderId="68" xfId="0" applyFont="1" applyFill="1" applyBorder="1" applyAlignment="1">
      <alignment horizontal="center"/>
    </xf>
    <xf numFmtId="0" fontId="39" fillId="0" borderId="68" xfId="14" applyFont="1" applyFill="1" applyBorder="1" applyAlignment="1">
      <alignment horizontal="center" vertical="center"/>
    </xf>
    <xf numFmtId="0" fontId="23" fillId="0" borderId="67" xfId="18" applyFill="1" applyBorder="1"/>
    <xf numFmtId="0" fontId="23" fillId="0" borderId="68" xfId="18" applyFill="1" applyBorder="1"/>
    <xf numFmtId="0" fontId="23" fillId="0" borderId="68" xfId="18" applyFill="1" applyBorder="1" applyAlignment="1">
      <alignment wrapText="1"/>
    </xf>
    <xf numFmtId="0" fontId="39" fillId="0" borderId="68" xfId="14" applyFont="1" applyFill="1" applyBorder="1"/>
    <xf numFmtId="0" fontId="23" fillId="0" borderId="68" xfId="18" applyFill="1" applyBorder="1" applyAlignment="1">
      <alignment vertical="center" wrapText="1"/>
    </xf>
    <xf numFmtId="0" fontId="41" fillId="0" borderId="68" xfId="18" applyFont="1" applyFill="1" applyBorder="1" applyAlignment="1">
      <alignment vertical="center" wrapText="1"/>
    </xf>
    <xf numFmtId="0" fontId="41" fillId="0" borderId="68" xfId="18" applyFont="1" applyFill="1" applyBorder="1"/>
    <xf numFmtId="0" fontId="41" fillId="0" borderId="68" xfId="18" applyFont="1" applyFill="1" applyBorder="1" applyAlignment="1">
      <alignment wrapText="1"/>
    </xf>
    <xf numFmtId="0" fontId="39" fillId="0" borderId="68" xfId="14" applyFont="1" applyFill="1" applyBorder="1" applyAlignment="1">
      <alignment wrapText="1"/>
    </xf>
    <xf numFmtId="0" fontId="39" fillId="0" borderId="68" xfId="14" applyFont="1" applyFill="1" applyBorder="1" applyAlignment="1">
      <alignment horizontal="left" wrapText="1"/>
    </xf>
    <xf numFmtId="0" fontId="39" fillId="0" borderId="68" xfId="14" applyFont="1" applyFill="1" applyBorder="1" applyAlignment="1">
      <alignment horizontal="left"/>
    </xf>
    <xf numFmtId="0" fontId="48" fillId="0" borderId="68" xfId="18" applyFont="1" applyFill="1" applyBorder="1"/>
    <xf numFmtId="0" fontId="39" fillId="0" borderId="68" xfId="14" applyFont="1" applyFill="1" applyBorder="1" applyAlignment="1">
      <alignment vertical="center" wrapText="1"/>
    </xf>
    <xf numFmtId="4" fontId="48" fillId="0" borderId="68" xfId="18" applyNumberFormat="1" applyFont="1" applyFill="1" applyBorder="1" applyAlignment="1">
      <alignment horizontal="left" vertical="center" wrapText="1"/>
    </xf>
    <xf numFmtId="4" fontId="48" fillId="0" borderId="68" xfId="18" applyNumberFormat="1" applyFont="1" applyFill="1" applyBorder="1" applyAlignment="1">
      <alignment vertical="center" wrapText="1"/>
    </xf>
    <xf numFmtId="0" fontId="41" fillId="0" borderId="68" xfId="18" applyFont="1" applyFill="1" applyBorder="1" applyAlignment="1">
      <alignment horizontal="left" wrapText="1"/>
    </xf>
    <xf numFmtId="4" fontId="41" fillId="0" borderId="68" xfId="18" applyNumberFormat="1" applyFont="1" applyFill="1" applyBorder="1" applyAlignment="1">
      <alignment vertical="center"/>
    </xf>
    <xf numFmtId="4" fontId="23" fillId="0" borderId="68" xfId="18" applyNumberFormat="1" applyFill="1" applyBorder="1" applyAlignment="1">
      <alignment vertical="center"/>
    </xf>
    <xf numFmtId="4" fontId="41" fillId="0" borderId="68" xfId="18" applyNumberFormat="1" applyFont="1" applyFill="1" applyBorder="1" applyAlignment="1">
      <alignment vertical="center" wrapText="1"/>
    </xf>
    <xf numFmtId="0" fontId="41" fillId="0" borderId="69" xfId="18" applyFont="1" applyFill="1" applyBorder="1"/>
    <xf numFmtId="0" fontId="32" fillId="0" borderId="67" xfId="14" applyFont="1" applyFill="1" applyBorder="1" applyAlignment="1">
      <alignment horizontal="center" vertical="center"/>
    </xf>
    <xf numFmtId="0" fontId="39" fillId="0" borderId="68" xfId="14" applyFont="1" applyFill="1" applyBorder="1" applyAlignment="1">
      <alignment horizontal="center" vertical="center" wrapText="1"/>
    </xf>
    <xf numFmtId="0" fontId="32" fillId="0" borderId="68" xfId="0" applyFont="1" applyFill="1" applyBorder="1" applyAlignment="1">
      <alignment horizontal="center" vertical="center"/>
    </xf>
    <xf numFmtId="0" fontId="32" fillId="0" borderId="69" xfId="14" applyFont="1" applyFill="1" applyBorder="1" applyAlignment="1">
      <alignment horizontal="center" vertical="center"/>
    </xf>
    <xf numFmtId="175" fontId="32" fillId="0" borderId="67" xfId="14" applyNumberFormat="1" applyFont="1" applyFill="1" applyBorder="1" applyAlignment="1">
      <alignment horizontal="center"/>
    </xf>
    <xf numFmtId="175" fontId="32" fillId="0" borderId="68" xfId="14" applyNumberFormat="1" applyFont="1" applyFill="1" applyBorder="1" applyAlignment="1">
      <alignment horizontal="center"/>
    </xf>
    <xf numFmtId="175" fontId="32" fillId="0" borderId="68" xfId="14" applyNumberFormat="1" applyFont="1" applyFill="1" applyBorder="1" applyAlignment="1">
      <alignment horizontal="center" vertical="center"/>
    </xf>
    <xf numFmtId="173" fontId="32" fillId="0" borderId="68" xfId="15" applyNumberFormat="1" applyFont="1" applyFill="1" applyBorder="1" applyAlignment="1"/>
    <xf numFmtId="175" fontId="32" fillId="0" borderId="69" xfId="14" applyNumberFormat="1" applyFont="1" applyFill="1" applyBorder="1" applyAlignment="1">
      <alignment horizontal="center"/>
    </xf>
    <xf numFmtId="0" fontId="0" fillId="0" borderId="90" xfId="0" applyFill="1" applyBorder="1"/>
    <xf numFmtId="0" fontId="17" fillId="0" borderId="68" xfId="0" applyFont="1" applyFill="1" applyBorder="1" applyAlignment="1">
      <alignment vertical="center"/>
    </xf>
    <xf numFmtId="0" fontId="17" fillId="2" borderId="68" xfId="0" applyFont="1" applyFill="1" applyBorder="1" applyAlignment="1">
      <alignment vertical="center"/>
    </xf>
    <xf numFmtId="0" fontId="2" fillId="0" borderId="68" xfId="0" applyFont="1" applyFill="1" applyBorder="1" applyAlignment="1">
      <alignment vertical="center"/>
    </xf>
    <xf numFmtId="0" fontId="2" fillId="0" borderId="68" xfId="0" applyNumberFormat="1" applyFont="1" applyFill="1" applyBorder="1" applyAlignment="1"/>
    <xf numFmtId="0" fontId="2" fillId="0" borderId="68" xfId="0" applyFont="1" applyFill="1" applyBorder="1" applyAlignment="1">
      <alignment vertical="center" wrapText="1"/>
    </xf>
    <xf numFmtId="0" fontId="2" fillId="2" borderId="68" xfId="0" applyFont="1" applyFill="1" applyBorder="1" applyAlignment="1">
      <alignment vertical="center"/>
    </xf>
    <xf numFmtId="0" fontId="21" fillId="7" borderId="68" xfId="0" applyFont="1" applyFill="1" applyBorder="1" applyAlignment="1">
      <alignment vertical="center" wrapText="1"/>
    </xf>
    <xf numFmtId="0" fontId="2" fillId="0" borderId="68" xfId="0" applyNumberFormat="1" applyFont="1" applyFill="1" applyBorder="1" applyAlignment="1">
      <alignment horizontal="center"/>
    </xf>
    <xf numFmtId="0" fontId="2" fillId="0" borderId="68" xfId="0" applyFont="1" applyFill="1" applyBorder="1" applyAlignment="1">
      <alignment horizontal="center" vertical="center"/>
    </xf>
    <xf numFmtId="0" fontId="2" fillId="2" borderId="68" xfId="0" applyFont="1" applyFill="1" applyBorder="1" applyAlignment="1">
      <alignment horizontal="center" vertical="center"/>
    </xf>
    <xf numFmtId="0" fontId="21" fillId="7" borderId="68" xfId="0" applyFont="1" applyFill="1" applyBorder="1" applyAlignment="1">
      <alignment horizontal="center" vertical="center"/>
    </xf>
    <xf numFmtId="44" fontId="2" fillId="0" borderId="68" xfId="16" applyFont="1" applyFill="1" applyBorder="1" applyAlignment="1">
      <alignment vertical="center"/>
    </xf>
    <xf numFmtId="44" fontId="2" fillId="0" borderId="68" xfId="16" applyFont="1" applyFill="1" applyBorder="1"/>
    <xf numFmtId="44" fontId="21" fillId="0" borderId="68" xfId="16" applyFont="1" applyFill="1" applyBorder="1" applyAlignment="1">
      <alignment vertical="center"/>
    </xf>
    <xf numFmtId="178" fontId="0" fillId="0" borderId="68" xfId="0" applyNumberFormat="1" applyBorder="1"/>
    <xf numFmtId="175" fontId="0" fillId="0" borderId="68" xfId="0" applyNumberFormat="1" applyFill="1" applyBorder="1"/>
    <xf numFmtId="178" fontId="0" fillId="0" borderId="68" xfId="16" applyNumberFormat="1" applyFont="1" applyFill="1" applyBorder="1"/>
    <xf numFmtId="43" fontId="0" fillId="0" borderId="0" xfId="0" applyNumberFormat="1" applyFill="1" applyBorder="1"/>
    <xf numFmtId="0" fontId="0" fillId="2" borderId="67" xfId="0" applyFill="1" applyBorder="1"/>
    <xf numFmtId="44" fontId="2" fillId="0" borderId="0" xfId="16" applyFont="1" applyFill="1" applyBorder="1"/>
    <xf numFmtId="0" fontId="0" fillId="2" borderId="67" xfId="0" applyFill="1" applyBorder="1" applyAlignment="1">
      <alignment horizontal="center"/>
    </xf>
    <xf numFmtId="0" fontId="21" fillId="6" borderId="68" xfId="0" applyNumberFormat="1" applyFont="1" applyFill="1" applyBorder="1" applyAlignment="1"/>
    <xf numFmtId="0" fontId="21" fillId="0" borderId="68" xfId="0" applyNumberFormat="1" applyFont="1" applyFill="1" applyBorder="1" applyAlignment="1"/>
    <xf numFmtId="0" fontId="2" fillId="0" borderId="68" xfId="0" applyFont="1" applyBorder="1" applyAlignment="1">
      <alignment vertical="center" wrapText="1"/>
    </xf>
    <xf numFmtId="0" fontId="2" fillId="2" borderId="68" xfId="0" applyFont="1" applyFill="1" applyBorder="1" applyAlignment="1">
      <alignment vertical="center" wrapText="1"/>
    </xf>
    <xf numFmtId="0" fontId="2" fillId="9" borderId="68" xfId="0" applyFont="1" applyFill="1" applyBorder="1" applyAlignment="1">
      <alignment vertical="center" wrapText="1"/>
    </xf>
    <xf numFmtId="0" fontId="2" fillId="6" borderId="68" xfId="0" applyNumberFormat="1" applyFont="1" applyFill="1" applyBorder="1" applyAlignment="1"/>
    <xf numFmtId="0" fontId="2" fillId="0" borderId="68" xfId="0" applyNumberFormat="1" applyFont="1" applyFill="1" applyBorder="1" applyAlignment="1">
      <alignment wrapText="1"/>
    </xf>
    <xf numFmtId="0" fontId="2" fillId="0" borderId="68" xfId="0" applyFont="1" applyFill="1" applyBorder="1"/>
    <xf numFmtId="0" fontId="45" fillId="8" borderId="68" xfId="0" applyFont="1" applyFill="1" applyBorder="1" applyAlignment="1">
      <alignment horizontal="center" vertical="center" wrapText="1"/>
    </xf>
    <xf numFmtId="180" fontId="2" fillId="0" borderId="68" xfId="1" applyNumberFormat="1" applyFont="1" applyBorder="1" applyAlignment="1">
      <alignment wrapText="1"/>
    </xf>
    <xf numFmtId="180" fontId="21" fillId="6" borderId="68" xfId="1" applyNumberFormat="1" applyFont="1" applyFill="1" applyBorder="1" applyAlignment="1">
      <alignment horizontal="left" wrapText="1"/>
    </xf>
    <xf numFmtId="180" fontId="21" fillId="4" borderId="68" xfId="1" applyNumberFormat="1" applyFont="1" applyFill="1" applyBorder="1" applyAlignment="1">
      <alignment horizontal="left" wrapText="1"/>
    </xf>
    <xf numFmtId="180" fontId="2" fillId="0" borderId="68" xfId="1" applyNumberFormat="1" applyFont="1" applyFill="1" applyBorder="1" applyAlignment="1">
      <alignment horizontal="left" wrapText="1"/>
    </xf>
    <xf numFmtId="180" fontId="2" fillId="0" borderId="68" xfId="1" applyNumberFormat="1" applyFont="1" applyFill="1" applyBorder="1" applyAlignment="1">
      <alignment horizontal="left"/>
    </xf>
    <xf numFmtId="180" fontId="21" fillId="0" borderId="68" xfId="1" applyNumberFormat="1" applyFont="1" applyFill="1" applyBorder="1" applyAlignment="1">
      <alignment horizontal="left"/>
    </xf>
    <xf numFmtId="0" fontId="44" fillId="8" borderId="68" xfId="0" applyFont="1" applyFill="1" applyBorder="1" applyAlignment="1">
      <alignment horizontal="center"/>
    </xf>
    <xf numFmtId="0" fontId="21" fillId="0" borderId="68" xfId="0" applyFont="1" applyFill="1" applyBorder="1"/>
    <xf numFmtId="180" fontId="8" fillId="6" borderId="68" xfId="1" applyNumberFormat="1" applyFont="1" applyFill="1" applyBorder="1" applyAlignment="1">
      <alignment wrapText="1"/>
    </xf>
    <xf numFmtId="180" fontId="35" fillId="0" borderId="68" xfId="1" applyNumberFormat="1" applyFont="1" applyFill="1" applyBorder="1" applyAlignment="1">
      <alignment wrapText="1"/>
    </xf>
    <xf numFmtId="180" fontId="2" fillId="0" borderId="68" xfId="1" applyNumberFormat="1" applyFont="1" applyFill="1" applyBorder="1" applyAlignment="1">
      <alignment wrapText="1"/>
    </xf>
    <xf numFmtId="180" fontId="21" fillId="0" borderId="68" xfId="1" applyNumberFormat="1" applyFont="1" applyFill="1" applyBorder="1" applyAlignment="1">
      <alignment wrapText="1"/>
    </xf>
    <xf numFmtId="180" fontId="21" fillId="0" borderId="69" xfId="1" applyNumberFormat="1" applyFont="1" applyFill="1" applyBorder="1" applyAlignment="1">
      <alignment wrapText="1"/>
    </xf>
    <xf numFmtId="0" fontId="21" fillId="6" borderId="68" xfId="0" applyNumberFormat="1" applyFont="1" applyFill="1" applyBorder="1" applyAlignment="1">
      <alignment horizontal="center"/>
    </xf>
    <xf numFmtId="0" fontId="21" fillId="0" borderId="68" xfId="0" applyNumberFormat="1" applyFont="1" applyFill="1" applyBorder="1" applyAlignment="1">
      <alignment horizontal="center"/>
    </xf>
    <xf numFmtId="0" fontId="2" fillId="0" borderId="68" xfId="0" applyFont="1" applyBorder="1" applyAlignment="1">
      <alignment horizontal="center" vertical="center" wrapText="1"/>
    </xf>
    <xf numFmtId="0" fontId="35" fillId="0" borderId="68" xfId="0" applyFont="1" applyFill="1" applyBorder="1" applyAlignment="1">
      <alignment horizontal="center"/>
    </xf>
    <xf numFmtId="0" fontId="2" fillId="6" borderId="68" xfId="0" applyFont="1" applyFill="1" applyBorder="1" applyAlignment="1">
      <alignment horizontal="center" vertical="center" wrapText="1"/>
    </xf>
    <xf numFmtId="0" fontId="2" fillId="0" borderId="68" xfId="0" applyFont="1" applyFill="1" applyBorder="1" applyAlignment="1">
      <alignment horizontal="center"/>
    </xf>
    <xf numFmtId="0" fontId="2" fillId="9" borderId="68" xfId="0" applyFont="1" applyFill="1" applyBorder="1" applyAlignment="1">
      <alignment horizontal="center" vertical="center" wrapText="1"/>
    </xf>
    <xf numFmtId="0" fontId="46" fillId="8" borderId="68" xfId="0" applyFont="1" applyFill="1" applyBorder="1" applyAlignment="1">
      <alignment horizontal="center" vertical="center" wrapText="1"/>
    </xf>
    <xf numFmtId="0" fontId="21" fillId="6" borderId="68" xfId="0" applyFont="1" applyFill="1" applyBorder="1" applyAlignment="1">
      <alignment horizontal="center" vertical="center"/>
    </xf>
    <xf numFmtId="0" fontId="21" fillId="0" borderId="68" xfId="0" applyFont="1" applyFill="1" applyBorder="1" applyAlignment="1">
      <alignment horizontal="center" vertical="center"/>
    </xf>
    <xf numFmtId="0" fontId="2" fillId="6" borderId="68" xfId="0" applyNumberFormat="1" applyFont="1" applyFill="1" applyBorder="1" applyAlignment="1">
      <alignment horizontal="center"/>
    </xf>
    <xf numFmtId="0" fontId="0" fillId="8" borderId="68" xfId="0" applyFill="1" applyBorder="1"/>
    <xf numFmtId="0" fontId="2" fillId="6" borderId="68" xfId="0" applyFont="1" applyFill="1" applyBorder="1" applyAlignment="1">
      <alignment horizontal="center"/>
    </xf>
    <xf numFmtId="0" fontId="21" fillId="0" borderId="68" xfId="0" applyFont="1" applyBorder="1"/>
    <xf numFmtId="0" fontId="21" fillId="0" borderId="69" xfId="0" applyFont="1" applyBorder="1"/>
    <xf numFmtId="44" fontId="21" fillId="6" borderId="68" xfId="16" applyFont="1" applyFill="1" applyBorder="1" applyAlignment="1"/>
    <xf numFmtId="44" fontId="21" fillId="0" borderId="68" xfId="16" applyFont="1" applyFill="1" applyBorder="1" applyAlignment="1"/>
    <xf numFmtId="44" fontId="2" fillId="0" borderId="68" xfId="16" applyFont="1" applyFill="1" applyBorder="1" applyAlignment="1"/>
    <xf numFmtId="44" fontId="21" fillId="6" borderId="68" xfId="16" applyFont="1" applyFill="1" applyBorder="1"/>
    <xf numFmtId="44" fontId="2" fillId="0" borderId="68" xfId="16" applyNumberFormat="1" applyFont="1" applyFill="1" applyBorder="1"/>
    <xf numFmtId="44" fontId="2" fillId="0" borderId="68" xfId="16" applyFont="1" applyFill="1" applyBorder="1" applyAlignment="1">
      <alignment horizontal="right"/>
    </xf>
    <xf numFmtId="44" fontId="2" fillId="0" borderId="68" xfId="16" applyFont="1" applyBorder="1" applyAlignment="1">
      <alignment vertical="center"/>
    </xf>
    <xf numFmtId="44" fontId="2" fillId="2" borderId="68" xfId="16" applyFont="1" applyFill="1" applyBorder="1"/>
    <xf numFmtId="44" fontId="2" fillId="2" borderId="68" xfId="16" applyFont="1" applyFill="1" applyBorder="1" applyAlignment="1">
      <alignment vertical="center"/>
    </xf>
    <xf numFmtId="44" fontId="35" fillId="0" borderId="68" xfId="16" applyFont="1" applyFill="1" applyBorder="1"/>
    <xf numFmtId="44" fontId="2" fillId="9" borderId="68" xfId="16" applyFont="1" applyFill="1" applyBorder="1" applyAlignment="1">
      <alignment vertical="center"/>
    </xf>
    <xf numFmtId="44" fontId="21" fillId="0" borderId="68" xfId="16" applyFont="1" applyFill="1" applyBorder="1"/>
    <xf numFmtId="44" fontId="47" fillId="8" borderId="68" xfId="16" applyFont="1" applyFill="1" applyBorder="1" applyAlignment="1">
      <alignment vertical="center"/>
    </xf>
    <xf numFmtId="44" fontId="32" fillId="0" borderId="68" xfId="16" applyFont="1" applyBorder="1"/>
    <xf numFmtId="44" fontId="2" fillId="0" borderId="68" xfId="16" applyFont="1" applyBorder="1" applyAlignment="1">
      <alignment horizontal="right"/>
    </xf>
    <xf numFmtId="44" fontId="21" fillId="6" borderId="68" xfId="16" applyFont="1" applyFill="1" applyBorder="1" applyAlignment="1">
      <alignment horizontal="right"/>
    </xf>
    <xf numFmtId="44" fontId="29" fillId="2" borderId="68" xfId="16" applyFont="1" applyFill="1" applyBorder="1" applyAlignment="1">
      <alignment horizontal="right"/>
    </xf>
    <xf numFmtId="44" fontId="21" fillId="0" borderId="68" xfId="16" applyFont="1" applyFill="1" applyBorder="1" applyAlignment="1">
      <alignment horizontal="right"/>
    </xf>
    <xf numFmtId="44" fontId="21" fillId="0" borderId="68" xfId="16" applyFont="1" applyFill="1" applyBorder="1" applyAlignment="1">
      <alignment vertical="center" wrapText="1"/>
    </xf>
    <xf numFmtId="44" fontId="21" fillId="6" borderId="68" xfId="16" applyFont="1" applyFill="1" applyBorder="1" applyAlignment="1">
      <alignment vertical="center" wrapText="1"/>
    </xf>
    <xf numFmtId="44" fontId="13" fillId="6" borderId="68" xfId="16" applyFont="1" applyFill="1" applyBorder="1"/>
    <xf numFmtId="44" fontId="13" fillId="0" borderId="68" xfId="16" applyFont="1" applyFill="1" applyBorder="1"/>
    <xf numFmtId="44" fontId="2" fillId="6" borderId="68" xfId="16" applyNumberFormat="1" applyFont="1" applyFill="1" applyBorder="1" applyAlignment="1"/>
    <xf numFmtId="44" fontId="0" fillId="8" borderId="68" xfId="16" applyFont="1" applyFill="1" applyBorder="1"/>
    <xf numFmtId="44" fontId="21" fillId="10" borderId="68" xfId="16" applyFont="1" applyFill="1" applyBorder="1"/>
    <xf numFmtId="44" fontId="29" fillId="0" borderId="68" xfId="16" applyFont="1" applyFill="1" applyBorder="1" applyAlignment="1">
      <alignment horizontal="right" vertical="center" wrapText="1"/>
    </xf>
    <xf numFmtId="44" fontId="21" fillId="10" borderId="68" xfId="16" applyFont="1" applyFill="1" applyBorder="1" applyAlignment="1">
      <alignment horizontal="right" vertical="center" wrapText="1"/>
    </xf>
    <xf numFmtId="44" fontId="2" fillId="6" borderId="68" xfId="16" applyFont="1" applyFill="1" applyBorder="1" applyAlignment="1">
      <alignment vertical="center"/>
    </xf>
    <xf numFmtId="44" fontId="2" fillId="6" borderId="68" xfId="16" applyFont="1" applyFill="1" applyBorder="1"/>
    <xf numFmtId="44" fontId="2" fillId="6" borderId="68" xfId="16" applyFont="1" applyFill="1" applyBorder="1" applyAlignment="1">
      <alignment horizontal="right"/>
    </xf>
    <xf numFmtId="44" fontId="2" fillId="6" borderId="68" xfId="16" applyFont="1" applyFill="1" applyBorder="1" applyAlignment="1"/>
    <xf numFmtId="44" fontId="0" fillId="0" borderId="68" xfId="16" applyFont="1" applyFill="1" applyBorder="1"/>
    <xf numFmtId="165" fontId="35" fillId="0" borderId="68" xfId="4" applyFont="1" applyFill="1" applyBorder="1" applyAlignment="1">
      <alignment vertical="center"/>
    </xf>
    <xf numFmtId="165" fontId="35" fillId="0" borderId="68" xfId="1" applyNumberFormat="1" applyFont="1" applyFill="1" applyBorder="1" applyAlignment="1">
      <alignment vertical="center"/>
    </xf>
    <xf numFmtId="44" fontId="21" fillId="0" borderId="68" xfId="16" applyFont="1" applyBorder="1" applyAlignment="1">
      <alignment horizontal="right"/>
    </xf>
    <xf numFmtId="44" fontId="21" fillId="0" borderId="69" xfId="16" applyFont="1" applyBorder="1" applyAlignment="1">
      <alignment horizontal="right"/>
    </xf>
    <xf numFmtId="44" fontId="2" fillId="0" borderId="68" xfId="16" applyFont="1" applyFill="1" applyBorder="1" applyAlignment="1">
      <alignment vertical="center" wrapText="1"/>
    </xf>
    <xf numFmtId="44" fontId="2" fillId="6" borderId="68" xfId="16" applyFont="1" applyFill="1" applyBorder="1" applyAlignment="1">
      <alignment vertical="center" wrapText="1"/>
    </xf>
    <xf numFmtId="44" fontId="2" fillId="9" borderId="68" xfId="16" applyFont="1" applyFill="1" applyBorder="1"/>
    <xf numFmtId="0" fontId="2" fillId="0" borderId="68" xfId="0" applyFont="1" applyBorder="1"/>
    <xf numFmtId="44" fontId="2" fillId="2" borderId="68" xfId="16" applyFont="1" applyFill="1" applyBorder="1" applyAlignment="1">
      <alignment vertical="center" wrapText="1"/>
    </xf>
    <xf numFmtId="44" fontId="47" fillId="8" borderId="68" xfId="16" applyFont="1" applyFill="1" applyBorder="1" applyAlignment="1">
      <alignment vertical="center" wrapText="1"/>
    </xf>
    <xf numFmtId="44" fontId="15" fillId="0" borderId="68" xfId="16" applyFont="1" applyFill="1" applyBorder="1" applyAlignment="1">
      <alignment vertical="center" wrapText="1"/>
    </xf>
    <xf numFmtId="44" fontId="32" fillId="0" borderId="68" xfId="16" applyFont="1" applyFill="1" applyBorder="1"/>
    <xf numFmtId="44" fontId="8" fillId="6" borderId="68" xfId="16" applyFont="1" applyFill="1" applyBorder="1" applyAlignment="1">
      <alignment horizontal="center" vertical="center" wrapText="1"/>
    </xf>
    <xf numFmtId="44" fontId="35" fillId="0" borderId="68" xfId="16" applyFont="1" applyFill="1" applyBorder="1" applyAlignment="1">
      <alignment vertical="center" wrapText="1"/>
    </xf>
    <xf numFmtId="180" fontId="21" fillId="0" borderId="68" xfId="1" applyNumberFormat="1" applyFont="1" applyBorder="1" applyAlignment="1">
      <alignment horizontal="right" vertical="center" wrapText="1"/>
    </xf>
    <xf numFmtId="180" fontId="21" fillId="0" borderId="68" xfId="1" applyNumberFormat="1" applyFont="1" applyBorder="1" applyAlignment="1">
      <alignment horizontal="right"/>
    </xf>
    <xf numFmtId="180" fontId="21" fillId="0" borderId="69" xfId="1" applyNumberFormat="1" applyFont="1" applyBorder="1" applyAlignment="1">
      <alignment horizontal="right"/>
    </xf>
    <xf numFmtId="44" fontId="47" fillId="8" borderId="68" xfId="16" applyFont="1" applyFill="1" applyBorder="1"/>
    <xf numFmtId="44" fontId="14" fillId="0" borderId="68" xfId="16" applyFont="1" applyFill="1" applyBorder="1"/>
    <xf numFmtId="0" fontId="14" fillId="0" borderId="68" xfId="0" applyFont="1" applyBorder="1"/>
    <xf numFmtId="44" fontId="8" fillId="6" borderId="68" xfId="16" applyFont="1" applyFill="1" applyBorder="1" applyAlignment="1">
      <alignment horizontal="center" vertical="center"/>
    </xf>
    <xf numFmtId="44" fontId="14" fillId="0" borderId="68" xfId="16" applyNumberFormat="1" applyFont="1" applyFill="1" applyBorder="1"/>
    <xf numFmtId="44" fontId="32" fillId="6" borderId="68" xfId="16" applyFont="1" applyFill="1" applyBorder="1"/>
    <xf numFmtId="0" fontId="13" fillId="6" borderId="68" xfId="0" applyFont="1" applyFill="1" applyBorder="1"/>
    <xf numFmtId="44" fontId="21" fillId="0" borderId="69" xfId="16" applyFont="1" applyFill="1" applyBorder="1"/>
    <xf numFmtId="180" fontId="21" fillId="0" borderId="68" xfId="1" applyNumberFormat="1" applyFont="1" applyFill="1" applyBorder="1" applyAlignment="1">
      <alignment horizontal="left" wrapText="1"/>
    </xf>
    <xf numFmtId="0" fontId="21" fillId="0" borderId="68" xfId="0" applyFont="1" applyFill="1" applyBorder="1" applyAlignment="1">
      <alignment horizontal="center"/>
    </xf>
    <xf numFmtId="180" fontId="2" fillId="6" borderId="68" xfId="1" applyNumberFormat="1" applyFont="1" applyFill="1" applyBorder="1" applyAlignment="1">
      <alignment horizontal="left" wrapText="1"/>
    </xf>
    <xf numFmtId="0" fontId="2" fillId="6" borderId="68" xfId="0" applyFont="1" applyFill="1" applyBorder="1" applyAlignment="1">
      <alignment horizontal="center" vertical="center"/>
    </xf>
    <xf numFmtId="180" fontId="2" fillId="6" borderId="68" xfId="1" applyNumberFormat="1" applyFont="1" applyFill="1" applyBorder="1" applyAlignment="1">
      <alignment wrapText="1"/>
    </xf>
    <xf numFmtId="44" fontId="2" fillId="6" borderId="68" xfId="16" applyNumberFormat="1" applyFont="1" applyFill="1" applyBorder="1"/>
    <xf numFmtId="180" fontId="2" fillId="6" borderId="68" xfId="1" applyNumberFormat="1" applyFont="1" applyFill="1" applyBorder="1" applyAlignment="1">
      <alignment horizontal="left"/>
    </xf>
    <xf numFmtId="0" fontId="38" fillId="11" borderId="68" xfId="0" applyFont="1" applyFill="1" applyBorder="1" applyAlignment="1">
      <alignment horizontal="center"/>
    </xf>
    <xf numFmtId="0" fontId="49" fillId="11" borderId="68" xfId="0" applyNumberFormat="1" applyFont="1" applyFill="1" applyBorder="1" applyAlignment="1"/>
    <xf numFmtId="0" fontId="47" fillId="11" borderId="68" xfId="0" applyNumberFormat="1" applyFont="1" applyFill="1" applyBorder="1" applyAlignment="1">
      <alignment horizontal="center"/>
    </xf>
    <xf numFmtId="44" fontId="47" fillId="11" borderId="68" xfId="16" applyNumberFormat="1" applyFont="1" applyFill="1" applyBorder="1" applyAlignment="1"/>
    <xf numFmtId="44" fontId="37" fillId="11" borderId="68" xfId="16" applyFont="1" applyFill="1" applyBorder="1" applyAlignment="1">
      <alignment horizontal="center"/>
    </xf>
    <xf numFmtId="44" fontId="38" fillId="11" borderId="68" xfId="16" applyFont="1" applyFill="1" applyBorder="1"/>
    <xf numFmtId="0" fontId="32" fillId="6" borderId="68" xfId="0" applyFont="1" applyFill="1" applyBorder="1"/>
    <xf numFmtId="0" fontId="49" fillId="11" borderId="68" xfId="0" applyFont="1" applyFill="1" applyBorder="1" applyAlignment="1">
      <alignment vertical="center" wrapText="1"/>
    </xf>
    <xf numFmtId="0" fontId="46" fillId="11" borderId="68" xfId="0" applyFont="1" applyFill="1" applyBorder="1" applyAlignment="1">
      <alignment horizontal="center" vertical="center" wrapText="1"/>
    </xf>
    <xf numFmtId="44" fontId="47" fillId="11" borderId="68" xfId="16" applyFont="1" applyFill="1" applyBorder="1" applyAlignment="1">
      <alignment vertical="center"/>
    </xf>
    <xf numFmtId="44" fontId="49" fillId="11" borderId="68" xfId="16" applyFont="1" applyFill="1" applyBorder="1" applyAlignment="1">
      <alignment horizontal="center" vertical="center" wrapText="1"/>
    </xf>
    <xf numFmtId="44" fontId="49" fillId="11" borderId="68" xfId="16" applyFont="1" applyFill="1" applyBorder="1" applyAlignment="1">
      <alignment horizontal="center" vertical="center"/>
    </xf>
    <xf numFmtId="44" fontId="47" fillId="11" borderId="68" xfId="16" applyFont="1" applyFill="1" applyBorder="1"/>
    <xf numFmtId="0" fontId="49" fillId="11" borderId="68" xfId="0" applyFont="1" applyFill="1" applyBorder="1" applyAlignment="1">
      <alignment wrapText="1"/>
    </xf>
    <xf numFmtId="0" fontId="47" fillId="11" borderId="68" xfId="0" applyFont="1" applyFill="1" applyBorder="1" applyAlignment="1">
      <alignment horizontal="center"/>
    </xf>
    <xf numFmtId="0" fontId="13" fillId="0" borderId="68" xfId="0" applyFont="1" applyFill="1" applyBorder="1"/>
    <xf numFmtId="0" fontId="47" fillId="11" borderId="68" xfId="0" applyFont="1" applyFill="1" applyBorder="1" applyAlignment="1">
      <alignment horizontal="center" vertical="center" wrapText="1"/>
    </xf>
    <xf numFmtId="44" fontId="49" fillId="11" borderId="68" xfId="16" applyFont="1" applyFill="1" applyBorder="1" applyAlignment="1">
      <alignment horizontal="center"/>
    </xf>
    <xf numFmtId="180" fontId="49" fillId="11" borderId="68" xfId="1" applyNumberFormat="1" applyFont="1" applyFill="1" applyBorder="1" applyAlignment="1">
      <alignment wrapText="1"/>
    </xf>
    <xf numFmtId="44" fontId="47" fillId="11" borderId="68" xfId="16" applyFont="1" applyFill="1" applyBorder="1" applyAlignment="1">
      <alignment horizontal="right"/>
    </xf>
    <xf numFmtId="0" fontId="49" fillId="11" borderId="68" xfId="0" applyFont="1" applyFill="1" applyBorder="1"/>
    <xf numFmtId="44" fontId="47" fillId="11" borderId="68" xfId="16" applyFont="1" applyFill="1" applyBorder="1" applyAlignment="1"/>
    <xf numFmtId="44" fontId="45" fillId="11" borderId="68" xfId="16" applyFont="1" applyFill="1" applyBorder="1" applyAlignment="1">
      <alignment horizontal="center"/>
    </xf>
    <xf numFmtId="180" fontId="2" fillId="6" borderId="68" xfId="1" applyNumberFormat="1" applyFont="1" applyFill="1" applyBorder="1" applyAlignment="1">
      <alignment vertical="top" wrapText="1"/>
    </xf>
    <xf numFmtId="180" fontId="2" fillId="6" borderId="67" xfId="1" applyNumberFormat="1" applyFont="1" applyFill="1" applyBorder="1" applyAlignment="1">
      <alignment wrapText="1"/>
    </xf>
    <xf numFmtId="0" fontId="2" fillId="6" borderId="67" xfId="0" applyFont="1" applyFill="1" applyBorder="1" applyAlignment="1">
      <alignment horizontal="center"/>
    </xf>
    <xf numFmtId="44" fontId="2" fillId="6" borderId="67" xfId="16" applyFont="1" applyFill="1" applyBorder="1"/>
    <xf numFmtId="44" fontId="2" fillId="6" borderId="67" xfId="16" applyFont="1" applyFill="1" applyBorder="1" applyAlignment="1">
      <alignment horizontal="center" vertical="center" wrapText="1"/>
    </xf>
    <xf numFmtId="44" fontId="2" fillId="6" borderId="67" xfId="16" applyFont="1" applyFill="1" applyBorder="1" applyAlignment="1">
      <alignment vertical="center" wrapText="1"/>
    </xf>
    <xf numFmtId="0" fontId="2" fillId="6" borderId="68" xfId="0" applyFont="1" applyFill="1" applyBorder="1" applyAlignment="1">
      <alignment vertical="center" wrapText="1"/>
    </xf>
    <xf numFmtId="0" fontId="21" fillId="0" borderId="68" xfId="0" applyFont="1" applyFill="1" applyBorder="1" applyAlignment="1">
      <alignment vertical="center" wrapText="1"/>
    </xf>
    <xf numFmtId="0" fontId="21" fillId="0" borderId="68" xfId="0" applyFont="1" applyFill="1" applyBorder="1" applyAlignment="1">
      <alignment horizontal="center" vertical="center" wrapText="1"/>
    </xf>
    <xf numFmtId="44" fontId="0" fillId="0" borderId="0" xfId="0" applyNumberFormat="1" applyFill="1"/>
    <xf numFmtId="0" fontId="6" fillId="0" borderId="0" xfId="0" applyFont="1" applyFill="1" applyAlignment="1">
      <alignment horizontal="center"/>
    </xf>
    <xf numFmtId="44" fontId="8" fillId="0" borderId="0" xfId="16" applyFont="1" applyFill="1" applyBorder="1" applyAlignment="1">
      <alignment horizontal="center" vertical="center"/>
    </xf>
    <xf numFmtId="44" fontId="47" fillId="11" borderId="85" xfId="16" applyFont="1" applyFill="1" applyBorder="1"/>
    <xf numFmtId="44" fontId="8" fillId="0" borderId="0" xfId="16" applyFont="1" applyFill="1" applyBorder="1" applyAlignment="1">
      <alignment horizontal="center"/>
    </xf>
    <xf numFmtId="44" fontId="2" fillId="6" borderId="85" xfId="16" applyFont="1" applyFill="1" applyBorder="1"/>
    <xf numFmtId="44" fontId="2" fillId="0" borderId="0" xfId="16" applyFont="1" applyFill="1" applyBorder="1" applyAlignment="1">
      <alignment horizontal="center" vertical="center"/>
    </xf>
    <xf numFmtId="0" fontId="2" fillId="6" borderId="67" xfId="0" applyNumberFormat="1" applyFont="1" applyFill="1" applyBorder="1" applyAlignment="1"/>
    <xf numFmtId="0" fontId="2" fillId="6" borderId="67" xfId="0" applyNumberFormat="1" applyFont="1" applyFill="1" applyBorder="1" applyAlignment="1">
      <alignment horizontal="center"/>
    </xf>
    <xf numFmtId="178" fontId="32" fillId="6" borderId="67" xfId="0" applyNumberFormat="1" applyFont="1" applyFill="1" applyBorder="1"/>
    <xf numFmtId="178" fontId="2" fillId="6" borderId="68" xfId="0" applyNumberFormat="1" applyFont="1" applyFill="1" applyBorder="1"/>
    <xf numFmtId="178" fontId="32" fillId="6" borderId="68" xfId="0" applyNumberFormat="1" applyFont="1" applyFill="1" applyBorder="1"/>
    <xf numFmtId="0" fontId="2" fillId="6" borderId="68" xfId="0" applyFont="1" applyFill="1" applyBorder="1" applyAlignment="1">
      <alignment vertical="center"/>
    </xf>
    <xf numFmtId="180" fontId="1" fillId="0" borderId="68" xfId="1" applyNumberFormat="1" applyFill="1" applyBorder="1" applyAlignment="1">
      <alignment horizontal="center"/>
    </xf>
    <xf numFmtId="0" fontId="8" fillId="0" borderId="68" xfId="0" applyFont="1" applyFill="1" applyBorder="1"/>
    <xf numFmtId="43" fontId="1" fillId="0" borderId="68" xfId="1" applyFill="1" applyBorder="1"/>
    <xf numFmtId="0" fontId="7" fillId="0" borderId="68" xfId="0" applyFont="1" applyFill="1" applyBorder="1"/>
    <xf numFmtId="49" fontId="7" fillId="0" borderId="68" xfId="1" applyNumberFormat="1" applyFont="1" applyFill="1" applyBorder="1" applyAlignment="1">
      <alignment horizontal="center"/>
    </xf>
    <xf numFmtId="186" fontId="1" fillId="0" borderId="68" xfId="16" applyNumberFormat="1" applyFill="1" applyBorder="1"/>
    <xf numFmtId="9" fontId="1" fillId="0" borderId="68" xfId="2" applyFill="1" applyBorder="1" applyAlignment="1">
      <alignment horizontal="center"/>
    </xf>
    <xf numFmtId="9" fontId="32" fillId="0" borderId="68" xfId="2" applyFont="1" applyFill="1" applyBorder="1" applyAlignment="1">
      <alignment horizontal="center"/>
    </xf>
    <xf numFmtId="186" fontId="32" fillId="0" borderId="68" xfId="16" applyNumberFormat="1" applyFont="1" applyFill="1" applyBorder="1"/>
    <xf numFmtId="10" fontId="32" fillId="0" borderId="68" xfId="2" applyNumberFormat="1" applyFont="1" applyFill="1" applyBorder="1"/>
    <xf numFmtId="1" fontId="1" fillId="0" borderId="68" xfId="2" applyNumberFormat="1" applyFill="1" applyBorder="1" applyAlignment="1">
      <alignment horizontal="center"/>
    </xf>
    <xf numFmtId="165" fontId="8" fillId="0" borderId="68" xfId="0" applyNumberFormat="1" applyFont="1" applyFill="1" applyBorder="1"/>
    <xf numFmtId="10" fontId="8" fillId="0" borderId="68" xfId="0" applyNumberFormat="1" applyFont="1" applyFill="1" applyBorder="1"/>
    <xf numFmtId="0" fontId="8" fillId="0" borderId="69" xfId="0" applyFont="1" applyFill="1" applyBorder="1"/>
    <xf numFmtId="0" fontId="0" fillId="0" borderId="69" xfId="0" applyFill="1" applyBorder="1" applyAlignment="1">
      <alignment horizontal="center"/>
    </xf>
    <xf numFmtId="43" fontId="1" fillId="0" borderId="69" xfId="1" applyFill="1" applyBorder="1" applyAlignment="1">
      <alignment horizontal="center"/>
    </xf>
    <xf numFmtId="165" fontId="0" fillId="0" borderId="69" xfId="0" applyNumberFormat="1" applyFill="1" applyBorder="1"/>
    <xf numFmtId="10" fontId="0" fillId="0" borderId="69" xfId="0" applyNumberFormat="1" applyFill="1" applyBorder="1"/>
    <xf numFmtId="0" fontId="8" fillId="0" borderId="0" xfId="0" applyFont="1" applyFill="1" applyBorder="1"/>
    <xf numFmtId="0" fontId="0" fillId="0" borderId="0" xfId="0" applyFill="1" applyBorder="1" applyAlignment="1">
      <alignment horizontal="center"/>
    </xf>
    <xf numFmtId="43" fontId="1" fillId="0" borderId="0" xfId="1" applyFill="1" applyBorder="1" applyAlignment="1">
      <alignment horizontal="center"/>
    </xf>
    <xf numFmtId="165" fontId="0" fillId="0" borderId="0" xfId="0" applyNumberFormat="1" applyFill="1" applyBorder="1"/>
    <xf numFmtId="44" fontId="32" fillId="0" borderId="67" xfId="16" applyFont="1" applyBorder="1" applyAlignment="1">
      <alignment horizontal="center"/>
    </xf>
    <xf numFmtId="44" fontId="32" fillId="0" borderId="68" xfId="16" applyFont="1" applyBorder="1" applyAlignment="1">
      <alignment horizontal="center"/>
    </xf>
    <xf numFmtId="10" fontId="32" fillId="0" borderId="68" xfId="2" applyNumberFormat="1" applyFont="1" applyFill="1" applyBorder="1" applyAlignment="1">
      <alignment horizontal="center"/>
    </xf>
    <xf numFmtId="172" fontId="32" fillId="0" borderId="68" xfId="2" applyNumberFormat="1" applyFont="1" applyFill="1" applyBorder="1" applyAlignment="1">
      <alignment horizontal="center"/>
    </xf>
    <xf numFmtId="43" fontId="32" fillId="0" borderId="68" xfId="1" applyFont="1" applyFill="1" applyBorder="1"/>
    <xf numFmtId="44" fontId="32" fillId="6" borderId="0" xfId="16" applyFont="1" applyFill="1"/>
    <xf numFmtId="178" fontId="0" fillId="6" borderId="68" xfId="0" applyNumberFormat="1" applyFill="1" applyBorder="1"/>
    <xf numFmtId="44" fontId="15" fillId="0" borderId="68" xfId="16" applyFont="1" applyBorder="1" applyAlignment="1">
      <alignment horizontal="right"/>
    </xf>
    <xf numFmtId="168" fontId="0" fillId="6" borderId="68" xfId="0" applyNumberFormat="1" applyFill="1" applyBorder="1"/>
    <xf numFmtId="0" fontId="32" fillId="6" borderId="68" xfId="0" applyFont="1" applyFill="1" applyBorder="1" applyAlignment="1">
      <alignment vertical="center"/>
    </xf>
    <xf numFmtId="0" fontId="13" fillId="0" borderId="68" xfId="0" applyFont="1" applyFill="1" applyBorder="1" applyAlignment="1">
      <alignment vertical="center"/>
    </xf>
    <xf numFmtId="177" fontId="11" fillId="0" borderId="57" xfId="0" applyNumberFormat="1" applyFont="1" applyBorder="1" applyAlignment="1">
      <alignment horizontal="right"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39" fillId="0" borderId="0" xfId="14" applyFont="1" applyFill="1" applyAlignment="1">
      <alignment horizontal="center"/>
    </xf>
    <xf numFmtId="0" fontId="32" fillId="0" borderId="0" xfId="0" applyFont="1" applyFill="1"/>
    <xf numFmtId="0" fontId="32" fillId="2" borderId="68" xfId="0" applyFont="1" applyFill="1" applyBorder="1" applyAlignment="1">
      <alignment horizontal="center"/>
    </xf>
    <xf numFmtId="44" fontId="2" fillId="6" borderId="68" xfId="16" applyFont="1" applyFill="1" applyBorder="1" applyAlignment="1">
      <alignment horizontal="center" vertical="center" wrapText="1"/>
    </xf>
    <xf numFmtId="177" fontId="39" fillId="0" borderId="91" xfId="14" applyNumberFormat="1" applyFont="1" applyFill="1" applyBorder="1" applyAlignment="1">
      <alignment horizontal="center"/>
    </xf>
    <xf numFmtId="0" fontId="39" fillId="0" borderId="24" xfId="14" applyFont="1" applyFill="1" applyBorder="1" applyAlignment="1">
      <alignment horizontal="left"/>
    </xf>
    <xf numFmtId="0" fontId="32" fillId="0" borderId="35" xfId="14" applyFont="1" applyFill="1" applyBorder="1" applyAlignment="1">
      <alignment horizontal="center" vertical="center"/>
    </xf>
    <xf numFmtId="173" fontId="32" fillId="0" borderId="35" xfId="15" applyNumberFormat="1" applyFont="1" applyFill="1" applyBorder="1" applyAlignment="1"/>
    <xf numFmtId="0" fontId="32" fillId="0" borderId="68" xfId="14" applyFont="1" applyFill="1" applyBorder="1" applyAlignment="1">
      <alignment horizontal="center" wrapText="1"/>
    </xf>
    <xf numFmtId="2" fontId="32" fillId="0" borderId="68" xfId="14" applyNumberFormat="1" applyFont="1" applyFill="1" applyBorder="1" applyAlignment="1">
      <alignment horizontal="center" vertical="center"/>
    </xf>
    <xf numFmtId="0" fontId="39" fillId="0" borderId="68" xfId="0" applyFont="1" applyFill="1" applyBorder="1" applyAlignment="1">
      <alignment horizontal="center"/>
    </xf>
    <xf numFmtId="0" fontId="32" fillId="0" borderId="69" xfId="14" applyFont="1" applyFill="1" applyBorder="1" applyAlignment="1">
      <alignment horizontal="center"/>
    </xf>
    <xf numFmtId="176" fontId="32" fillId="0" borderId="68" xfId="15" applyNumberFormat="1" applyFont="1" applyFill="1" applyBorder="1" applyAlignment="1">
      <alignment horizontal="center"/>
    </xf>
    <xf numFmtId="173" fontId="32" fillId="0" borderId="68" xfId="15" applyNumberFormat="1" applyFont="1" applyFill="1" applyBorder="1" applyAlignment="1">
      <alignment horizontal="center"/>
    </xf>
    <xf numFmtId="44" fontId="32" fillId="2" borderId="0" xfId="16" applyFont="1" applyFill="1" applyBorder="1"/>
    <xf numFmtId="44" fontId="32" fillId="2" borderId="0" xfId="16" applyFont="1" applyFill="1" applyBorder="1" applyAlignment="1">
      <alignment vertical="center"/>
    </xf>
    <xf numFmtId="4" fontId="23" fillId="0" borderId="68" xfId="18" applyNumberFormat="1" applyFill="1" applyBorder="1" applyAlignment="1">
      <alignment vertical="center" wrapText="1"/>
    </xf>
    <xf numFmtId="43" fontId="38" fillId="0" borderId="0" xfId="0" applyNumberFormat="1" applyFont="1"/>
    <xf numFmtId="0" fontId="38" fillId="0" borderId="0" xfId="0" applyFont="1"/>
    <xf numFmtId="44" fontId="38" fillId="0" borderId="0" xfId="0" applyNumberFormat="1" applyFont="1"/>
    <xf numFmtId="186" fontId="38" fillId="0" borderId="0" xfId="0" applyNumberFormat="1" applyFont="1"/>
    <xf numFmtId="0" fontId="38" fillId="0" borderId="0" xfId="0" applyFont="1" applyBorder="1"/>
    <xf numFmtId="0" fontId="38" fillId="0" borderId="0" xfId="0" applyFont="1" applyFill="1"/>
    <xf numFmtId="10" fontId="38" fillId="0" borderId="0" xfId="2" applyNumberFormat="1" applyFont="1"/>
    <xf numFmtId="186" fontId="38" fillId="0" borderId="0" xfId="0" applyNumberFormat="1" applyFont="1" applyBorder="1"/>
    <xf numFmtId="186" fontId="38" fillId="0" borderId="0" xfId="0" applyNumberFormat="1" applyFont="1" applyFill="1"/>
    <xf numFmtId="186" fontId="38" fillId="0" borderId="0" xfId="0" applyNumberFormat="1" applyFont="1" applyFill="1" applyBorder="1"/>
    <xf numFmtId="180" fontId="38" fillId="0" borderId="0" xfId="0" applyNumberFormat="1" applyFont="1" applyFill="1" applyBorder="1"/>
    <xf numFmtId="178" fontId="2" fillId="6" borderId="93" xfId="0" applyNumberFormat="1" applyFont="1" applyFill="1" applyBorder="1"/>
    <xf numFmtId="178" fontId="8" fillId="6" borderId="85" xfId="16" applyNumberFormat="1" applyFont="1" applyFill="1" applyBorder="1"/>
    <xf numFmtId="44" fontId="32" fillId="6" borderId="94" xfId="16" applyFont="1" applyFill="1" applyBorder="1"/>
    <xf numFmtId="0" fontId="32" fillId="0" borderId="92" xfId="0" applyFont="1" applyFill="1" applyBorder="1"/>
    <xf numFmtId="178" fontId="8" fillId="6" borderId="84" xfId="0" applyNumberFormat="1" applyFont="1" applyFill="1" applyBorder="1"/>
    <xf numFmtId="178" fontId="8" fillId="6" borderId="85" xfId="0" applyNumberFormat="1" applyFont="1" applyFill="1" applyBorder="1"/>
    <xf numFmtId="178" fontId="2" fillId="0" borderId="85" xfId="0" applyNumberFormat="1" applyFont="1" applyFill="1" applyBorder="1"/>
    <xf numFmtId="178" fontId="2" fillId="6" borderId="85" xfId="0" applyNumberFormat="1" applyFont="1" applyFill="1" applyBorder="1"/>
    <xf numFmtId="44" fontId="2" fillId="0" borderId="85" xfId="16" applyFont="1" applyFill="1" applyBorder="1" applyAlignment="1">
      <alignment vertical="center"/>
    </xf>
    <xf numFmtId="178" fontId="8" fillId="0" borderId="85" xfId="0" applyNumberFormat="1" applyFont="1" applyFill="1" applyBorder="1"/>
    <xf numFmtId="179" fontId="8" fillId="6" borderId="85" xfId="0" applyNumberFormat="1" applyFont="1" applyFill="1" applyBorder="1"/>
    <xf numFmtId="178" fontId="8" fillId="6" borderId="85" xfId="1" applyNumberFormat="1" applyFont="1" applyFill="1" applyBorder="1" applyAlignment="1"/>
    <xf numFmtId="43" fontId="8" fillId="6" borderId="85" xfId="1" applyFont="1" applyFill="1" applyBorder="1" applyAlignment="1"/>
    <xf numFmtId="44" fontId="8" fillId="6" borderId="85" xfId="16" applyFont="1" applyFill="1" applyBorder="1"/>
    <xf numFmtId="44" fontId="2" fillId="0" borderId="85" xfId="16" applyFont="1" applyFill="1" applyBorder="1"/>
    <xf numFmtId="178" fontId="2" fillId="6" borderId="85" xfId="16" applyNumberFormat="1" applyFont="1" applyFill="1" applyBorder="1"/>
    <xf numFmtId="44" fontId="21" fillId="0" borderId="85" xfId="16" applyFont="1" applyFill="1" applyBorder="1" applyAlignment="1">
      <alignment vertical="center"/>
    </xf>
    <xf numFmtId="175" fontId="2" fillId="6" borderId="85" xfId="16" applyNumberFormat="1" applyFont="1" applyFill="1" applyBorder="1"/>
    <xf numFmtId="44" fontId="8" fillId="2" borderId="85" xfId="16" applyFont="1" applyFill="1" applyBorder="1"/>
    <xf numFmtId="44" fontId="21" fillId="7" borderId="85" xfId="16" applyFont="1" applyFill="1" applyBorder="1" applyAlignment="1">
      <alignment vertical="center"/>
    </xf>
    <xf numFmtId="44" fontId="2" fillId="0" borderId="86" xfId="16" applyFont="1" applyFill="1" applyBorder="1" applyAlignment="1">
      <alignment vertical="center"/>
    </xf>
    <xf numFmtId="44" fontId="0" fillId="6" borderId="71" xfId="16" applyFont="1" applyFill="1" applyBorder="1"/>
    <xf numFmtId="0" fontId="0" fillId="0" borderId="71" xfId="0" applyBorder="1"/>
    <xf numFmtId="44" fontId="32" fillId="6" borderId="71" xfId="16" applyFont="1" applyFill="1" applyBorder="1"/>
    <xf numFmtId="178" fontId="32" fillId="6" borderId="71" xfId="0" applyNumberFormat="1" applyFont="1" applyFill="1" applyBorder="1"/>
    <xf numFmtId="0" fontId="32" fillId="0" borderId="71" xfId="0" applyFont="1" applyFill="1" applyBorder="1"/>
    <xf numFmtId="0" fontId="0" fillId="0" borderId="71" xfId="0" applyFill="1" applyBorder="1"/>
    <xf numFmtId="0" fontId="32" fillId="6" borderId="71" xfId="0" applyFont="1" applyFill="1" applyBorder="1"/>
    <xf numFmtId="0" fontId="0" fillId="0" borderId="72" xfId="0" applyBorder="1"/>
    <xf numFmtId="178" fontId="32" fillId="6" borderId="32" xfId="0" applyNumberFormat="1" applyFont="1" applyFill="1" applyBorder="1"/>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39" fillId="0" borderId="0" xfId="14" applyFont="1" applyFill="1" applyAlignment="1">
      <alignment horizontal="center"/>
    </xf>
    <xf numFmtId="173" fontId="39" fillId="0" borderId="35" xfId="15" applyNumberFormat="1" applyFont="1" applyFill="1" applyBorder="1" applyAlignment="1">
      <alignment horizontal="center" vertical="center"/>
    </xf>
    <xf numFmtId="173" fontId="52" fillId="0" borderId="35" xfId="15" applyNumberFormat="1" applyFont="1" applyFill="1" applyBorder="1" applyAlignment="1">
      <alignment horizontal="center" wrapText="1"/>
    </xf>
    <xf numFmtId="173" fontId="32" fillId="0" borderId="24" xfId="15" applyNumberFormat="1" applyFont="1" applyFill="1" applyBorder="1" applyAlignment="1"/>
    <xf numFmtId="44" fontId="32" fillId="0" borderId="68" xfId="16" applyFont="1" applyFill="1" applyBorder="1" applyAlignment="1">
      <alignment vertical="center"/>
    </xf>
    <xf numFmtId="44" fontId="32" fillId="0" borderId="68" xfId="16" applyFont="1" applyFill="1" applyBorder="1" applyAlignment="1">
      <alignment horizontal="center" vertical="center"/>
    </xf>
    <xf numFmtId="44" fontId="32" fillId="0" borderId="69" xfId="16" applyFont="1" applyFill="1" applyBorder="1"/>
    <xf numFmtId="173" fontId="32" fillId="0" borderId="0" xfId="15" applyNumberFormat="1" applyFont="1" applyFill="1" applyBorder="1" applyAlignment="1"/>
    <xf numFmtId="4" fontId="11" fillId="0" borderId="2" xfId="0" applyNumberFormat="1" applyFont="1" applyFill="1" applyBorder="1" applyAlignment="1">
      <alignment vertical="center"/>
    </xf>
    <xf numFmtId="4" fontId="11" fillId="0" borderId="1" xfId="0" applyNumberFormat="1" applyFont="1" applyFill="1" applyBorder="1" applyAlignment="1">
      <alignment vertical="center"/>
    </xf>
    <xf numFmtId="4" fontId="11" fillId="0" borderId="35" xfId="0" applyNumberFormat="1" applyFont="1" applyFill="1" applyBorder="1" applyAlignment="1">
      <alignment vertical="center"/>
    </xf>
    <xf numFmtId="4" fontId="11" fillId="0" borderId="44" xfId="0" applyNumberFormat="1" applyFont="1" applyFill="1" applyBorder="1" applyAlignment="1">
      <alignment vertical="center"/>
    </xf>
    <xf numFmtId="0" fontId="53" fillId="12" borderId="0" xfId="20" applyFont="1" applyFill="1" applyBorder="1" applyAlignment="1">
      <alignment horizontal="center" vertical="center" wrapText="1"/>
    </xf>
    <xf numFmtId="44" fontId="53" fillId="12" borderId="0" xfId="20" applyNumberFormat="1" applyFont="1" applyFill="1" applyBorder="1" applyAlignment="1">
      <alignment horizontal="center" vertical="center" wrapText="1"/>
    </xf>
    <xf numFmtId="0" fontId="55" fillId="0" borderId="0" xfId="0" applyFont="1" applyFill="1"/>
    <xf numFmtId="0" fontId="53" fillId="12" borderId="1" xfId="20" applyFont="1" applyFill="1" applyBorder="1" applyAlignment="1">
      <alignment horizontal="center" vertical="center" wrapText="1"/>
    </xf>
    <xf numFmtId="44" fontId="53" fillId="12" borderId="1" xfId="16" applyFont="1" applyFill="1" applyBorder="1" applyAlignment="1">
      <alignment horizontal="center" vertical="center" wrapText="1"/>
    </xf>
    <xf numFmtId="44" fontId="53" fillId="12" borderId="1" xfId="16" applyFont="1" applyFill="1" applyBorder="1" applyAlignment="1">
      <alignment horizontal="center" vertical="center"/>
    </xf>
    <xf numFmtId="0" fontId="55" fillId="3" borderId="0" xfId="0" applyFont="1" applyFill="1"/>
    <xf numFmtId="0" fontId="52" fillId="0" borderId="0" xfId="0" applyFont="1" applyFill="1"/>
    <xf numFmtId="0" fontId="58" fillId="0" borderId="0" xfId="0" applyFont="1" applyFill="1" applyAlignment="1">
      <alignment horizontal="center" vertical="center"/>
    </xf>
    <xf numFmtId="0" fontId="58" fillId="0" borderId="0" xfId="0" applyFont="1" applyFill="1" applyAlignment="1"/>
    <xf numFmtId="4" fontId="58" fillId="0" borderId="0" xfId="0" applyNumberFormat="1" applyFont="1" applyFill="1" applyAlignment="1">
      <alignment horizontal="center" vertical="center"/>
    </xf>
    <xf numFmtId="0" fontId="58" fillId="0" borderId="0" xfId="0" applyFont="1" applyFill="1"/>
    <xf numFmtId="44" fontId="58" fillId="0" borderId="0" xfId="0" applyNumberFormat="1" applyFont="1" applyFill="1"/>
    <xf numFmtId="0" fontId="6" fillId="0" borderId="0" xfId="0" applyFont="1"/>
    <xf numFmtId="0" fontId="0" fillId="0" borderId="1" xfId="0" applyBorder="1" applyAlignment="1">
      <alignment horizontal="center" vertical="center"/>
    </xf>
    <xf numFmtId="0" fontId="12" fillId="0" borderId="2" xfId="20" applyFont="1" applyFill="1" applyBorder="1" applyAlignment="1">
      <alignment horizontal="left" vertical="center"/>
    </xf>
    <xf numFmtId="0" fontId="0" fillId="0" borderId="4" xfId="0" applyBorder="1" applyAlignment="1">
      <alignment horizontal="right"/>
    </xf>
    <xf numFmtId="0" fontId="0" fillId="13" borderId="1" xfId="0" applyFill="1" applyBorder="1" applyAlignment="1">
      <alignment horizontal="center" vertical="center"/>
    </xf>
    <xf numFmtId="0" fontId="60" fillId="0" borderId="13" xfId="20" applyFont="1" applyFill="1" applyBorder="1" applyAlignment="1">
      <alignment horizontal="left" vertical="center"/>
    </xf>
    <xf numFmtId="0" fontId="0" fillId="0" borderId="15" xfId="0" applyBorder="1"/>
    <xf numFmtId="0" fontId="0" fillId="0" borderId="14" xfId="0" applyBorder="1"/>
    <xf numFmtId="0" fontId="60" fillId="0" borderId="95" xfId="20" applyFont="1" applyFill="1" applyBorder="1" applyAlignment="1">
      <alignment horizontal="left" vertical="center"/>
    </xf>
    <xf numFmtId="0" fontId="0" fillId="0" borderId="57" xfId="0" applyBorder="1"/>
    <xf numFmtId="0" fontId="0" fillId="3" borderId="1" xfId="0" applyFill="1" applyBorder="1" applyAlignment="1">
      <alignment horizontal="center" vertical="center"/>
    </xf>
    <xf numFmtId="0" fontId="12" fillId="0" borderId="95" xfId="20" applyFont="1" applyFill="1" applyBorder="1" applyAlignment="1">
      <alignment horizontal="left" vertical="center"/>
    </xf>
    <xf numFmtId="0" fontId="0" fillId="3" borderId="9" xfId="0" applyFill="1" applyBorder="1" applyAlignment="1">
      <alignment horizontal="center" vertical="center"/>
    </xf>
    <xf numFmtId="0" fontId="12" fillId="0" borderId="11" xfId="20" applyFont="1" applyFill="1" applyBorder="1" applyAlignment="1">
      <alignment horizontal="left" vertical="center"/>
    </xf>
    <xf numFmtId="0" fontId="0" fillId="0" borderId="12" xfId="0" applyBorder="1"/>
    <xf numFmtId="0" fontId="0" fillId="0" borderId="16" xfId="0" applyBorder="1"/>
    <xf numFmtId="0" fontId="0" fillId="13" borderId="9" xfId="0" applyFill="1" applyBorder="1" applyAlignment="1">
      <alignment horizontal="center" vertical="center"/>
    </xf>
    <xf numFmtId="0" fontId="0" fillId="0" borderId="1" xfId="0" applyFill="1" applyBorder="1" applyAlignment="1">
      <alignment horizontal="center" vertical="center"/>
    </xf>
    <xf numFmtId="0" fontId="39" fillId="0" borderId="0" xfId="0" applyFont="1"/>
    <xf numFmtId="0" fontId="0" fillId="2" borderId="0" xfId="0" applyFill="1" applyAlignment="1">
      <alignment horizontal="center" vertical="center"/>
    </xf>
    <xf numFmtId="0" fontId="0" fillId="0" borderId="0" xfId="0" applyAlignment="1">
      <alignment horizontal="right"/>
    </xf>
    <xf numFmtId="0" fontId="54" fillId="3" borderId="0" xfId="22" applyFont="1" applyFill="1" applyBorder="1" applyAlignment="1">
      <alignment horizontal="center" vertical="center"/>
    </xf>
    <xf numFmtId="0" fontId="61" fillId="3" borderId="0" xfId="23" applyFont="1" applyFill="1" applyAlignment="1">
      <alignment vertical="center"/>
    </xf>
    <xf numFmtId="0" fontId="2" fillId="3" borderId="0" xfId="23" applyFill="1" applyAlignment="1">
      <alignment vertical="center"/>
    </xf>
    <xf numFmtId="0" fontId="61" fillId="3" borderId="0" xfId="22" applyFont="1" applyFill="1" applyAlignment="1">
      <alignment vertical="center"/>
    </xf>
    <xf numFmtId="0" fontId="54" fillId="3" borderId="0" xfId="23" applyFont="1" applyFill="1" applyBorder="1" applyAlignment="1">
      <alignment vertical="center"/>
    </xf>
    <xf numFmtId="0" fontId="61" fillId="3" borderId="9" xfId="23" applyFont="1" applyFill="1" applyBorder="1" applyAlignment="1">
      <alignment horizontal="center" vertical="center"/>
    </xf>
    <xf numFmtId="0" fontId="61" fillId="3" borderId="5" xfId="23" applyFont="1" applyFill="1" applyBorder="1" applyAlignment="1">
      <alignment horizontal="center" vertical="center"/>
    </xf>
    <xf numFmtId="0" fontId="61" fillId="3" borderId="0" xfId="23" applyFont="1" applyFill="1" applyAlignment="1">
      <alignment horizontal="center" vertical="center"/>
    </xf>
    <xf numFmtId="0" fontId="61" fillId="3" borderId="2" xfId="23" applyFont="1" applyFill="1" applyBorder="1" applyAlignment="1">
      <alignment horizontal="center" vertical="center"/>
    </xf>
    <xf numFmtId="0" fontId="61" fillId="3" borderId="3" xfId="23" applyFont="1" applyFill="1" applyBorder="1" applyAlignment="1">
      <alignment horizontal="center" vertical="center"/>
    </xf>
    <xf numFmtId="0" fontId="61" fillId="3" borderId="1" xfId="23" applyFont="1" applyFill="1" applyBorder="1" applyAlignment="1">
      <alignment horizontal="center" vertical="center"/>
    </xf>
    <xf numFmtId="0" fontId="61" fillId="3" borderId="13" xfId="23" applyFont="1" applyFill="1" applyBorder="1" applyAlignment="1">
      <alignment horizontal="left" vertical="center"/>
    </xf>
    <xf numFmtId="0" fontId="61" fillId="3" borderId="15" xfId="23" applyFont="1" applyFill="1" applyBorder="1" applyAlignment="1">
      <alignment horizontal="left" vertical="center"/>
    </xf>
    <xf numFmtId="0" fontId="61" fillId="3" borderId="14" xfId="23" applyFont="1" applyFill="1" applyBorder="1" applyAlignment="1">
      <alignment horizontal="left" vertical="center"/>
    </xf>
    <xf numFmtId="165" fontId="61" fillId="3" borderId="9" xfId="24" applyFont="1" applyFill="1" applyBorder="1" applyAlignment="1">
      <alignment horizontal="center" vertical="center"/>
    </xf>
    <xf numFmtId="165" fontId="61" fillId="3" borderId="9" xfId="24" applyFont="1" applyFill="1" applyBorder="1" applyAlignment="1">
      <alignment vertical="center"/>
    </xf>
    <xf numFmtId="0" fontId="61" fillId="3" borderId="95" xfId="23" applyFont="1" applyFill="1" applyBorder="1" applyAlignment="1">
      <alignment vertical="center"/>
    </xf>
    <xf numFmtId="0" fontId="61" fillId="3" borderId="0" xfId="23" applyFont="1" applyFill="1" applyBorder="1" applyAlignment="1">
      <alignment vertical="center"/>
    </xf>
    <xf numFmtId="165" fontId="61" fillId="3" borderId="10" xfId="24" applyFont="1" applyFill="1" applyBorder="1" applyAlignment="1">
      <alignment horizontal="center" vertical="center"/>
    </xf>
    <xf numFmtId="165" fontId="61" fillId="3" borderId="10" xfId="24" applyFont="1" applyFill="1" applyBorder="1" applyAlignment="1">
      <alignment vertical="center"/>
    </xf>
    <xf numFmtId="0" fontId="61" fillId="3" borderId="11" xfId="23" applyFont="1" applyFill="1" applyBorder="1" applyAlignment="1">
      <alignment vertical="center"/>
    </xf>
    <xf numFmtId="0" fontId="61" fillId="3" borderId="12" xfId="23" applyFont="1" applyFill="1" applyBorder="1" applyAlignment="1">
      <alignment vertical="center"/>
    </xf>
    <xf numFmtId="0" fontId="61" fillId="3" borderId="5" xfId="23" applyFont="1" applyFill="1" applyBorder="1" applyAlignment="1">
      <alignment vertical="center"/>
    </xf>
    <xf numFmtId="165" fontId="61" fillId="3" borderId="0" xfId="24" applyFont="1" applyFill="1" applyAlignment="1">
      <alignment horizontal="center" vertical="center"/>
    </xf>
    <xf numFmtId="165" fontId="61" fillId="3" borderId="4" xfId="24" applyFont="1" applyFill="1" applyBorder="1" applyAlignment="1">
      <alignment horizontal="center" vertical="center"/>
    </xf>
    <xf numFmtId="0" fontId="61" fillId="3" borderId="0" xfId="23" applyFont="1" applyFill="1" applyBorder="1" applyAlignment="1">
      <alignment horizontal="center" vertical="center"/>
    </xf>
    <xf numFmtId="0" fontId="61" fillId="3" borderId="4" xfId="23" applyFont="1" applyFill="1" applyBorder="1" applyAlignment="1">
      <alignment horizontal="center" vertical="center"/>
    </xf>
    <xf numFmtId="0" fontId="61" fillId="3" borderId="13" xfId="23" applyFont="1" applyFill="1" applyBorder="1" applyAlignment="1">
      <alignment vertical="center"/>
    </xf>
    <xf numFmtId="0" fontId="61" fillId="3" borderId="14" xfId="23" applyFont="1" applyFill="1" applyBorder="1" applyAlignment="1">
      <alignment vertical="center"/>
    </xf>
    <xf numFmtId="44" fontId="61" fillId="3" borderId="9" xfId="16" applyFont="1" applyFill="1" applyBorder="1" applyAlignment="1">
      <alignment horizontal="center" vertical="center"/>
    </xf>
    <xf numFmtId="2" fontId="61" fillId="3" borderId="15" xfId="23" applyNumberFormat="1" applyFont="1" applyFill="1" applyBorder="1" applyAlignment="1">
      <alignment horizontal="center" vertical="center"/>
    </xf>
    <xf numFmtId="10" fontId="61" fillId="3" borderId="9" xfId="25" applyNumberFormat="1" applyFont="1" applyFill="1" applyBorder="1" applyAlignment="1">
      <alignment vertical="center"/>
    </xf>
    <xf numFmtId="0" fontId="61" fillId="3" borderId="57" xfId="23" applyFont="1" applyFill="1" applyBorder="1" applyAlignment="1">
      <alignment vertical="center"/>
    </xf>
    <xf numFmtId="0" fontId="61" fillId="3" borderId="10" xfId="23" applyFont="1" applyFill="1" applyBorder="1" applyAlignment="1">
      <alignment horizontal="center" vertical="center"/>
    </xf>
    <xf numFmtId="44" fontId="61" fillId="3" borderId="10" xfId="16" applyFont="1" applyFill="1" applyBorder="1" applyAlignment="1">
      <alignment horizontal="center" vertical="center"/>
    </xf>
    <xf numFmtId="2" fontId="61" fillId="3" borderId="0" xfId="23" applyNumberFormat="1" applyFont="1" applyFill="1" applyBorder="1" applyAlignment="1">
      <alignment horizontal="center" vertical="center"/>
    </xf>
    <xf numFmtId="10" fontId="61" fillId="3" borderId="10" xfId="25" applyNumberFormat="1" applyFont="1" applyFill="1" applyBorder="1" applyAlignment="1">
      <alignment vertical="center"/>
    </xf>
    <xf numFmtId="44" fontId="61" fillId="3" borderId="10" xfId="16" applyFont="1" applyFill="1" applyBorder="1" applyAlignment="1">
      <alignment vertical="center"/>
    </xf>
    <xf numFmtId="0" fontId="62" fillId="3" borderId="0" xfId="23" applyFont="1" applyFill="1" applyAlignment="1">
      <alignment vertical="center"/>
    </xf>
    <xf numFmtId="0" fontId="61" fillId="3" borderId="57" xfId="23" applyFont="1" applyFill="1" applyBorder="1" applyAlignment="1">
      <alignment horizontal="justify" vertical="justify"/>
    </xf>
    <xf numFmtId="0" fontId="61" fillId="3" borderId="10" xfId="23" applyFont="1" applyFill="1" applyBorder="1" applyAlignment="1">
      <alignment vertical="center"/>
    </xf>
    <xf numFmtId="44" fontId="61" fillId="3" borderId="4" xfId="16" applyFont="1" applyFill="1" applyBorder="1" applyAlignment="1">
      <alignment horizontal="center" vertical="center"/>
    </xf>
    <xf numFmtId="0" fontId="61" fillId="3" borderId="15" xfId="23" applyFont="1" applyFill="1" applyBorder="1" applyAlignment="1">
      <alignment vertical="center"/>
    </xf>
    <xf numFmtId="165" fontId="61" fillId="3" borderId="14" xfId="24" applyFont="1" applyFill="1" applyBorder="1" applyAlignment="1">
      <alignment vertical="center"/>
    </xf>
    <xf numFmtId="165" fontId="61" fillId="3" borderId="14" xfId="24" applyFont="1" applyFill="1" applyBorder="1" applyAlignment="1">
      <alignment horizontal="center" vertical="center"/>
    </xf>
    <xf numFmtId="165" fontId="61" fillId="3" borderId="57" xfId="24" applyFont="1" applyFill="1" applyBorder="1" applyAlignment="1">
      <alignment horizontal="center" vertical="center"/>
    </xf>
    <xf numFmtId="0" fontId="61" fillId="3" borderId="16" xfId="23" applyFont="1" applyFill="1" applyBorder="1" applyAlignment="1">
      <alignment vertical="center"/>
    </xf>
    <xf numFmtId="165" fontId="61" fillId="3" borderId="5" xfId="24" applyFont="1" applyFill="1" applyBorder="1" applyAlignment="1">
      <alignment vertical="center"/>
    </xf>
    <xf numFmtId="0" fontId="61" fillId="3" borderId="1" xfId="23" applyFont="1" applyFill="1" applyBorder="1" applyAlignment="1">
      <alignment vertical="center"/>
    </xf>
    <xf numFmtId="166" fontId="61" fillId="3" borderId="10" xfId="23" applyNumberFormat="1" applyFont="1" applyFill="1" applyBorder="1" applyAlignment="1">
      <alignment vertical="center"/>
    </xf>
    <xf numFmtId="2" fontId="61" fillId="3" borderId="10" xfId="23" applyNumberFormat="1" applyFont="1" applyFill="1" applyBorder="1" applyAlignment="1">
      <alignment vertical="center"/>
    </xf>
    <xf numFmtId="166" fontId="61" fillId="3" borderId="5" xfId="23" applyNumberFormat="1" applyFont="1" applyFill="1" applyBorder="1" applyAlignment="1">
      <alignment vertical="center"/>
    </xf>
    <xf numFmtId="2" fontId="61" fillId="3" borderId="5" xfId="23" applyNumberFormat="1" applyFont="1" applyFill="1" applyBorder="1" applyAlignment="1">
      <alignment vertical="center"/>
    </xf>
    <xf numFmtId="166" fontId="61" fillId="3" borderId="4" xfId="23" applyNumberFormat="1" applyFont="1" applyFill="1" applyBorder="1" applyAlignment="1">
      <alignment vertical="center"/>
    </xf>
    <xf numFmtId="188" fontId="61" fillId="3" borderId="4" xfId="24" applyNumberFormat="1" applyFont="1" applyFill="1" applyBorder="1" applyAlignment="1">
      <alignment vertical="center"/>
    </xf>
    <xf numFmtId="166" fontId="54" fillId="3" borderId="1" xfId="23" applyNumberFormat="1" applyFont="1" applyFill="1" applyBorder="1" applyAlignment="1">
      <alignment vertical="center"/>
    </xf>
    <xf numFmtId="0" fontId="54" fillId="3" borderId="0" xfId="22" applyFont="1" applyFill="1" applyAlignment="1">
      <alignment horizontal="center" vertical="center"/>
    </xf>
    <xf numFmtId="10" fontId="54" fillId="3" borderId="0" xfId="22" applyNumberFormat="1" applyFont="1" applyFill="1" applyAlignment="1">
      <alignment vertical="center"/>
    </xf>
    <xf numFmtId="0" fontId="54" fillId="3" borderId="0" xfId="22" applyFont="1" applyFill="1" applyAlignment="1">
      <alignment vertical="center"/>
    </xf>
    <xf numFmtId="166" fontId="54" fillId="3" borderId="0" xfId="22" applyNumberFormat="1" applyFont="1" applyFill="1" applyAlignment="1">
      <alignment vertical="center"/>
    </xf>
    <xf numFmtId="10" fontId="61" fillId="3" borderId="0" xfId="25" applyNumberFormat="1" applyFont="1" applyFill="1" applyBorder="1" applyAlignment="1">
      <alignment vertical="center"/>
    </xf>
    <xf numFmtId="166" fontId="61" fillId="3" borderId="0" xfId="23" applyNumberFormat="1" applyFont="1" applyFill="1" applyBorder="1" applyAlignment="1">
      <alignment horizontal="center" vertical="center"/>
    </xf>
    <xf numFmtId="165" fontId="61" fillId="3" borderId="5" xfId="24" applyFont="1" applyFill="1" applyBorder="1" applyAlignment="1">
      <alignment horizontal="center" vertical="center"/>
    </xf>
    <xf numFmtId="44" fontId="61" fillId="3" borderId="5" xfId="16" applyFont="1" applyFill="1" applyBorder="1" applyAlignment="1">
      <alignment horizontal="center" vertical="center"/>
    </xf>
    <xf numFmtId="2" fontId="61" fillId="3" borderId="5" xfId="23" applyNumberFormat="1" applyFont="1" applyFill="1" applyBorder="1" applyAlignment="1">
      <alignment horizontal="center" vertical="center"/>
    </xf>
    <xf numFmtId="0" fontId="53" fillId="12" borderId="1" xfId="20" applyFont="1" applyFill="1" applyBorder="1" applyAlignment="1" applyProtection="1">
      <alignment horizontal="center" vertical="center" wrapText="1"/>
    </xf>
    <xf numFmtId="4" fontId="53" fillId="12" borderId="1" xfId="20" applyNumberFormat="1" applyFont="1" applyFill="1" applyBorder="1" applyAlignment="1" applyProtection="1">
      <alignment horizontal="center" vertical="center" wrapText="1"/>
    </xf>
    <xf numFmtId="0" fontId="53" fillId="12" borderId="1" xfId="20" applyFont="1" applyFill="1" applyBorder="1" applyAlignment="1" applyProtection="1">
      <alignment horizontal="center" vertical="center"/>
    </xf>
    <xf numFmtId="0" fontId="53" fillId="12" borderId="1" xfId="20" applyFont="1" applyFill="1" applyBorder="1" applyAlignment="1" applyProtection="1">
      <alignment horizontal="left" vertical="center" wrapText="1"/>
    </xf>
    <xf numFmtId="4" fontId="56" fillId="12" borderId="1" xfId="0" applyNumberFormat="1" applyFont="1" applyFill="1" applyBorder="1" applyAlignment="1" applyProtection="1">
      <alignment horizontal="center" vertical="center"/>
    </xf>
    <xf numFmtId="4" fontId="53" fillId="12" borderId="1" xfId="0" applyNumberFormat="1" applyFont="1" applyFill="1" applyBorder="1" applyAlignment="1" applyProtection="1">
      <alignment horizontal="center" vertical="center"/>
    </xf>
    <xf numFmtId="0" fontId="57" fillId="0" borderId="1" xfId="20" applyFont="1" applyFill="1" applyBorder="1" applyAlignment="1" applyProtection="1">
      <alignment horizontal="center" vertical="center"/>
    </xf>
    <xf numFmtId="0" fontId="57" fillId="0" borderId="1" xfId="20" applyFont="1" applyFill="1" applyBorder="1" applyAlignment="1" applyProtection="1">
      <alignment horizontal="left" vertical="center" wrapText="1"/>
    </xf>
    <xf numFmtId="4" fontId="58" fillId="0" borderId="1" xfId="0" applyNumberFormat="1" applyFont="1" applyFill="1" applyBorder="1" applyAlignment="1" applyProtection="1">
      <alignment horizontal="center" vertical="center"/>
    </xf>
    <xf numFmtId="4" fontId="57" fillId="0" borderId="1" xfId="0" applyNumberFormat="1" applyFont="1" applyFill="1" applyBorder="1" applyAlignment="1" applyProtection="1">
      <alignment horizontal="center" vertical="center"/>
    </xf>
    <xf numFmtId="0" fontId="53" fillId="0" borderId="1" xfId="20" applyFont="1" applyFill="1" applyBorder="1" applyAlignment="1" applyProtection="1">
      <alignment horizontal="left" vertical="center" wrapText="1"/>
    </xf>
    <xf numFmtId="0" fontId="53" fillId="0" borderId="1" xfId="20" applyFont="1" applyFill="1" applyBorder="1" applyAlignment="1" applyProtection="1">
      <alignment horizontal="left" vertical="center"/>
    </xf>
    <xf numFmtId="0" fontId="57" fillId="0" borderId="1" xfId="20" applyFont="1" applyFill="1" applyBorder="1" applyAlignment="1" applyProtection="1">
      <alignment horizontal="left" vertical="center"/>
    </xf>
    <xf numFmtId="4" fontId="57" fillId="0" borderId="1" xfId="20" applyNumberFormat="1" applyFont="1" applyFill="1" applyBorder="1" applyAlignment="1" applyProtection="1">
      <alignment horizontal="center" vertical="center" wrapText="1"/>
    </xf>
    <xf numFmtId="4" fontId="58" fillId="12" borderId="1" xfId="0" applyNumberFormat="1" applyFont="1" applyFill="1" applyBorder="1" applyAlignment="1" applyProtection="1">
      <alignment horizontal="center" vertical="center"/>
    </xf>
    <xf numFmtId="4" fontId="57" fillId="12" borderId="1" xfId="0" applyNumberFormat="1" applyFont="1" applyFill="1" applyBorder="1" applyAlignment="1" applyProtection="1">
      <alignment horizontal="center" vertical="center"/>
    </xf>
    <xf numFmtId="0" fontId="57" fillId="0" borderId="1" xfId="20" applyFont="1" applyFill="1" applyBorder="1" applyAlignment="1" applyProtection="1">
      <alignment horizontal="center" vertical="center" wrapText="1"/>
    </xf>
    <xf numFmtId="0" fontId="57" fillId="0" borderId="1" xfId="20" applyFont="1" applyFill="1" applyBorder="1" applyAlignment="1" applyProtection="1">
      <alignment horizontal="justify" vertical="center" wrapText="1"/>
    </xf>
    <xf numFmtId="0" fontId="53" fillId="12" borderId="1" xfId="20" applyFont="1" applyFill="1" applyBorder="1" applyAlignment="1" applyProtection="1">
      <alignment horizontal="justify" vertical="center"/>
    </xf>
    <xf numFmtId="4" fontId="57" fillId="12" borderId="1" xfId="20" applyNumberFormat="1" applyFont="1" applyFill="1" applyBorder="1" applyAlignment="1" applyProtection="1">
      <alignment horizontal="center" vertical="center"/>
    </xf>
    <xf numFmtId="4" fontId="57" fillId="0" borderId="1" xfId="20" applyNumberFormat="1" applyFont="1" applyFill="1" applyBorder="1" applyAlignment="1" applyProtection="1">
      <alignment horizontal="center" vertical="center"/>
    </xf>
    <xf numFmtId="0" fontId="30" fillId="0" borderId="1" xfId="20" applyFont="1" applyFill="1" applyBorder="1" applyAlignment="1" applyProtection="1">
      <alignment horizontal="justify" vertical="center" wrapText="1"/>
    </xf>
    <xf numFmtId="0" fontId="53" fillId="0" borderId="1" xfId="0" applyFont="1" applyFill="1" applyBorder="1" applyAlignment="1" applyProtection="1">
      <alignment horizontal="center" vertical="center"/>
    </xf>
    <xf numFmtId="0" fontId="57" fillId="3" borderId="1" xfId="20" applyFont="1" applyFill="1" applyBorder="1" applyAlignment="1" applyProtection="1">
      <alignment horizontal="justify" vertical="center" wrapText="1"/>
    </xf>
    <xf numFmtId="0" fontId="12" fillId="3" borderId="1" xfId="20" applyFont="1" applyFill="1" applyBorder="1" applyAlignment="1" applyProtection="1">
      <alignment horizontal="left" vertical="center" wrapText="1"/>
    </xf>
    <xf numFmtId="4" fontId="55" fillId="0" borderId="1" xfId="0" applyNumberFormat="1" applyFont="1" applyFill="1" applyBorder="1" applyAlignment="1" applyProtection="1">
      <alignment horizontal="center" vertical="center"/>
    </xf>
    <xf numFmtId="4" fontId="12" fillId="0" borderId="1" xfId="20" applyNumberFormat="1"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2" fontId="57" fillId="0" borderId="1" xfId="0" applyNumberFormat="1" applyFont="1" applyFill="1" applyBorder="1" applyAlignment="1" applyProtection="1">
      <alignment horizontal="center" vertical="center"/>
    </xf>
    <xf numFmtId="4" fontId="53" fillId="3" borderId="1" xfId="20" applyNumberFormat="1" applyFont="1" applyFill="1" applyBorder="1" applyAlignment="1" applyProtection="1">
      <alignment vertical="center" wrapText="1"/>
    </xf>
    <xf numFmtId="4" fontId="57" fillId="3" borderId="1" xfId="20" applyNumberFormat="1" applyFont="1" applyFill="1" applyBorder="1" applyAlignment="1" applyProtection="1">
      <alignment horizontal="center" vertical="center"/>
    </xf>
    <xf numFmtId="4" fontId="57" fillId="3" borderId="1" xfId="20" applyNumberFormat="1" applyFont="1" applyFill="1" applyBorder="1" applyAlignment="1" applyProtection="1">
      <alignment horizontal="center" vertical="center" wrapText="1"/>
    </xf>
    <xf numFmtId="0" fontId="53" fillId="12" borderId="1" xfId="0" applyFont="1" applyFill="1" applyBorder="1" applyAlignment="1" applyProtection="1">
      <alignment horizontal="center" vertical="center"/>
    </xf>
    <xf numFmtId="4" fontId="53" fillId="12" borderId="1" xfId="20" applyNumberFormat="1" applyFont="1" applyFill="1" applyBorder="1" applyAlignment="1" applyProtection="1">
      <alignment vertical="center" wrapText="1"/>
    </xf>
    <xf numFmtId="4" fontId="57" fillId="0" borderId="1" xfId="0" applyNumberFormat="1" applyFont="1" applyFill="1" applyBorder="1" applyProtection="1"/>
    <xf numFmtId="0" fontId="53" fillId="12" borderId="1" xfId="0" applyFont="1" applyFill="1" applyBorder="1" applyAlignment="1" applyProtection="1">
      <alignment vertical="center" wrapText="1"/>
    </xf>
    <xf numFmtId="0" fontId="53" fillId="12" borderId="1" xfId="0" applyFont="1" applyFill="1" applyBorder="1" applyAlignment="1" applyProtection="1">
      <alignment vertical="center"/>
    </xf>
    <xf numFmtId="4" fontId="59" fillId="3" borderId="1" xfId="20" applyNumberFormat="1" applyFont="1" applyFill="1" applyBorder="1" applyAlignment="1" applyProtection="1">
      <alignment vertical="center" wrapText="1"/>
    </xf>
    <xf numFmtId="4" fontId="57" fillId="3" borderId="1" xfId="20" applyNumberFormat="1" applyFont="1" applyFill="1" applyBorder="1" applyAlignment="1" applyProtection="1">
      <alignment horizontal="left" vertical="center" wrapText="1"/>
    </xf>
    <xf numFmtId="4" fontId="53" fillId="3" borderId="1" xfId="20" applyNumberFormat="1" applyFont="1" applyFill="1" applyBorder="1" applyAlignment="1" applyProtection="1">
      <alignment horizontal="left" vertical="center" wrapText="1"/>
    </xf>
    <xf numFmtId="0" fontId="57" fillId="3" borderId="1" xfId="20" applyFont="1" applyFill="1" applyBorder="1" applyAlignment="1" applyProtection="1">
      <alignment horizontal="left" vertical="center" wrapText="1"/>
    </xf>
    <xf numFmtId="4" fontId="59" fillId="3" borderId="1" xfId="20" applyNumberFormat="1" applyFont="1" applyFill="1" applyBorder="1" applyAlignment="1" applyProtection="1">
      <alignment horizontal="left" vertical="center" wrapText="1"/>
    </xf>
    <xf numFmtId="4" fontId="59" fillId="3" borderId="1" xfId="20" applyNumberFormat="1" applyFont="1" applyFill="1" applyBorder="1" applyAlignment="1" applyProtection="1">
      <alignment horizontal="center" vertical="center" wrapText="1"/>
    </xf>
    <xf numFmtId="0" fontId="58" fillId="0" borderId="1" xfId="0" applyFont="1" applyFill="1" applyBorder="1" applyProtection="1"/>
    <xf numFmtId="2" fontId="58" fillId="0" borderId="1" xfId="0" applyNumberFormat="1" applyFont="1" applyFill="1" applyBorder="1" applyProtection="1"/>
    <xf numFmtId="0" fontId="53" fillId="3" borderId="1" xfId="20" applyFont="1" applyFill="1" applyBorder="1" applyAlignment="1" applyProtection="1">
      <alignment horizontal="left" vertical="center" wrapText="1"/>
    </xf>
    <xf numFmtId="0" fontId="57" fillId="3" borderId="1" xfId="20" applyFont="1" applyFill="1" applyBorder="1" applyAlignment="1" applyProtection="1">
      <alignment horizontal="left" wrapText="1"/>
    </xf>
    <xf numFmtId="0" fontId="57" fillId="3" borderId="1" xfId="20" applyFont="1" applyFill="1" applyBorder="1" applyAlignment="1" applyProtection="1">
      <alignment horizontal="left" vertical="top" wrapText="1"/>
    </xf>
    <xf numFmtId="0" fontId="53" fillId="0" borderId="2" xfId="20" applyFont="1" applyFill="1" applyBorder="1" applyAlignment="1" applyProtection="1">
      <alignment vertical="center"/>
    </xf>
    <xf numFmtId="0" fontId="53" fillId="0" borderId="3" xfId="20" applyFont="1" applyFill="1" applyBorder="1" applyAlignment="1" applyProtection="1">
      <alignment vertical="center"/>
    </xf>
    <xf numFmtId="189" fontId="53" fillId="3" borderId="2" xfId="20" applyNumberFormat="1" applyFont="1" applyFill="1" applyBorder="1" applyAlignment="1" applyProtection="1">
      <alignment horizontal="centerContinuous" vertical="center"/>
    </xf>
    <xf numFmtId="189" fontId="53" fillId="3" borderId="3" xfId="20" applyNumberFormat="1" applyFont="1" applyFill="1" applyBorder="1" applyAlignment="1" applyProtection="1">
      <alignment horizontal="centerContinuous" vertical="center"/>
    </xf>
    <xf numFmtId="190" fontId="53" fillId="3" borderId="2" xfId="20" applyNumberFormat="1" applyFont="1" applyFill="1" applyBorder="1" applyAlignment="1" applyProtection="1">
      <alignment horizontal="centerContinuous" vertical="center"/>
    </xf>
    <xf numFmtId="190" fontId="53" fillId="3" borderId="3" xfId="20" applyNumberFormat="1" applyFont="1" applyFill="1" applyBorder="1" applyAlignment="1" applyProtection="1">
      <alignment horizontal="centerContinuous" vertical="center"/>
    </xf>
    <xf numFmtId="191" fontId="53" fillId="3" borderId="2" xfId="20" applyNumberFormat="1" applyFont="1" applyFill="1" applyBorder="1" applyAlignment="1" applyProtection="1">
      <alignment horizontal="centerContinuous" vertical="center"/>
    </xf>
    <xf numFmtId="191" fontId="53" fillId="3" borderId="3" xfId="20" applyNumberFormat="1" applyFont="1" applyFill="1" applyBorder="1" applyAlignment="1" applyProtection="1">
      <alignment horizontal="centerContinuous" vertical="center"/>
    </xf>
    <xf numFmtId="0" fontId="53" fillId="0" borderId="2" xfId="20" applyFont="1" applyFill="1" applyBorder="1" applyAlignment="1" applyProtection="1">
      <alignment horizontal="centerContinuous" vertical="center"/>
    </xf>
    <xf numFmtId="0" fontId="53" fillId="0" borderId="3" xfId="20" applyFont="1" applyFill="1" applyBorder="1" applyAlignment="1" applyProtection="1">
      <alignment horizontal="centerContinuous" vertical="center"/>
    </xf>
    <xf numFmtId="44" fontId="12" fillId="0" borderId="1" xfId="16" applyFont="1" applyFill="1" applyBorder="1" applyAlignment="1" applyProtection="1">
      <alignment horizontal="center" vertical="center"/>
      <protection locked="0"/>
    </xf>
    <xf numFmtId="44" fontId="57" fillId="0" borderId="1" xfId="16" applyFont="1" applyFill="1" applyBorder="1" applyAlignment="1" applyProtection="1">
      <alignment horizontal="center" vertical="center"/>
      <protection locked="0"/>
    </xf>
    <xf numFmtId="164" fontId="12" fillId="0" borderId="1" xfId="21" applyFont="1" applyFill="1" applyBorder="1" applyAlignment="1" applyProtection="1">
      <alignment horizontal="center" vertical="center"/>
      <protection locked="0"/>
    </xf>
    <xf numFmtId="44" fontId="53" fillId="12" borderId="1" xfId="16" applyFont="1" applyFill="1" applyBorder="1" applyAlignment="1" applyProtection="1">
      <alignment horizontal="center" vertical="center"/>
      <protection locked="0"/>
    </xf>
    <xf numFmtId="44" fontId="12" fillId="0" borderId="1" xfId="16" applyFont="1" applyFill="1" applyBorder="1" applyAlignment="1" applyProtection="1">
      <alignment horizontal="center" vertical="center" wrapText="1"/>
      <protection locked="0"/>
    </xf>
    <xf numFmtId="44" fontId="53" fillId="0" borderId="1" xfId="16" applyFont="1" applyFill="1" applyBorder="1" applyAlignment="1" applyProtection="1">
      <alignment horizontal="center" vertical="center"/>
      <protection locked="0"/>
    </xf>
    <xf numFmtId="44" fontId="12" fillId="0" borderId="1" xfId="16" applyFont="1" applyFill="1" applyBorder="1" applyAlignment="1" applyProtection="1">
      <alignment horizontal="center"/>
      <protection locked="0"/>
    </xf>
    <xf numFmtId="0" fontId="53" fillId="0" borderId="4" xfId="20" applyFont="1" applyFill="1" applyBorder="1" applyAlignment="1" applyProtection="1">
      <alignment vertical="center"/>
      <protection locked="0"/>
    </xf>
    <xf numFmtId="189" fontId="53" fillId="3" borderId="4" xfId="20" applyNumberFormat="1" applyFont="1" applyFill="1" applyBorder="1" applyAlignment="1" applyProtection="1">
      <alignment horizontal="centerContinuous" vertical="center"/>
      <protection locked="0"/>
    </xf>
    <xf numFmtId="190" fontId="53" fillId="3" borderId="4" xfId="20" applyNumberFormat="1" applyFont="1" applyFill="1" applyBorder="1" applyAlignment="1" applyProtection="1">
      <alignment horizontal="centerContinuous" vertical="center"/>
      <protection locked="0"/>
    </xf>
    <xf numFmtId="191" fontId="53" fillId="3" borderId="4" xfId="20" applyNumberFormat="1" applyFont="1" applyFill="1" applyBorder="1" applyAlignment="1" applyProtection="1">
      <alignment horizontal="centerContinuous" vertical="center"/>
      <protection locked="0"/>
    </xf>
    <xf numFmtId="0" fontId="53" fillId="0" borderId="4" xfId="20" applyFont="1" applyFill="1" applyBorder="1" applyAlignment="1" applyProtection="1">
      <alignment horizontal="centerContinuous" vertical="center"/>
      <protection locked="0"/>
    </xf>
    <xf numFmtId="0" fontId="53" fillId="12" borderId="2" xfId="20" applyFont="1" applyFill="1" applyBorder="1" applyAlignment="1" applyProtection="1">
      <alignment horizontal="center" vertical="center" wrapText="1"/>
    </xf>
    <xf numFmtId="0" fontId="53" fillId="12" borderId="3" xfId="20" applyFont="1" applyFill="1" applyBorder="1" applyAlignment="1" applyProtection="1">
      <alignment horizontal="center" vertical="center" wrapText="1"/>
    </xf>
    <xf numFmtId="0" fontId="0" fillId="0" borderId="1" xfId="0" applyBorder="1" applyAlignment="1">
      <alignment horizontal="center"/>
    </xf>
    <xf numFmtId="9" fontId="0" fillId="0" borderId="1" xfId="0" applyNumberFormat="1" applyBorder="1" applyAlignment="1">
      <alignment horizont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54" fillId="3" borderId="0" xfId="23" applyFont="1" applyFill="1" applyBorder="1" applyAlignment="1">
      <alignment horizontal="center" vertical="center"/>
    </xf>
    <xf numFmtId="0" fontId="54" fillId="3" borderId="0" xfId="23" applyFont="1" applyFill="1" applyAlignment="1">
      <alignment horizontal="center" vertical="center"/>
    </xf>
    <xf numFmtId="0" fontId="54" fillId="3" borderId="57" xfId="23" applyFont="1" applyFill="1" applyBorder="1" applyAlignment="1">
      <alignment horizontal="center" vertical="center"/>
    </xf>
    <xf numFmtId="0" fontId="61" fillId="3" borderId="95" xfId="23" applyFont="1" applyFill="1" applyBorder="1" applyAlignment="1">
      <alignment horizontal="justify" vertical="justify"/>
    </xf>
    <xf numFmtId="0" fontId="61" fillId="3" borderId="57" xfId="23" applyFont="1" applyFill="1" applyBorder="1" applyAlignment="1">
      <alignment horizontal="justify" vertical="justify"/>
    </xf>
    <xf numFmtId="0" fontId="61" fillId="3" borderId="10" xfId="23" applyFont="1" applyFill="1" applyBorder="1" applyAlignment="1">
      <alignment horizontal="center" vertical="center"/>
    </xf>
    <xf numFmtId="44" fontId="61" fillId="3" borderId="10" xfId="16" applyFont="1" applyFill="1" applyBorder="1" applyAlignment="1">
      <alignment horizontal="center" vertical="center"/>
    </xf>
    <xf numFmtId="2" fontId="61" fillId="3" borderId="10" xfId="23" applyNumberFormat="1" applyFont="1" applyFill="1" applyBorder="1" applyAlignment="1">
      <alignment horizontal="center" vertical="center"/>
    </xf>
    <xf numFmtId="0" fontId="61" fillId="3" borderId="11" xfId="23" applyFont="1" applyFill="1" applyBorder="1" applyAlignment="1">
      <alignment horizontal="justify" vertical="justify"/>
    </xf>
    <xf numFmtId="0" fontId="61" fillId="3" borderId="16" xfId="23" applyFont="1" applyFill="1" applyBorder="1" applyAlignment="1">
      <alignment horizontal="justify" vertical="justify"/>
    </xf>
    <xf numFmtId="0" fontId="61" fillId="3" borderId="5" xfId="23" applyFont="1" applyFill="1" applyBorder="1" applyAlignment="1">
      <alignment horizontal="center" vertical="center"/>
    </xf>
    <xf numFmtId="44" fontId="61" fillId="3" borderId="5" xfId="16" applyFont="1" applyFill="1" applyBorder="1" applyAlignment="1">
      <alignment horizontal="center" vertical="center"/>
    </xf>
    <xf numFmtId="2" fontId="61" fillId="3" borderId="5" xfId="23" applyNumberFormat="1" applyFont="1" applyFill="1" applyBorder="1" applyAlignment="1">
      <alignment horizontal="center" vertical="center"/>
    </xf>
    <xf numFmtId="0" fontId="61" fillId="3" borderId="2" xfId="23" applyFont="1" applyFill="1" applyBorder="1" applyAlignment="1">
      <alignment horizontal="center" vertical="center"/>
    </xf>
    <xf numFmtId="0" fontId="61" fillId="3" borderId="4" xfId="23" applyFont="1" applyFill="1" applyBorder="1" applyAlignment="1">
      <alignment horizontal="center" vertical="center"/>
    </xf>
    <xf numFmtId="0" fontId="54" fillId="3" borderId="0" xfId="22" applyFont="1" applyFill="1" applyAlignment="1">
      <alignment horizontal="center" vertical="center"/>
    </xf>
    <xf numFmtId="44" fontId="61" fillId="3" borderId="9" xfId="16" applyFont="1" applyFill="1" applyBorder="1" applyAlignment="1">
      <alignment horizontal="center" vertical="center"/>
    </xf>
    <xf numFmtId="0" fontId="61" fillId="3" borderId="13" xfId="23" applyFont="1" applyFill="1" applyBorder="1" applyAlignment="1">
      <alignment horizontal="justify" vertical="justify"/>
    </xf>
    <xf numFmtId="0" fontId="61" fillId="3" borderId="14" xfId="23" applyFont="1" applyFill="1" applyBorder="1" applyAlignment="1">
      <alignment horizontal="justify" vertical="justify"/>
    </xf>
    <xf numFmtId="0" fontId="61" fillId="3" borderId="9" xfId="23" applyFont="1" applyFill="1" applyBorder="1" applyAlignment="1">
      <alignment horizontal="center" vertical="center"/>
    </xf>
    <xf numFmtId="2" fontId="61" fillId="3" borderId="9" xfId="23" applyNumberFormat="1" applyFont="1" applyFill="1" applyBorder="1" applyAlignment="1">
      <alignment horizontal="center" vertical="center"/>
    </xf>
    <xf numFmtId="0" fontId="39" fillId="0" borderId="0" xfId="14" applyFont="1" applyFill="1" applyAlignment="1">
      <alignment horizontal="center"/>
    </xf>
    <xf numFmtId="0" fontId="39" fillId="0" borderId="23" xfId="14" applyFont="1" applyFill="1" applyBorder="1" applyAlignment="1">
      <alignment horizontal="center" vertical="center"/>
    </xf>
    <xf numFmtId="0" fontId="39" fillId="0" borderId="25" xfId="14" applyFont="1" applyFill="1" applyBorder="1" applyAlignment="1">
      <alignment horizontal="center" vertical="center"/>
    </xf>
    <xf numFmtId="173" fontId="52" fillId="0" borderId="30" xfId="15" applyNumberFormat="1" applyFont="1" applyFill="1" applyBorder="1" applyAlignment="1">
      <alignment horizontal="center" vertical="center" wrapText="1"/>
    </xf>
    <xf numFmtId="173" fontId="52" fillId="0" borderId="31" xfId="15" applyNumberFormat="1" applyFont="1" applyFill="1" applyBorder="1" applyAlignment="1">
      <alignment horizontal="center" vertical="center" wrapText="1"/>
    </xf>
    <xf numFmtId="0" fontId="4" fillId="0" borderId="23" xfId="0" applyFont="1" applyBorder="1" applyAlignment="1">
      <alignment horizontal="center"/>
    </xf>
    <xf numFmtId="0" fontId="4" fillId="0" borderId="24" xfId="0" applyFont="1" applyBorder="1" applyAlignment="1">
      <alignment horizontal="center"/>
    </xf>
    <xf numFmtId="0" fontId="4" fillId="0" borderId="25" xfId="0" applyFont="1" applyBorder="1" applyAlignment="1">
      <alignment horizontal="center"/>
    </xf>
    <xf numFmtId="0" fontId="8" fillId="0" borderId="23" xfId="0" applyFont="1" applyBorder="1" applyAlignment="1">
      <alignment horizontal="center"/>
    </xf>
    <xf numFmtId="0" fontId="8" fillId="0" borderId="24" xfId="0" applyFont="1" applyBorder="1" applyAlignment="1">
      <alignment horizontal="center"/>
    </xf>
    <xf numFmtId="0" fontId="8" fillId="0" borderId="25" xfId="0" applyFont="1" applyBorder="1" applyAlignment="1">
      <alignment horizontal="center"/>
    </xf>
    <xf numFmtId="10" fontId="25" fillId="0" borderId="30" xfId="0" applyNumberFormat="1" applyFont="1" applyBorder="1" applyAlignment="1">
      <alignment horizontal="center" vertical="center" wrapText="1"/>
    </xf>
    <xf numFmtId="10" fontId="25" fillId="0" borderId="32" xfId="0" applyNumberFormat="1" applyFont="1" applyBorder="1" applyAlignment="1">
      <alignment horizontal="center" vertical="center" wrapText="1"/>
    </xf>
    <xf numFmtId="10" fontId="25" fillId="0" borderId="31" xfId="0" applyNumberFormat="1" applyFont="1" applyBorder="1" applyAlignment="1">
      <alignment horizontal="center" vertical="center"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8" fillId="0" borderId="23" xfId="0" applyNumberFormat="1" applyFont="1" applyFill="1" applyBorder="1" applyAlignment="1">
      <alignment horizontal="center" vertical="center" wrapText="1"/>
    </xf>
    <xf numFmtId="0" fontId="28" fillId="0" borderId="24" xfId="0" applyNumberFormat="1" applyFont="1" applyFill="1" applyBorder="1" applyAlignment="1">
      <alignment horizontal="center" vertical="center" wrapText="1"/>
    </xf>
    <xf numFmtId="0" fontId="28" fillId="0" borderId="25" xfId="0" applyNumberFormat="1" applyFont="1" applyFill="1" applyBorder="1" applyAlignment="1">
      <alignment horizontal="center" vertical="center" wrapText="1"/>
    </xf>
    <xf numFmtId="0" fontId="29" fillId="0" borderId="0" xfId="0" applyNumberFormat="1" applyFont="1" applyFill="1" applyBorder="1" applyAlignment="1">
      <alignment horizontal="center" vertical="center" wrapText="1"/>
    </xf>
    <xf numFmtId="0" fontId="29" fillId="0" borderId="57" xfId="0" applyNumberFormat="1" applyFont="1" applyFill="1" applyBorder="1" applyAlignment="1">
      <alignment horizontal="center" vertical="center" wrapText="1"/>
    </xf>
    <xf numFmtId="0" fontId="10" fillId="0" borderId="0" xfId="0" applyFont="1" applyAlignment="1">
      <alignment horizontal="center"/>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9" fillId="0" borderId="0" xfId="0" applyFont="1" applyAlignment="1">
      <alignment horizont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9" fillId="0" borderId="58" xfId="0" applyFont="1" applyBorder="1" applyAlignment="1">
      <alignment horizontal="center"/>
    </xf>
    <xf numFmtId="0" fontId="9" fillId="0" borderId="0" xfId="0" applyFont="1" applyAlignment="1">
      <alignment horizontal="center" vertical="center" wrapText="1"/>
    </xf>
    <xf numFmtId="0" fontId="0" fillId="0" borderId="0" xfId="0" applyAlignment="1">
      <alignment horizontal="left"/>
    </xf>
    <xf numFmtId="0" fontId="9" fillId="0" borderId="0" xfId="0" applyFont="1" applyAlignment="1">
      <alignment horizontal="center"/>
    </xf>
    <xf numFmtId="0" fontId="0" fillId="2" borderId="0" xfId="0" applyFill="1" applyAlignment="1">
      <alignment horizontal="left"/>
    </xf>
    <xf numFmtId="0" fontId="0" fillId="0" borderId="17" xfId="0" applyBorder="1" applyAlignment="1">
      <alignment horizontal="left"/>
    </xf>
    <xf numFmtId="0" fontId="0" fillId="0" borderId="18" xfId="0" applyBorder="1" applyAlignment="1">
      <alignment horizontal="left"/>
    </xf>
    <xf numFmtId="0" fontId="0" fillId="0" borderId="19" xfId="0" applyBorder="1" applyAlignment="1">
      <alignment horizontal="left"/>
    </xf>
    <xf numFmtId="0" fontId="0" fillId="0" borderId="62" xfId="0" applyBorder="1" applyAlignment="1">
      <alignment horizontal="left"/>
    </xf>
    <xf numFmtId="0" fontId="0" fillId="0" borderId="47" xfId="0" applyBorder="1" applyAlignment="1">
      <alignment horizontal="left"/>
    </xf>
    <xf numFmtId="0" fontId="0" fillId="0" borderId="63" xfId="0" applyBorder="1" applyAlignment="1">
      <alignment horizontal="left"/>
    </xf>
    <xf numFmtId="0" fontId="0" fillId="0" borderId="64" xfId="0" applyBorder="1" applyAlignment="1">
      <alignment horizontal="left"/>
    </xf>
    <xf numFmtId="0" fontId="0" fillId="0" borderId="65" xfId="0" applyBorder="1" applyAlignment="1">
      <alignment horizontal="left"/>
    </xf>
    <xf numFmtId="0" fontId="0" fillId="0" borderId="66" xfId="0" applyBorder="1" applyAlignment="1">
      <alignment horizontal="left"/>
    </xf>
    <xf numFmtId="0" fontId="6" fillId="0" borderId="23" xfId="0" applyFont="1" applyBorder="1" applyAlignment="1">
      <alignment horizontal="center"/>
    </xf>
    <xf numFmtId="0" fontId="6" fillId="0" borderId="24" xfId="0" applyFont="1" applyBorder="1" applyAlignment="1">
      <alignment horizontal="center"/>
    </xf>
    <xf numFmtId="0" fontId="6" fillId="0" borderId="25" xfId="0" applyFont="1" applyBorder="1" applyAlignment="1">
      <alignment horizontal="center"/>
    </xf>
    <xf numFmtId="0" fontId="0" fillId="2" borderId="62" xfId="0" applyFill="1" applyBorder="1" applyAlignment="1">
      <alignment horizontal="left"/>
    </xf>
    <xf numFmtId="0" fontId="0" fillId="2" borderId="47" xfId="0" applyFill="1" applyBorder="1" applyAlignment="1">
      <alignment horizontal="left"/>
    </xf>
    <xf numFmtId="0" fontId="0" fillId="2" borderId="63" xfId="0" applyFill="1" applyBorder="1" applyAlignment="1">
      <alignment horizontal="left"/>
    </xf>
    <xf numFmtId="0" fontId="0" fillId="0" borderId="20" xfId="0" applyBorder="1" applyAlignment="1">
      <alignment horizontal="left"/>
    </xf>
    <xf numFmtId="0" fontId="0" fillId="0" borderId="0" xfId="0" applyBorder="1" applyAlignment="1">
      <alignment horizontal="left"/>
    </xf>
    <xf numFmtId="0" fontId="0" fillId="0" borderId="21" xfId="0" applyBorder="1"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36" fillId="0" borderId="23" xfId="0" applyFont="1" applyBorder="1" applyAlignment="1">
      <alignment horizontal="center"/>
    </xf>
    <xf numFmtId="0" fontId="36" fillId="0" borderId="24" xfId="0" applyFont="1" applyBorder="1" applyAlignment="1">
      <alignment horizontal="center"/>
    </xf>
    <xf numFmtId="0" fontId="36" fillId="0" borderId="25" xfId="0" applyFont="1" applyBorder="1" applyAlignment="1">
      <alignment horizontal="center"/>
    </xf>
    <xf numFmtId="0" fontId="0" fillId="0" borderId="6" xfId="0" applyBorder="1" applyAlignment="1">
      <alignment horizontal="left"/>
    </xf>
    <xf numFmtId="0" fontId="0" fillId="0" borderId="7" xfId="0" applyBorder="1" applyAlignment="1">
      <alignment horizontal="left"/>
    </xf>
    <xf numFmtId="0" fontId="0" fillId="0" borderId="8" xfId="0" applyBorder="1" applyAlignment="1">
      <alignment horizontal="left"/>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9" xfId="0" applyFont="1" applyBorder="1" applyAlignment="1">
      <alignment horizontal="justify" vertical="center" wrapText="1"/>
    </xf>
    <xf numFmtId="0" fontId="11" fillId="0" borderId="3" xfId="0" applyFont="1" applyBorder="1" applyAlignment="1">
      <alignment horizontal="justify" vertical="center" wrapText="1"/>
    </xf>
    <xf numFmtId="0" fontId="11" fillId="0" borderId="4" xfId="0" applyFont="1" applyBorder="1" applyAlignment="1">
      <alignment horizontal="justify" vertical="center" wrapText="1"/>
    </xf>
    <xf numFmtId="0" fontId="11" fillId="0" borderId="29"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34" xfId="0" applyFont="1" applyBorder="1" applyAlignment="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29"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6" xfId="0" applyFont="1" applyBorder="1" applyAlignment="1">
      <alignment horizontal="center" vertical="center"/>
    </xf>
    <xf numFmtId="0" fontId="11" fillId="0" borderId="13" xfId="0" applyFont="1" applyBorder="1" applyAlignment="1">
      <alignment horizontal="left" vertical="center" wrapText="1"/>
    </xf>
    <xf numFmtId="0" fontId="11" fillId="0" borderId="15" xfId="0" applyFont="1" applyBorder="1" applyAlignment="1">
      <alignment horizontal="left" vertical="center" wrapText="1"/>
    </xf>
    <xf numFmtId="0" fontId="11" fillId="0" borderId="14" xfId="0" applyFont="1" applyBorder="1" applyAlignment="1">
      <alignment horizontal="left" vertical="center" wrapText="1"/>
    </xf>
    <xf numFmtId="0" fontId="11" fillId="0" borderId="2" xfId="0" applyFont="1" applyBorder="1" applyAlignment="1">
      <alignment horizontal="left" vertical="center" wrapText="1"/>
    </xf>
    <xf numFmtId="0" fontId="22" fillId="0" borderId="0" xfId="0" quotePrefix="1" applyFont="1" applyAlignment="1">
      <alignment horizontal="left" vertical="center" wrapText="1"/>
    </xf>
    <xf numFmtId="0" fontId="11" fillId="0" borderId="49" xfId="0" applyFont="1" applyBorder="1" applyAlignment="1">
      <alignment horizontal="left"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11" fillId="0" borderId="48" xfId="0" applyFont="1" applyBorder="1" applyAlignment="1">
      <alignment horizontal="left" vertical="center"/>
    </xf>
    <xf numFmtId="0" fontId="11" fillId="0" borderId="12" xfId="0" applyFont="1" applyBorder="1" applyAlignment="1">
      <alignment horizontal="left" vertical="center"/>
    </xf>
    <xf numFmtId="0" fontId="11" fillId="0" borderId="16" xfId="0" applyFont="1" applyBorder="1" applyAlignment="1">
      <alignment horizontal="left" vertical="center"/>
    </xf>
    <xf numFmtId="0" fontId="11" fillId="0" borderId="29" xfId="19" applyFont="1" applyBorder="1" applyAlignment="1">
      <alignment horizontal="left"/>
    </xf>
    <xf numFmtId="0" fontId="11" fillId="0" borderId="3" xfId="19" applyFont="1" applyBorder="1" applyAlignment="1">
      <alignment horizontal="left"/>
    </xf>
    <xf numFmtId="0" fontId="11" fillId="0" borderId="4" xfId="19" applyFont="1" applyBorder="1" applyAlignment="1">
      <alignment horizontal="left"/>
    </xf>
    <xf numFmtId="0" fontId="11" fillId="0" borderId="34" xfId="19" applyFont="1" applyBorder="1" applyAlignment="1">
      <alignment horizontal="left"/>
    </xf>
    <xf numFmtId="0" fontId="11" fillId="0" borderId="38" xfId="19" applyFont="1" applyBorder="1" applyAlignment="1">
      <alignment horizontal="left"/>
    </xf>
    <xf numFmtId="0" fontId="11" fillId="0" borderId="39" xfId="19" applyFont="1" applyBorder="1" applyAlignment="1">
      <alignment horizontal="left"/>
    </xf>
    <xf numFmtId="0" fontId="11" fillId="0" borderId="29" xfId="19" applyFont="1" applyBorder="1" applyAlignment="1">
      <alignment horizontal="left" vertical="center" wrapText="1"/>
    </xf>
    <xf numFmtId="0" fontId="11" fillId="0" borderId="3" xfId="19" applyFont="1" applyBorder="1" applyAlignment="1">
      <alignment horizontal="left" vertical="center" wrapText="1"/>
    </xf>
    <xf numFmtId="0" fontId="11" fillId="0" borderId="4" xfId="19" applyFont="1" applyBorder="1" applyAlignment="1">
      <alignment horizontal="left"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cellXfs>
  <cellStyles count="27">
    <cellStyle name="Cabecera 1" xfId="6"/>
    <cellStyle name="Cabecera 2" xfId="7"/>
    <cellStyle name="Fecha" xfId="8"/>
    <cellStyle name="Fijo" xfId="9"/>
    <cellStyle name="Hipervínculo" xfId="18" builtinId="8"/>
    <cellStyle name="Millares" xfId="1" builtinId="3"/>
    <cellStyle name="Millares [0] 2" xfId="21"/>
    <cellStyle name="Millares 2" xfId="4"/>
    <cellStyle name="Millares 2 2" xfId="24"/>
    <cellStyle name="Millares 3" xfId="15"/>
    <cellStyle name="Moneda" xfId="16" builtinId="4"/>
    <cellStyle name="Moneda_Propuesta SCV-045-99" xfId="17"/>
    <cellStyle name="Monetario" xfId="10"/>
    <cellStyle name="Monetario0" xfId="11"/>
    <cellStyle name="Normal" xfId="0" builtinId="0"/>
    <cellStyle name="Normal 10 2" xfId="26"/>
    <cellStyle name="Normal 2" xfId="3"/>
    <cellStyle name="Normal 2 2" xfId="23"/>
    <cellStyle name="Normal 3" xfId="14"/>
    <cellStyle name="Normal 3 2" xfId="20"/>
    <cellStyle name="Normal 4" xfId="19"/>
    <cellStyle name="Normal_GUACHARACOS 2" xfId="22"/>
    <cellStyle name="Porcentaje" xfId="2" builtinId="5"/>
    <cellStyle name="Porcentaje 2" xfId="5"/>
    <cellStyle name="Porcentaje 2 2" xfId="25"/>
    <cellStyle name="Punto" xfId="12"/>
    <cellStyle name="Punto0" xfId="1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openxmlformats.org/officeDocument/2006/relationships/worksheet" Target="worksheets/sheet345.xml"/><Relationship Id="rId366" Type="http://schemas.openxmlformats.org/officeDocument/2006/relationships/worksheet" Target="worksheets/sheet366.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356" Type="http://schemas.openxmlformats.org/officeDocument/2006/relationships/worksheet" Target="worksheets/sheet356.xml"/><Relationship Id="rId377"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367" Type="http://schemas.openxmlformats.org/officeDocument/2006/relationships/worksheet" Target="worksheets/sheet367.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calcChain" Target="calcChain.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theme" Target="theme/theme1.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57150</xdr:rowOff>
    </xdr:from>
    <xdr:to>
      <xdr:col>4</xdr:col>
      <xdr:colOff>971550</xdr:colOff>
      <xdr:row>7</xdr:row>
      <xdr:rowOff>47625</xdr:rowOff>
    </xdr:to>
    <xdr:pic>
      <xdr:nvPicPr>
        <xdr:cNvPr id="2" name="1 Imagen" descr="ibal icontec 2.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47650"/>
          <a:ext cx="5657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819150</xdr:colOff>
      <xdr:row>1</xdr:row>
      <xdr:rowOff>123825</xdr:rowOff>
    </xdr:from>
    <xdr:to>
      <xdr:col>6</xdr:col>
      <xdr:colOff>1266825</xdr:colOff>
      <xdr:row>7</xdr:row>
      <xdr:rowOff>0</xdr:rowOff>
    </xdr:to>
    <xdr:pic>
      <xdr:nvPicPr>
        <xdr:cNvPr id="3" name="2 Imagen" descr="ibal icontec 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91175" y="314325"/>
          <a:ext cx="26384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1</xdr:row>
      <xdr:rowOff>57150</xdr:rowOff>
    </xdr:from>
    <xdr:to>
      <xdr:col>4</xdr:col>
      <xdr:colOff>971550</xdr:colOff>
      <xdr:row>7</xdr:row>
      <xdr:rowOff>47625</xdr:rowOff>
    </xdr:to>
    <xdr:pic>
      <xdr:nvPicPr>
        <xdr:cNvPr id="2" name="1 Imagen" descr="ibal icontec 2.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47650"/>
          <a:ext cx="5657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819150</xdr:colOff>
      <xdr:row>1</xdr:row>
      <xdr:rowOff>123825</xdr:rowOff>
    </xdr:from>
    <xdr:to>
      <xdr:col>6</xdr:col>
      <xdr:colOff>1266825</xdr:colOff>
      <xdr:row>7</xdr:row>
      <xdr:rowOff>0</xdr:rowOff>
    </xdr:to>
    <xdr:pic>
      <xdr:nvPicPr>
        <xdr:cNvPr id="3" name="2 Imagen" descr="ibal icontec 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91175" y="314325"/>
          <a:ext cx="26384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1057275</xdr:colOff>
      <xdr:row>7</xdr:row>
      <xdr:rowOff>0</xdr:rowOff>
    </xdr:from>
    <xdr:to>
      <xdr:col>1</xdr:col>
      <xdr:colOff>1133475</xdr:colOff>
      <xdr:row>7</xdr:row>
      <xdr:rowOff>201083</xdr:rowOff>
    </xdr:to>
    <xdr:sp macro="" textlink="">
      <xdr:nvSpPr>
        <xdr:cNvPr id="2" name="Text Box 3"/>
        <xdr:cNvSpPr txBox="1">
          <a:spLocks noChangeArrowheads="1"/>
        </xdr:cNvSpPr>
      </xdr:nvSpPr>
      <xdr:spPr bwMode="auto">
        <a:xfrm>
          <a:off x="1781175" y="1152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53976</xdr:colOff>
      <xdr:row>0</xdr:row>
      <xdr:rowOff>73025</xdr:rowOff>
    </xdr:from>
    <xdr:to>
      <xdr:col>1</xdr:col>
      <xdr:colOff>2010833</xdr:colOff>
      <xdr:row>5</xdr:row>
      <xdr:rowOff>105833</xdr:rowOff>
    </xdr:to>
    <xdr:pic>
      <xdr:nvPicPr>
        <xdr:cNvPr id="5" name="4 Imagen"/>
        <xdr:cNvPicPr>
          <a:picLocks noChangeAspect="1"/>
        </xdr:cNvPicPr>
      </xdr:nvPicPr>
      <xdr:blipFill>
        <a:blip xmlns:r="http://schemas.openxmlformats.org/officeDocument/2006/relationships" r:embed="rId1" cstate="print"/>
        <a:stretch>
          <a:fillRect/>
        </a:stretch>
      </xdr:blipFill>
      <xdr:spPr>
        <a:xfrm>
          <a:off x="53976" y="73025"/>
          <a:ext cx="2623607" cy="985308"/>
        </a:xfrm>
        <a:prstGeom prst="rect">
          <a:avLst/>
        </a:prstGeom>
      </xdr:spPr>
    </xdr:pic>
    <xdr:clientData/>
  </xdr:twoCellAnchor>
  <xdr:twoCellAnchor editAs="oneCell">
    <xdr:from>
      <xdr:col>1</xdr:col>
      <xdr:colOff>2145242</xdr:colOff>
      <xdr:row>0</xdr:row>
      <xdr:rowOff>65617</xdr:rowOff>
    </xdr:from>
    <xdr:to>
      <xdr:col>2</xdr:col>
      <xdr:colOff>465667</xdr:colOff>
      <xdr:row>5</xdr:row>
      <xdr:rowOff>155623</xdr:rowOff>
    </xdr:to>
    <xdr:pic>
      <xdr:nvPicPr>
        <xdr:cNvPr id="6" name="5 Imagen"/>
        <xdr:cNvPicPr>
          <a:picLocks noChangeAspect="1"/>
        </xdr:cNvPicPr>
      </xdr:nvPicPr>
      <xdr:blipFill>
        <a:blip xmlns:r="http://schemas.openxmlformats.org/officeDocument/2006/relationships" r:embed="rId2" cstate="print"/>
        <a:stretch>
          <a:fillRect/>
        </a:stretch>
      </xdr:blipFill>
      <xdr:spPr>
        <a:xfrm>
          <a:off x="2811992" y="65617"/>
          <a:ext cx="3241675" cy="1042506"/>
        </a:xfrm>
        <a:prstGeom prst="rect">
          <a:avLst/>
        </a:prstGeom>
      </xdr:spPr>
    </xdr:pic>
    <xdr:clientData/>
  </xdr:twoCellAnchor>
  <xdr:twoCellAnchor editAs="oneCell">
    <xdr:from>
      <xdr:col>2</xdr:col>
      <xdr:colOff>624416</xdr:colOff>
      <xdr:row>1</xdr:row>
      <xdr:rowOff>95250</xdr:rowOff>
    </xdr:from>
    <xdr:to>
      <xdr:col>3</xdr:col>
      <xdr:colOff>1283832</xdr:colOff>
      <xdr:row>5</xdr:row>
      <xdr:rowOff>70930</xdr:rowOff>
    </xdr:to>
    <xdr:pic>
      <xdr:nvPicPr>
        <xdr:cNvPr id="3" name="2 Imagen"/>
        <xdr:cNvPicPr>
          <a:picLocks noChangeAspect="1"/>
        </xdr:cNvPicPr>
      </xdr:nvPicPr>
      <xdr:blipFill>
        <a:blip xmlns:r="http://schemas.openxmlformats.org/officeDocument/2006/relationships" r:embed="rId3" cstate="print"/>
        <a:stretch>
          <a:fillRect/>
        </a:stretch>
      </xdr:blipFill>
      <xdr:spPr>
        <a:xfrm>
          <a:off x="6212416" y="285750"/>
          <a:ext cx="1347333" cy="73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381000</xdr:colOff>
      <xdr:row>81</xdr:row>
      <xdr:rowOff>179917</xdr:rowOff>
    </xdr:from>
    <xdr:to>
      <xdr:col>6</xdr:col>
      <xdr:colOff>391584</xdr:colOff>
      <xdr:row>91</xdr:row>
      <xdr:rowOff>0</xdr:rowOff>
    </xdr:to>
    <xdr:cxnSp macro="">
      <xdr:nvCxnSpPr>
        <xdr:cNvPr id="3" name="2 Conector recto"/>
        <xdr:cNvCxnSpPr/>
      </xdr:nvCxnSpPr>
      <xdr:spPr>
        <a:xfrm flipH="1">
          <a:off x="5111750" y="16531167"/>
          <a:ext cx="10584" cy="1725083"/>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outlinePr summaryBelow="0"/>
  </sheetPr>
  <dimension ref="A1:F2005"/>
  <sheetViews>
    <sheetView tabSelected="1" view="pageBreakPreview" zoomScale="85" zoomScaleNormal="115" zoomScaleSheetLayoutView="85" workbookViewId="0">
      <selection activeCell="C4" sqref="C4"/>
    </sheetView>
  </sheetViews>
  <sheetFormatPr baseColWidth="10" defaultColWidth="11.42578125" defaultRowHeight="12" outlineLevelRow="2"/>
  <cols>
    <col min="1" max="1" width="9.42578125" style="1188" bestFit="1" customWidth="1"/>
    <col min="2" max="2" width="46.42578125" style="1189" customWidth="1"/>
    <col min="3" max="3" width="6.28515625" style="1190" bestFit="1" customWidth="1"/>
    <col min="4" max="4" width="11.28515625" style="1191" bestFit="1" customWidth="1"/>
    <col min="5" max="5" width="19.140625" style="1191" customWidth="1"/>
    <col min="6" max="6" width="22.7109375" style="1191" customWidth="1"/>
    <col min="7" max="16384" width="11.42578125" style="1182"/>
  </cols>
  <sheetData>
    <row r="1" spans="1:6" ht="28.5" customHeight="1">
      <c r="A1" s="1349" t="s">
        <v>1995</v>
      </c>
      <c r="B1" s="1350"/>
      <c r="C1" s="1350"/>
      <c r="D1" s="1350"/>
      <c r="E1" s="1180"/>
      <c r="F1" s="1181">
        <f>+F201</f>
        <v>0</v>
      </c>
    </row>
    <row r="2" spans="1:6" ht="30.75" customHeight="1">
      <c r="A2" s="1279" t="s">
        <v>1996</v>
      </c>
      <c r="B2" s="1279" t="s">
        <v>1997</v>
      </c>
      <c r="C2" s="1279" t="s">
        <v>61</v>
      </c>
      <c r="D2" s="1280" t="s">
        <v>1998</v>
      </c>
      <c r="E2" s="1184" t="s">
        <v>2350</v>
      </c>
      <c r="F2" s="1183" t="s">
        <v>2351</v>
      </c>
    </row>
    <row r="3" spans="1:6" ht="20.100000000000001" customHeight="1">
      <c r="A3" s="1281">
        <v>1</v>
      </c>
      <c r="B3" s="1282" t="s">
        <v>1999</v>
      </c>
      <c r="C3" s="1283"/>
      <c r="D3" s="1284"/>
      <c r="E3" s="1185"/>
      <c r="F3" s="1185"/>
    </row>
    <row r="4" spans="1:6" outlineLevel="1">
      <c r="A4" s="1285">
        <v>1.1000000000000001</v>
      </c>
      <c r="B4" s="1286" t="s">
        <v>2000</v>
      </c>
      <c r="C4" s="1287" t="s">
        <v>1</v>
      </c>
      <c r="D4" s="1288">
        <v>4700</v>
      </c>
      <c r="E4" s="1337"/>
      <c r="F4" s="1338"/>
    </row>
    <row r="5" spans="1:6" ht="15" customHeight="1" outlineLevel="1">
      <c r="A5" s="1285">
        <v>1.2</v>
      </c>
      <c r="B5" s="1289" t="s">
        <v>29</v>
      </c>
      <c r="C5" s="1287"/>
      <c r="D5" s="1288"/>
      <c r="E5" s="1337"/>
      <c r="F5" s="1338"/>
    </row>
    <row r="6" spans="1:6" ht="12" customHeight="1" outlineLevel="1">
      <c r="A6" s="1285" t="s">
        <v>2001</v>
      </c>
      <c r="B6" s="1290" t="s">
        <v>30</v>
      </c>
      <c r="C6" s="1287"/>
      <c r="D6" s="1288"/>
      <c r="E6" s="1337"/>
      <c r="F6" s="1338"/>
    </row>
    <row r="7" spans="1:6" ht="12" customHeight="1" outlineLevel="1">
      <c r="A7" s="1285" t="s">
        <v>2002</v>
      </c>
      <c r="B7" s="1291" t="s">
        <v>121</v>
      </c>
      <c r="C7" s="1287" t="s">
        <v>19</v>
      </c>
      <c r="D7" s="1292">
        <v>400</v>
      </c>
      <c r="E7" s="1337"/>
      <c r="F7" s="1338"/>
    </row>
    <row r="8" spans="1:6" ht="12" customHeight="1" outlineLevel="1">
      <c r="A8" s="1285" t="s">
        <v>2003</v>
      </c>
      <c r="B8" s="1291" t="s">
        <v>122</v>
      </c>
      <c r="C8" s="1287" t="s">
        <v>19</v>
      </c>
      <c r="D8" s="1292">
        <v>40</v>
      </c>
      <c r="E8" s="1337"/>
      <c r="F8" s="1338"/>
    </row>
    <row r="9" spans="1:6" ht="12" customHeight="1" outlineLevel="1">
      <c r="A9" s="1285" t="s">
        <v>2004</v>
      </c>
      <c r="B9" s="1291" t="s">
        <v>32</v>
      </c>
      <c r="C9" s="1287" t="s">
        <v>19</v>
      </c>
      <c r="D9" s="1292">
        <v>270</v>
      </c>
      <c r="E9" s="1337"/>
      <c r="F9" s="1338"/>
    </row>
    <row r="10" spans="1:6" ht="12" customHeight="1" outlineLevel="1">
      <c r="A10" s="1285" t="s">
        <v>2005</v>
      </c>
      <c r="B10" s="1290" t="s">
        <v>31</v>
      </c>
      <c r="C10" s="1287"/>
      <c r="D10" s="1288"/>
      <c r="E10" s="1337"/>
      <c r="F10" s="1338"/>
    </row>
    <row r="11" spans="1:6" ht="12" customHeight="1" outlineLevel="1">
      <c r="A11" s="1285" t="s">
        <v>2006</v>
      </c>
      <c r="B11" s="1291" t="s">
        <v>121</v>
      </c>
      <c r="C11" s="1287" t="s">
        <v>19</v>
      </c>
      <c r="D11" s="1292">
        <v>400</v>
      </c>
      <c r="E11" s="1337"/>
      <c r="F11" s="1338"/>
    </row>
    <row r="12" spans="1:6" ht="12" customHeight="1" outlineLevel="1">
      <c r="A12" s="1285" t="s">
        <v>2007</v>
      </c>
      <c r="B12" s="1291" t="s">
        <v>122</v>
      </c>
      <c r="C12" s="1287" t="s">
        <v>19</v>
      </c>
      <c r="D12" s="1292">
        <v>40</v>
      </c>
      <c r="E12" s="1337"/>
      <c r="F12" s="1338"/>
    </row>
    <row r="13" spans="1:6" ht="12" customHeight="1" outlineLevel="1">
      <c r="A13" s="1285" t="s">
        <v>2008</v>
      </c>
      <c r="B13" s="1291" t="s">
        <v>32</v>
      </c>
      <c r="C13" s="1287" t="s">
        <v>19</v>
      </c>
      <c r="D13" s="1292">
        <v>270</v>
      </c>
      <c r="E13" s="1337"/>
      <c r="F13" s="1338"/>
    </row>
    <row r="14" spans="1:6" ht="12" customHeight="1" outlineLevel="1">
      <c r="A14" s="1285">
        <v>1.3</v>
      </c>
      <c r="B14" s="1290" t="s">
        <v>34</v>
      </c>
      <c r="C14" s="1287"/>
      <c r="D14" s="1288"/>
      <c r="E14" s="1337"/>
      <c r="F14" s="1338"/>
    </row>
    <row r="15" spans="1:6" ht="12" customHeight="1" outlineLevel="1">
      <c r="A15" s="1285" t="s">
        <v>2009</v>
      </c>
      <c r="B15" s="1290" t="s">
        <v>30</v>
      </c>
      <c r="C15" s="1287"/>
      <c r="D15" s="1288"/>
      <c r="E15" s="1337"/>
      <c r="F15" s="1338"/>
    </row>
    <row r="16" spans="1:6" ht="28.5" customHeight="1" outlineLevel="1">
      <c r="A16" s="1285" t="s">
        <v>2010</v>
      </c>
      <c r="B16" s="1291" t="s">
        <v>35</v>
      </c>
      <c r="C16" s="1287" t="s">
        <v>19</v>
      </c>
      <c r="D16" s="1288">
        <v>3992</v>
      </c>
      <c r="E16" s="1337"/>
      <c r="F16" s="1338"/>
    </row>
    <row r="17" spans="1:6" ht="12" customHeight="1" outlineLevel="1">
      <c r="A17" s="1285" t="s">
        <v>2011</v>
      </c>
      <c r="B17" s="1291" t="s">
        <v>122</v>
      </c>
      <c r="C17" s="1287" t="s">
        <v>19</v>
      </c>
      <c r="D17" s="1288">
        <v>998</v>
      </c>
      <c r="E17" s="1337"/>
      <c r="F17" s="1338"/>
    </row>
    <row r="18" spans="1:6" ht="12" customHeight="1" outlineLevel="1">
      <c r="A18" s="1285" t="s">
        <v>2012</v>
      </c>
      <c r="B18" s="1290" t="s">
        <v>123</v>
      </c>
      <c r="C18" s="1287"/>
      <c r="D18" s="1288"/>
      <c r="E18" s="1337"/>
      <c r="F18" s="1338"/>
    </row>
    <row r="19" spans="1:6" ht="12" customHeight="1" outlineLevel="1">
      <c r="A19" s="1285" t="s">
        <v>2013</v>
      </c>
      <c r="B19" s="1291" t="s">
        <v>35</v>
      </c>
      <c r="C19" s="1287" t="s">
        <v>19</v>
      </c>
      <c r="D19" s="1288">
        <v>443</v>
      </c>
      <c r="E19" s="1339"/>
      <c r="F19" s="1338"/>
    </row>
    <row r="20" spans="1:6" ht="12" customHeight="1" outlineLevel="1">
      <c r="A20" s="1285" t="s">
        <v>2014</v>
      </c>
      <c r="B20" s="1291" t="s">
        <v>122</v>
      </c>
      <c r="C20" s="1287" t="s">
        <v>19</v>
      </c>
      <c r="D20" s="1288">
        <v>111</v>
      </c>
      <c r="E20" s="1337"/>
      <c r="F20" s="1338"/>
    </row>
    <row r="21" spans="1:6" ht="12" customHeight="1" outlineLevel="1">
      <c r="A21" s="1285" t="s">
        <v>2015</v>
      </c>
      <c r="B21" s="1290" t="s">
        <v>31</v>
      </c>
      <c r="C21" s="1287"/>
      <c r="D21" s="1288"/>
      <c r="E21" s="1337"/>
      <c r="F21" s="1338"/>
    </row>
    <row r="22" spans="1:6" ht="12" customHeight="1" outlineLevel="1">
      <c r="A22" s="1285" t="s">
        <v>2016</v>
      </c>
      <c r="B22" s="1291" t="s">
        <v>35</v>
      </c>
      <c r="C22" s="1287" t="s">
        <v>19</v>
      </c>
      <c r="D22" s="1288">
        <v>1996</v>
      </c>
      <c r="E22" s="1337"/>
      <c r="F22" s="1338"/>
    </row>
    <row r="23" spans="1:6" ht="12" customHeight="1" outlineLevel="1">
      <c r="A23" s="1285" t="s">
        <v>2017</v>
      </c>
      <c r="B23" s="1291" t="s">
        <v>122</v>
      </c>
      <c r="C23" s="1287" t="s">
        <v>19</v>
      </c>
      <c r="D23" s="1288">
        <v>499</v>
      </c>
      <c r="E23" s="1337"/>
      <c r="F23" s="1338"/>
    </row>
    <row r="24" spans="1:6" ht="12" customHeight="1" outlineLevel="1">
      <c r="A24" s="1285" t="s">
        <v>2018</v>
      </c>
      <c r="B24" s="1290" t="s">
        <v>2019</v>
      </c>
      <c r="C24" s="1287"/>
      <c r="D24" s="1288"/>
      <c r="E24" s="1337"/>
      <c r="F24" s="1338"/>
    </row>
    <row r="25" spans="1:6" ht="12" customHeight="1" outlineLevel="1">
      <c r="A25" s="1285" t="s">
        <v>2020</v>
      </c>
      <c r="B25" s="1291" t="s">
        <v>35</v>
      </c>
      <c r="C25" s="1287" t="s">
        <v>19</v>
      </c>
      <c r="D25" s="1288">
        <v>222</v>
      </c>
      <c r="E25" s="1337"/>
      <c r="F25" s="1338"/>
    </row>
    <row r="26" spans="1:6" ht="12" customHeight="1" outlineLevel="1">
      <c r="A26" s="1285" t="s">
        <v>2021</v>
      </c>
      <c r="B26" s="1291" t="s">
        <v>122</v>
      </c>
      <c r="C26" s="1287" t="s">
        <v>19</v>
      </c>
      <c r="D26" s="1288">
        <v>55</v>
      </c>
      <c r="E26" s="1337"/>
      <c r="F26" s="1338"/>
    </row>
    <row r="27" spans="1:6" ht="190.5" customHeight="1" outlineLevel="1">
      <c r="A27" s="1285">
        <v>1.4</v>
      </c>
      <c r="B27" s="1289" t="str">
        <f>ITEMS!B323</f>
        <v>Entibado Tipo 3 (Metalico) Con Tableros</v>
      </c>
      <c r="C27" s="1287" t="s">
        <v>28</v>
      </c>
      <c r="D27" s="1288">
        <v>50</v>
      </c>
      <c r="E27" s="1337"/>
      <c r="F27" s="1338"/>
    </row>
    <row r="28" spans="1:6" ht="57" customHeight="1">
      <c r="A28" s="1281">
        <v>2</v>
      </c>
      <c r="B28" s="1282" t="s">
        <v>2022</v>
      </c>
      <c r="C28" s="1293"/>
      <c r="D28" s="1294"/>
      <c r="E28" s="1340"/>
      <c r="F28" s="1340"/>
    </row>
    <row r="29" spans="1:6" ht="100.5" customHeight="1" outlineLevel="1">
      <c r="A29" s="1295">
        <v>2.1</v>
      </c>
      <c r="B29" s="1296" t="s">
        <v>115</v>
      </c>
      <c r="C29" s="1287" t="s">
        <v>19</v>
      </c>
      <c r="D29" s="1288">
        <v>6054</v>
      </c>
      <c r="E29" s="1337"/>
      <c r="F29" s="1338"/>
    </row>
    <row r="30" spans="1:6" ht="12" customHeight="1" outlineLevel="1">
      <c r="A30" s="1285">
        <v>2.2000000000000002</v>
      </c>
      <c r="B30" s="1286" t="s">
        <v>114</v>
      </c>
      <c r="C30" s="1287" t="s">
        <v>19</v>
      </c>
      <c r="D30" s="1288">
        <v>1110</v>
      </c>
      <c r="E30" s="1337"/>
      <c r="F30" s="1338"/>
    </row>
    <row r="31" spans="1:6" ht="12" customHeight="1" outlineLevel="1">
      <c r="A31" s="1295">
        <v>2.2999999999999998</v>
      </c>
      <c r="B31" s="1286" t="s">
        <v>2023</v>
      </c>
      <c r="C31" s="1287" t="s">
        <v>19</v>
      </c>
      <c r="D31" s="1288">
        <v>1665</v>
      </c>
      <c r="E31" s="1337"/>
      <c r="F31" s="1338"/>
    </row>
    <row r="32" spans="1:6" ht="20.100000000000001" customHeight="1">
      <c r="A32" s="1281">
        <v>3</v>
      </c>
      <c r="B32" s="1282" t="s">
        <v>2024</v>
      </c>
      <c r="C32" s="1293"/>
      <c r="D32" s="1294"/>
      <c r="E32" s="1340"/>
      <c r="F32" s="1340"/>
    </row>
    <row r="33" spans="1:6" ht="12" customHeight="1" outlineLevel="1">
      <c r="A33" s="1285">
        <v>3.1</v>
      </c>
      <c r="B33" s="1286" t="s">
        <v>2025</v>
      </c>
      <c r="C33" s="1287" t="s">
        <v>19</v>
      </c>
      <c r="D33" s="1288">
        <v>41</v>
      </c>
      <c r="E33" s="1337"/>
      <c r="F33" s="1338"/>
    </row>
    <row r="34" spans="1:6" ht="12" customHeight="1" outlineLevel="1">
      <c r="A34" s="1285">
        <v>3.2</v>
      </c>
      <c r="B34" s="1286" t="s">
        <v>2026</v>
      </c>
      <c r="C34" s="1287" t="s">
        <v>19</v>
      </c>
      <c r="D34" s="1288">
        <v>720</v>
      </c>
      <c r="E34" s="1337"/>
      <c r="F34" s="1338"/>
    </row>
    <row r="35" spans="1:6" ht="12" customHeight="1" outlineLevel="1">
      <c r="A35" s="1285">
        <v>3.3</v>
      </c>
      <c r="B35" s="1286" t="s">
        <v>2027</v>
      </c>
      <c r="C35" s="1287" t="s">
        <v>19</v>
      </c>
      <c r="D35" s="1288">
        <v>456</v>
      </c>
      <c r="E35" s="1337"/>
      <c r="F35" s="1338"/>
    </row>
    <row r="36" spans="1:6" ht="12" customHeight="1" outlineLevel="1">
      <c r="A36" s="1285">
        <v>3.4</v>
      </c>
      <c r="B36" s="1289" t="s">
        <v>69</v>
      </c>
      <c r="C36" s="1287"/>
      <c r="D36" s="1288"/>
      <c r="E36" s="1337"/>
      <c r="F36" s="1338"/>
    </row>
    <row r="37" spans="1:6" ht="36" customHeight="1" outlineLevel="1">
      <c r="A37" s="1285" t="s">
        <v>2028</v>
      </c>
      <c r="B37" s="1286" t="s">
        <v>2029</v>
      </c>
      <c r="C37" s="1287" t="s">
        <v>44</v>
      </c>
      <c r="D37" s="1288">
        <v>55245</v>
      </c>
      <c r="E37" s="1337"/>
      <c r="F37" s="1338"/>
    </row>
    <row r="38" spans="1:6" ht="24">
      <c r="A38" s="1281">
        <v>4</v>
      </c>
      <c r="B38" s="1297" t="s">
        <v>2030</v>
      </c>
      <c r="C38" s="1298"/>
      <c r="D38" s="1294"/>
      <c r="E38" s="1340"/>
      <c r="F38" s="1340"/>
    </row>
    <row r="39" spans="1:6" outlineLevel="1">
      <c r="A39" s="1285">
        <v>4.0999999999999996</v>
      </c>
      <c r="B39" s="1289" t="s">
        <v>2031</v>
      </c>
      <c r="C39" s="1299"/>
      <c r="D39" s="1288"/>
      <c r="E39" s="1337"/>
      <c r="F39" s="1338"/>
    </row>
    <row r="40" spans="1:6" outlineLevel="1">
      <c r="A40" s="1285" t="s">
        <v>2032</v>
      </c>
      <c r="B40" s="1286" t="s">
        <v>2033</v>
      </c>
      <c r="C40" s="1299" t="s">
        <v>61</v>
      </c>
      <c r="D40" s="1288">
        <v>8</v>
      </c>
      <c r="E40" s="1337"/>
      <c r="F40" s="1338"/>
    </row>
    <row r="41" spans="1:6" outlineLevel="1">
      <c r="A41" s="1285" t="s">
        <v>2034</v>
      </c>
      <c r="B41" s="1286" t="s">
        <v>2035</v>
      </c>
      <c r="C41" s="1299" t="s">
        <v>61</v>
      </c>
      <c r="D41" s="1288">
        <v>2</v>
      </c>
      <c r="E41" s="1337"/>
      <c r="F41" s="1338"/>
    </row>
    <row r="42" spans="1:6" outlineLevel="1">
      <c r="A42" s="1285" t="s">
        <v>2036</v>
      </c>
      <c r="B42" s="1286" t="s">
        <v>2037</v>
      </c>
      <c r="C42" s="1299" t="s">
        <v>61</v>
      </c>
      <c r="D42" s="1299">
        <v>3</v>
      </c>
      <c r="E42" s="1337"/>
      <c r="F42" s="1338"/>
    </row>
    <row r="43" spans="1:6" outlineLevel="1">
      <c r="A43" s="1285">
        <v>4.2</v>
      </c>
      <c r="B43" s="1289" t="s">
        <v>2038</v>
      </c>
      <c r="C43" s="1299"/>
      <c r="D43" s="1299"/>
      <c r="E43" s="1337"/>
      <c r="F43" s="1338"/>
    </row>
    <row r="44" spans="1:6" ht="46.9" customHeight="1" outlineLevel="1">
      <c r="A44" s="1285" t="s">
        <v>2039</v>
      </c>
      <c r="B44" s="1300" t="s">
        <v>2040</v>
      </c>
      <c r="C44" s="1299" t="s">
        <v>61</v>
      </c>
      <c r="D44" s="1299">
        <v>2</v>
      </c>
      <c r="E44" s="1337"/>
      <c r="F44" s="1338"/>
    </row>
    <row r="45" spans="1:6" ht="47.45" customHeight="1" outlineLevel="1">
      <c r="A45" s="1285" t="s">
        <v>2041</v>
      </c>
      <c r="B45" s="1300" t="s">
        <v>2042</v>
      </c>
      <c r="C45" s="1299" t="s">
        <v>61</v>
      </c>
      <c r="D45" s="1299">
        <v>1</v>
      </c>
      <c r="E45" s="1337"/>
      <c r="F45" s="1338"/>
    </row>
    <row r="46" spans="1:6" ht="52.15" customHeight="1" outlineLevel="1">
      <c r="A46" s="1285" t="s">
        <v>2043</v>
      </c>
      <c r="B46" s="1300" t="s">
        <v>2044</v>
      </c>
      <c r="C46" s="1299" t="s">
        <v>61</v>
      </c>
      <c r="D46" s="1299">
        <v>3</v>
      </c>
      <c r="E46" s="1337"/>
      <c r="F46" s="1338"/>
    </row>
    <row r="47" spans="1:6" ht="50.45" customHeight="1" outlineLevel="1">
      <c r="A47" s="1285" t="s">
        <v>2045</v>
      </c>
      <c r="B47" s="1300" t="s">
        <v>2046</v>
      </c>
      <c r="C47" s="1299" t="s">
        <v>61</v>
      </c>
      <c r="D47" s="1299">
        <v>1</v>
      </c>
      <c r="E47" s="1337"/>
      <c r="F47" s="1338"/>
    </row>
    <row r="48" spans="1:6" ht="51" customHeight="1" outlineLevel="1">
      <c r="A48" s="1285" t="s">
        <v>2047</v>
      </c>
      <c r="B48" s="1300" t="s">
        <v>2048</v>
      </c>
      <c r="C48" s="1299" t="s">
        <v>61</v>
      </c>
      <c r="D48" s="1299">
        <v>1</v>
      </c>
      <c r="E48" s="1337"/>
      <c r="F48" s="1338"/>
    </row>
    <row r="49" spans="1:6" ht="52.15" customHeight="1" outlineLevel="1">
      <c r="A49" s="1285" t="s">
        <v>2049</v>
      </c>
      <c r="B49" s="1300" t="s">
        <v>2050</v>
      </c>
      <c r="C49" s="1299" t="s">
        <v>61</v>
      </c>
      <c r="D49" s="1299">
        <v>3</v>
      </c>
      <c r="E49" s="1337"/>
      <c r="F49" s="1338"/>
    </row>
    <row r="50" spans="1:6" ht="18" customHeight="1" outlineLevel="1">
      <c r="A50" s="1301">
        <v>4.3</v>
      </c>
      <c r="B50" s="1296" t="s">
        <v>2051</v>
      </c>
      <c r="C50" s="1292" t="s">
        <v>1980</v>
      </c>
      <c r="D50" s="1292">
        <v>23</v>
      </c>
      <c r="E50" s="1341"/>
      <c r="F50" s="1338"/>
    </row>
    <row r="51" spans="1:6" ht="27.6" customHeight="1" outlineLevel="1">
      <c r="A51" s="1301">
        <v>4.4000000000000004</v>
      </c>
      <c r="B51" s="1296" t="s">
        <v>2052</v>
      </c>
      <c r="C51" s="1299" t="s">
        <v>1</v>
      </c>
      <c r="D51" s="1292">
        <v>70</v>
      </c>
      <c r="E51" s="1337"/>
      <c r="F51" s="1338"/>
    </row>
    <row r="52" spans="1:6" ht="20.100000000000001" customHeight="1">
      <c r="A52" s="1281">
        <v>5</v>
      </c>
      <c r="B52" s="1282" t="s">
        <v>2053</v>
      </c>
      <c r="C52" s="1298"/>
      <c r="D52" s="1294"/>
      <c r="E52" s="1340"/>
      <c r="F52" s="1340"/>
    </row>
    <row r="53" spans="1:6" ht="36" outlineLevel="1">
      <c r="A53" s="1295">
        <v>5.0999999999999996</v>
      </c>
      <c r="B53" s="1302" t="s">
        <v>2054</v>
      </c>
      <c r="C53" s="1292" t="s">
        <v>1</v>
      </c>
      <c r="D53" s="1288">
        <v>1468</v>
      </c>
      <c r="E53" s="1337"/>
      <c r="F53" s="1338"/>
    </row>
    <row r="54" spans="1:6" ht="48" outlineLevel="1">
      <c r="A54" s="1295">
        <v>5.2</v>
      </c>
      <c r="B54" s="1296" t="s">
        <v>2055</v>
      </c>
      <c r="C54" s="1287" t="s">
        <v>1</v>
      </c>
      <c r="D54" s="1288">
        <v>1733</v>
      </c>
      <c r="E54" s="1337"/>
      <c r="F54" s="1338"/>
    </row>
    <row r="55" spans="1:6" ht="36" outlineLevel="1">
      <c r="A55" s="1295">
        <v>5.3</v>
      </c>
      <c r="B55" s="1303" t="s">
        <v>2346</v>
      </c>
      <c r="C55" s="1304" t="s">
        <v>2056</v>
      </c>
      <c r="D55" s="1305">
        <v>93.6</v>
      </c>
      <c r="E55" s="1337"/>
      <c r="F55" s="1338"/>
    </row>
    <row r="56" spans="1:6" ht="27" customHeight="1">
      <c r="A56" s="1279">
        <v>6</v>
      </c>
      <c r="B56" s="1282" t="s">
        <v>2057</v>
      </c>
      <c r="C56" s="1298"/>
      <c r="D56" s="1294"/>
      <c r="E56" s="1340"/>
      <c r="F56" s="1340"/>
    </row>
    <row r="57" spans="1:6" ht="24" customHeight="1" outlineLevel="1">
      <c r="A57" s="1295">
        <v>6.1</v>
      </c>
      <c r="B57" s="1296" t="s">
        <v>2058</v>
      </c>
      <c r="C57" s="1299" t="s">
        <v>61</v>
      </c>
      <c r="D57" s="1288">
        <v>1</v>
      </c>
      <c r="E57" s="1337"/>
      <c r="F57" s="1338"/>
    </row>
    <row r="58" spans="1:6" ht="48" outlineLevel="1">
      <c r="A58" s="1295">
        <v>6.2</v>
      </c>
      <c r="B58" s="1296" t="s">
        <v>2059</v>
      </c>
      <c r="C58" s="1299"/>
      <c r="D58" s="1288"/>
      <c r="E58" s="1337"/>
      <c r="F58" s="1338"/>
    </row>
    <row r="59" spans="1:6" ht="12" customHeight="1" outlineLevel="1">
      <c r="A59" s="1295" t="s">
        <v>2060</v>
      </c>
      <c r="B59" s="1286" t="s">
        <v>2061</v>
      </c>
      <c r="C59" s="1299" t="s">
        <v>61</v>
      </c>
      <c r="D59" s="1288">
        <v>25</v>
      </c>
      <c r="E59" s="1337"/>
      <c r="F59" s="1338"/>
    </row>
    <row r="60" spans="1:6" ht="12" customHeight="1" outlineLevel="1">
      <c r="A60" s="1295" t="s">
        <v>2062</v>
      </c>
      <c r="B60" s="1286" t="s">
        <v>2063</v>
      </c>
      <c r="C60" s="1299" t="s">
        <v>61</v>
      </c>
      <c r="D60" s="1288">
        <v>13</v>
      </c>
      <c r="E60" s="1337"/>
      <c r="F60" s="1338"/>
    </row>
    <row r="61" spans="1:6" ht="12" customHeight="1" outlineLevel="1">
      <c r="A61" s="1295" t="s">
        <v>2064</v>
      </c>
      <c r="B61" s="1286" t="s">
        <v>2065</v>
      </c>
      <c r="C61" s="1299" t="s">
        <v>61</v>
      </c>
      <c r="D61" s="1288">
        <v>8</v>
      </c>
      <c r="E61" s="1337"/>
      <c r="F61" s="1338"/>
    </row>
    <row r="62" spans="1:6" ht="12" customHeight="1" outlineLevel="1">
      <c r="A62" s="1295" t="s">
        <v>2066</v>
      </c>
      <c r="B62" s="1286" t="s">
        <v>2067</v>
      </c>
      <c r="C62" s="1299" t="s">
        <v>61</v>
      </c>
      <c r="D62" s="1288">
        <v>2</v>
      </c>
      <c r="E62" s="1337"/>
      <c r="F62" s="1338"/>
    </row>
    <row r="63" spans="1:6" ht="36" outlineLevel="1">
      <c r="A63" s="1295">
        <v>6.3</v>
      </c>
      <c r="B63" s="1296" t="s">
        <v>2068</v>
      </c>
      <c r="C63" s="1299" t="s">
        <v>61</v>
      </c>
      <c r="D63" s="1288">
        <v>3</v>
      </c>
      <c r="E63" s="1337"/>
      <c r="F63" s="1338"/>
    </row>
    <row r="64" spans="1:6" ht="33.75" outlineLevel="1">
      <c r="A64" s="1306">
        <v>6.4</v>
      </c>
      <c r="B64" s="1300" t="s">
        <v>2069</v>
      </c>
      <c r="C64" s="1292" t="s">
        <v>1980</v>
      </c>
      <c r="D64" s="1292">
        <v>12</v>
      </c>
      <c r="E64" s="1341"/>
      <c r="F64" s="1338"/>
    </row>
    <row r="65" spans="1:6" ht="33.75" outlineLevel="1">
      <c r="A65" s="1306">
        <v>6.5</v>
      </c>
      <c r="B65" s="1300" t="s">
        <v>2070</v>
      </c>
      <c r="C65" s="1292" t="s">
        <v>1980</v>
      </c>
      <c r="D65" s="1292">
        <v>5</v>
      </c>
      <c r="E65" s="1341"/>
      <c r="F65" s="1338"/>
    </row>
    <row r="66" spans="1:6" ht="33.75" outlineLevel="1">
      <c r="A66" s="1306">
        <v>6.6</v>
      </c>
      <c r="B66" s="1300" t="s">
        <v>2071</v>
      </c>
      <c r="C66" s="1292" t="s">
        <v>1980</v>
      </c>
      <c r="D66" s="1292">
        <v>5</v>
      </c>
      <c r="E66" s="1341"/>
      <c r="F66" s="1338"/>
    </row>
    <row r="67" spans="1:6" ht="90" customHeight="1" outlineLevel="1">
      <c r="A67" s="1306">
        <v>6.7</v>
      </c>
      <c r="B67" s="1300" t="s">
        <v>2072</v>
      </c>
      <c r="C67" s="1292" t="s">
        <v>1980</v>
      </c>
      <c r="D67" s="1292">
        <v>24</v>
      </c>
      <c r="E67" s="1341"/>
      <c r="F67" s="1338"/>
    </row>
    <row r="68" spans="1:6" ht="90" outlineLevel="1">
      <c r="A68" s="1306">
        <v>6.8</v>
      </c>
      <c r="B68" s="1300" t="s">
        <v>2073</v>
      </c>
      <c r="C68" s="1292" t="s">
        <v>1980</v>
      </c>
      <c r="D68" s="1292">
        <v>10</v>
      </c>
      <c r="E68" s="1341"/>
      <c r="F68" s="1338"/>
    </row>
    <row r="69" spans="1:6" ht="90" outlineLevel="1">
      <c r="A69" s="1306">
        <v>6.9</v>
      </c>
      <c r="B69" s="1300" t="s">
        <v>2074</v>
      </c>
      <c r="C69" s="1292" t="s">
        <v>1980</v>
      </c>
      <c r="D69" s="1292">
        <v>10</v>
      </c>
      <c r="E69" s="1341"/>
      <c r="F69" s="1338"/>
    </row>
    <row r="70" spans="1:6" ht="101.25" outlineLevel="1">
      <c r="A70" s="1307">
        <v>6.1</v>
      </c>
      <c r="B70" s="1300" t="s">
        <v>2075</v>
      </c>
      <c r="C70" s="1292" t="s">
        <v>1980</v>
      </c>
      <c r="D70" s="1292">
        <v>1</v>
      </c>
      <c r="E70" s="1341"/>
      <c r="F70" s="1338"/>
    </row>
    <row r="71" spans="1:6" ht="101.25" outlineLevel="1">
      <c r="A71" s="1306">
        <v>6.11</v>
      </c>
      <c r="B71" s="1300" t="s">
        <v>2076</v>
      </c>
      <c r="C71" s="1292" t="s">
        <v>1980</v>
      </c>
      <c r="D71" s="1292">
        <v>1</v>
      </c>
      <c r="E71" s="1341"/>
      <c r="F71" s="1338"/>
    </row>
    <row r="72" spans="1:6" ht="45" customHeight="1" outlineLevel="1">
      <c r="A72" s="1306">
        <v>6.12</v>
      </c>
      <c r="B72" s="1300" t="s">
        <v>2077</v>
      </c>
      <c r="C72" s="1292" t="s">
        <v>1980</v>
      </c>
      <c r="D72" s="1292">
        <v>1</v>
      </c>
      <c r="E72" s="1341"/>
      <c r="F72" s="1338"/>
    </row>
    <row r="73" spans="1:6" ht="90" outlineLevel="1">
      <c r="A73" s="1306">
        <v>6.13</v>
      </c>
      <c r="B73" s="1300" t="s">
        <v>2078</v>
      </c>
      <c r="C73" s="1292" t="s">
        <v>1980</v>
      </c>
      <c r="D73" s="1292">
        <v>1</v>
      </c>
      <c r="E73" s="1341"/>
      <c r="F73" s="1338"/>
    </row>
    <row r="74" spans="1:6" ht="90" outlineLevel="1">
      <c r="A74" s="1306">
        <v>6.14</v>
      </c>
      <c r="B74" s="1300" t="s">
        <v>2079</v>
      </c>
      <c r="C74" s="1292" t="s">
        <v>1980</v>
      </c>
      <c r="D74" s="1292">
        <v>1</v>
      </c>
      <c r="E74" s="1341"/>
      <c r="F74" s="1338"/>
    </row>
    <row r="75" spans="1:6" ht="101.25" outlineLevel="1">
      <c r="A75" s="1306">
        <v>6.15</v>
      </c>
      <c r="B75" s="1300" t="s">
        <v>2080</v>
      </c>
      <c r="C75" s="1292" t="s">
        <v>1980</v>
      </c>
      <c r="D75" s="1292">
        <v>1</v>
      </c>
      <c r="E75" s="1341"/>
      <c r="F75" s="1338"/>
    </row>
    <row r="76" spans="1:6" ht="101.25" outlineLevel="1">
      <c r="A76" s="1306">
        <v>6.16</v>
      </c>
      <c r="B76" s="1300" t="s">
        <v>2081</v>
      </c>
      <c r="C76" s="1292" t="s">
        <v>1980</v>
      </c>
      <c r="D76" s="1292">
        <v>1</v>
      </c>
      <c r="E76" s="1341"/>
      <c r="F76" s="1338"/>
    </row>
    <row r="77" spans="1:6" ht="45" outlineLevel="1">
      <c r="A77" s="1307">
        <v>6.17</v>
      </c>
      <c r="B77" s="1300" t="s">
        <v>2082</v>
      </c>
      <c r="C77" s="1292" t="s">
        <v>1980</v>
      </c>
      <c r="D77" s="1292">
        <v>1</v>
      </c>
      <c r="E77" s="1341"/>
      <c r="F77" s="1338"/>
    </row>
    <row r="78" spans="1:6" ht="90" outlineLevel="1">
      <c r="A78" s="1307">
        <v>6.18</v>
      </c>
      <c r="B78" s="1300" t="s">
        <v>2083</v>
      </c>
      <c r="C78" s="1292" t="s">
        <v>1980</v>
      </c>
      <c r="D78" s="1292">
        <v>1</v>
      </c>
      <c r="E78" s="1341"/>
      <c r="F78" s="1338"/>
    </row>
    <row r="79" spans="1:6" ht="56.25" customHeight="1" outlineLevel="1">
      <c r="A79" s="1307">
        <v>6.19</v>
      </c>
      <c r="B79" s="1300" t="s">
        <v>2084</v>
      </c>
      <c r="C79" s="1292" t="s">
        <v>1980</v>
      </c>
      <c r="D79" s="1292">
        <v>1</v>
      </c>
      <c r="E79" s="1341"/>
      <c r="F79" s="1338"/>
    </row>
    <row r="80" spans="1:6" ht="90" customHeight="1" outlineLevel="1">
      <c r="A80" s="1306">
        <v>6.2</v>
      </c>
      <c r="B80" s="1300" t="s">
        <v>2085</v>
      </c>
      <c r="C80" s="1292" t="s">
        <v>1980</v>
      </c>
      <c r="D80" s="1292">
        <v>1</v>
      </c>
      <c r="E80" s="1341"/>
      <c r="F80" s="1338"/>
    </row>
    <row r="81" spans="1:6" ht="88.5" customHeight="1" outlineLevel="1">
      <c r="A81" s="1307">
        <v>6.21</v>
      </c>
      <c r="B81" s="1300" t="s">
        <v>2086</v>
      </c>
      <c r="C81" s="1292" t="s">
        <v>1980</v>
      </c>
      <c r="D81" s="1292">
        <v>2</v>
      </c>
      <c r="E81" s="1341"/>
      <c r="F81" s="1338"/>
    </row>
    <row r="82" spans="1:6" ht="81" customHeight="1" outlineLevel="1">
      <c r="A82" s="1307">
        <v>6.22</v>
      </c>
      <c r="B82" s="1300" t="s">
        <v>2087</v>
      </c>
      <c r="C82" s="1292" t="s">
        <v>1980</v>
      </c>
      <c r="D82" s="1292">
        <v>3</v>
      </c>
      <c r="E82" s="1341"/>
      <c r="F82" s="1338"/>
    </row>
    <row r="83" spans="1:6" ht="87" customHeight="1" outlineLevel="1">
      <c r="A83" s="1307">
        <v>6.23</v>
      </c>
      <c r="B83" s="1300" t="s">
        <v>2088</v>
      </c>
      <c r="C83" s="1292" t="s">
        <v>1980</v>
      </c>
      <c r="D83" s="1292">
        <v>3</v>
      </c>
      <c r="E83" s="1341"/>
      <c r="F83" s="1338"/>
    </row>
    <row r="84" spans="1:6" ht="20.100000000000001" customHeight="1">
      <c r="A84" s="1281">
        <v>7</v>
      </c>
      <c r="B84" s="1282" t="s">
        <v>2089</v>
      </c>
      <c r="C84" s="1298"/>
      <c r="D84" s="1294"/>
      <c r="E84" s="1340"/>
      <c r="F84" s="1340"/>
    </row>
    <row r="85" spans="1:6" outlineLevel="1">
      <c r="A85" s="1285">
        <v>7.1</v>
      </c>
      <c r="B85" s="1286" t="s">
        <v>2090</v>
      </c>
      <c r="C85" s="1299" t="s">
        <v>1</v>
      </c>
      <c r="D85" s="1288">
        <v>116</v>
      </c>
      <c r="E85" s="1337"/>
      <c r="F85" s="1338"/>
    </row>
    <row r="86" spans="1:6" outlineLevel="1">
      <c r="A86" s="1285">
        <v>7.2</v>
      </c>
      <c r="B86" s="1286" t="s">
        <v>2091</v>
      </c>
      <c r="C86" s="1299" t="s">
        <v>2</v>
      </c>
      <c r="D86" s="1288">
        <v>2</v>
      </c>
      <c r="E86" s="1337"/>
      <c r="F86" s="1338"/>
    </row>
    <row r="87" spans="1:6" outlineLevel="1">
      <c r="A87" s="1306">
        <v>7.3</v>
      </c>
      <c r="B87" s="1308" t="s">
        <v>2092</v>
      </c>
      <c r="C87" s="1308"/>
      <c r="D87" s="1288"/>
      <c r="E87" s="1337"/>
      <c r="F87" s="1342"/>
    </row>
    <row r="88" spans="1:6" ht="24" outlineLevel="1">
      <c r="A88" s="1306" t="s">
        <v>2093</v>
      </c>
      <c r="B88" s="1302" t="s">
        <v>2094</v>
      </c>
      <c r="C88" s="1309" t="s">
        <v>19</v>
      </c>
      <c r="D88" s="1299">
        <v>196.99</v>
      </c>
      <c r="E88" s="1337"/>
      <c r="F88" s="1338"/>
    </row>
    <row r="89" spans="1:6" ht="44.25" customHeight="1" outlineLevel="1">
      <c r="A89" s="1306" t="s">
        <v>2095</v>
      </c>
      <c r="B89" s="1302" t="s">
        <v>2096</v>
      </c>
      <c r="C89" s="1310" t="s">
        <v>19</v>
      </c>
      <c r="D89" s="1299">
        <v>1776</v>
      </c>
      <c r="E89" s="1337"/>
      <c r="F89" s="1338"/>
    </row>
    <row r="90" spans="1:6" ht="24" outlineLevel="1">
      <c r="A90" s="1306" t="s">
        <v>2097</v>
      </c>
      <c r="B90" s="1296" t="s">
        <v>2098</v>
      </c>
      <c r="C90" s="1292" t="s">
        <v>1</v>
      </c>
      <c r="D90" s="1288">
        <v>140</v>
      </c>
      <c r="E90" s="1337"/>
      <c r="F90" s="1338"/>
    </row>
    <row r="91" spans="1:6" outlineLevel="1">
      <c r="A91" s="1306" t="s">
        <v>2099</v>
      </c>
      <c r="B91" s="1296" t="s">
        <v>2100</v>
      </c>
      <c r="C91" s="1299" t="s">
        <v>1</v>
      </c>
      <c r="D91" s="1288">
        <v>20</v>
      </c>
      <c r="E91" s="1337"/>
      <c r="F91" s="1338"/>
    </row>
    <row r="92" spans="1:6" ht="20.100000000000001" customHeight="1">
      <c r="A92" s="1311">
        <v>8</v>
      </c>
      <c r="B92" s="1312" t="s">
        <v>2101</v>
      </c>
      <c r="C92" s="1312"/>
      <c r="D92" s="1294"/>
      <c r="E92" s="1340"/>
      <c r="F92" s="1340"/>
    </row>
    <row r="93" spans="1:6" ht="36" outlineLevel="1">
      <c r="A93" s="1306">
        <v>8.1</v>
      </c>
      <c r="B93" s="1302" t="s">
        <v>2102</v>
      </c>
      <c r="C93" s="1310" t="s">
        <v>1</v>
      </c>
      <c r="D93" s="1305">
        <v>59.4</v>
      </c>
      <c r="E93" s="1337"/>
      <c r="F93" s="1338"/>
    </row>
    <row r="94" spans="1:6" ht="24" outlineLevel="1">
      <c r="A94" s="1306">
        <v>8.1999999999999993</v>
      </c>
      <c r="B94" s="1302" t="s">
        <v>2103</v>
      </c>
      <c r="C94" s="1310" t="s">
        <v>2104</v>
      </c>
      <c r="D94" s="1299">
        <v>56547.49</v>
      </c>
      <c r="E94" s="1337"/>
      <c r="F94" s="1338"/>
    </row>
    <row r="95" spans="1:6" outlineLevel="1">
      <c r="A95" s="1306">
        <v>8.3000000000000007</v>
      </c>
      <c r="B95" s="1289" t="s">
        <v>2105</v>
      </c>
      <c r="C95" s="1287"/>
      <c r="D95" s="1313"/>
      <c r="E95" s="1343"/>
      <c r="F95" s="1338"/>
    </row>
    <row r="96" spans="1:6" ht="62.25" customHeight="1" outlineLevel="1">
      <c r="A96" s="1306" t="s">
        <v>2106</v>
      </c>
      <c r="B96" s="1296" t="s">
        <v>2107</v>
      </c>
      <c r="C96" s="1310" t="s">
        <v>19</v>
      </c>
      <c r="D96" s="1288">
        <v>30.3</v>
      </c>
      <c r="E96" s="1337"/>
      <c r="F96" s="1338"/>
    </row>
    <row r="97" spans="1:6" ht="30.75" customHeight="1" outlineLevel="1">
      <c r="A97" s="1306" t="s">
        <v>2108</v>
      </c>
      <c r="B97" s="1296" t="s">
        <v>2109</v>
      </c>
      <c r="C97" s="1310" t="s">
        <v>1</v>
      </c>
      <c r="D97" s="1288">
        <v>8</v>
      </c>
      <c r="E97" s="1337"/>
      <c r="F97" s="1338"/>
    </row>
    <row r="98" spans="1:6" ht="24" outlineLevel="1">
      <c r="A98" s="1306" t="s">
        <v>2110</v>
      </c>
      <c r="B98" s="1296" t="s">
        <v>2111</v>
      </c>
      <c r="C98" s="1310" t="s">
        <v>19</v>
      </c>
      <c r="D98" s="1288">
        <v>30</v>
      </c>
      <c r="E98" s="1337"/>
      <c r="F98" s="1338"/>
    </row>
    <row r="99" spans="1:6" outlineLevel="1">
      <c r="A99" s="1306" t="s">
        <v>2112</v>
      </c>
      <c r="B99" s="1296" t="s">
        <v>2113</v>
      </c>
      <c r="C99" s="1310" t="s">
        <v>19</v>
      </c>
      <c r="D99" s="1288">
        <v>12</v>
      </c>
      <c r="E99" s="1337"/>
      <c r="F99" s="1338"/>
    </row>
    <row r="100" spans="1:6" ht="20.100000000000001" customHeight="1">
      <c r="A100" s="1311">
        <v>9</v>
      </c>
      <c r="B100" s="1312" t="s">
        <v>2114</v>
      </c>
      <c r="C100" s="1312"/>
      <c r="D100" s="1284"/>
      <c r="E100" s="1340"/>
      <c r="F100" s="1340"/>
    </row>
    <row r="101" spans="1:6" ht="36" outlineLevel="1">
      <c r="A101" s="1306">
        <v>9.1</v>
      </c>
      <c r="B101" s="1302" t="s">
        <v>2115</v>
      </c>
      <c r="C101" s="1310" t="s">
        <v>1</v>
      </c>
      <c r="D101" s="1288">
        <v>90</v>
      </c>
      <c r="E101" s="1337"/>
      <c r="F101" s="1338"/>
    </row>
    <row r="102" spans="1:6" ht="20.100000000000001" customHeight="1">
      <c r="A102" s="1311">
        <v>10</v>
      </c>
      <c r="B102" s="1312" t="s">
        <v>2116</v>
      </c>
      <c r="C102" s="1312"/>
      <c r="D102" s="1284"/>
      <c r="E102" s="1340"/>
      <c r="F102" s="1340"/>
    </row>
    <row r="103" spans="1:6" ht="15" customHeight="1" outlineLevel="1">
      <c r="A103" s="1306">
        <v>10.1</v>
      </c>
      <c r="B103" s="1302" t="s">
        <v>2117</v>
      </c>
      <c r="C103" s="1310" t="s">
        <v>1980</v>
      </c>
      <c r="D103" s="1299">
        <v>4</v>
      </c>
      <c r="E103" s="1341"/>
      <c r="F103" s="1338"/>
    </row>
    <row r="104" spans="1:6" ht="42.75" customHeight="1" outlineLevel="1">
      <c r="A104" s="1306">
        <v>10.199999999999999</v>
      </c>
      <c r="B104" s="1302" t="s">
        <v>2118</v>
      </c>
      <c r="C104" s="1310" t="s">
        <v>1980</v>
      </c>
      <c r="D104" s="1299">
        <v>26</v>
      </c>
      <c r="E104" s="1341"/>
      <c r="F104" s="1338"/>
    </row>
    <row r="105" spans="1:6" ht="12" customHeight="1" outlineLevel="1">
      <c r="A105" s="1306">
        <v>10.3</v>
      </c>
      <c r="B105" s="1302" t="s">
        <v>2119</v>
      </c>
      <c r="C105" s="1310" t="s">
        <v>1</v>
      </c>
      <c r="D105" s="1299">
        <v>1500</v>
      </c>
      <c r="E105" s="1341"/>
      <c r="F105" s="1338"/>
    </row>
    <row r="106" spans="1:6" ht="12" customHeight="1" outlineLevel="1">
      <c r="A106" s="1306">
        <v>10.4</v>
      </c>
      <c r="B106" s="1302" t="s">
        <v>2120</v>
      </c>
      <c r="C106" s="1310" t="s">
        <v>28</v>
      </c>
      <c r="D106" s="1299">
        <v>1440</v>
      </c>
      <c r="E106" s="1341"/>
      <c r="F106" s="1338"/>
    </row>
    <row r="107" spans="1:6" ht="12" customHeight="1" outlineLevel="1">
      <c r="A107" s="1306">
        <v>10.5</v>
      </c>
      <c r="B107" s="1302" t="s">
        <v>2121</v>
      </c>
      <c r="C107" s="1310" t="s">
        <v>1980</v>
      </c>
      <c r="D107" s="1299">
        <v>115</v>
      </c>
      <c r="E107" s="1341"/>
      <c r="F107" s="1338"/>
    </row>
    <row r="108" spans="1:6" ht="12" customHeight="1" outlineLevel="1">
      <c r="A108" s="1306">
        <v>10.6</v>
      </c>
      <c r="B108" s="1302" t="s">
        <v>2122</v>
      </c>
      <c r="C108" s="1310" t="s">
        <v>1980</v>
      </c>
      <c r="D108" s="1299">
        <v>100</v>
      </c>
      <c r="E108" s="1341"/>
      <c r="F108" s="1338"/>
    </row>
    <row r="109" spans="1:6" ht="12" customHeight="1" outlineLevel="1">
      <c r="A109" s="1306">
        <v>10.7</v>
      </c>
      <c r="B109" s="1302" t="s">
        <v>2123</v>
      </c>
      <c r="C109" s="1310" t="s">
        <v>1980</v>
      </c>
      <c r="D109" s="1299">
        <v>60</v>
      </c>
      <c r="E109" s="1341"/>
      <c r="F109" s="1338"/>
    </row>
    <row r="110" spans="1:6" ht="12" customHeight="1" outlineLevel="1">
      <c r="A110" s="1306">
        <v>10.8</v>
      </c>
      <c r="B110" s="1302" t="s">
        <v>2124</v>
      </c>
      <c r="C110" s="1310" t="s">
        <v>1980</v>
      </c>
      <c r="D110" s="1299">
        <v>50</v>
      </c>
      <c r="E110" s="1341"/>
      <c r="F110" s="1338"/>
    </row>
    <row r="111" spans="1:6" ht="12" customHeight="1" outlineLevel="1">
      <c r="A111" s="1306">
        <v>10.9</v>
      </c>
      <c r="B111" s="1302" t="s">
        <v>2125</v>
      </c>
      <c r="C111" s="1310" t="s">
        <v>28</v>
      </c>
      <c r="D111" s="1299">
        <v>1440</v>
      </c>
      <c r="E111" s="1341"/>
      <c r="F111" s="1338"/>
    </row>
    <row r="112" spans="1:6" ht="24" outlineLevel="1">
      <c r="A112" s="1307">
        <v>10.1</v>
      </c>
      <c r="B112" s="1302" t="s">
        <v>2126</v>
      </c>
      <c r="C112" s="1310" t="s">
        <v>2127</v>
      </c>
      <c r="D112" s="1299">
        <v>12</v>
      </c>
      <c r="E112" s="1341"/>
      <c r="F112" s="1338"/>
    </row>
    <row r="113" spans="1:6" s="1186" customFormat="1" ht="20.100000000000001" customHeight="1">
      <c r="A113" s="1311">
        <v>11</v>
      </c>
      <c r="B113" s="1314" t="s">
        <v>2128</v>
      </c>
      <c r="C113" s="1315"/>
      <c r="D113" s="1294"/>
      <c r="E113" s="1340"/>
      <c r="F113" s="1340"/>
    </row>
    <row r="114" spans="1:6" ht="15.75" customHeight="1" outlineLevel="1">
      <c r="A114" s="1306">
        <v>11.1</v>
      </c>
      <c r="B114" s="1316" t="s">
        <v>2129</v>
      </c>
      <c r="C114" s="1316"/>
      <c r="D114" s="1288"/>
      <c r="E114" s="1337"/>
      <c r="F114" s="1342"/>
    </row>
    <row r="115" spans="1:6" outlineLevel="2">
      <c r="A115" s="1306" t="s">
        <v>2130</v>
      </c>
      <c r="B115" s="1308" t="s">
        <v>34</v>
      </c>
      <c r="C115" s="1308"/>
      <c r="D115" s="1288"/>
      <c r="E115" s="1337"/>
      <c r="F115" s="1338"/>
    </row>
    <row r="116" spans="1:6" outlineLevel="2">
      <c r="A116" s="1306" t="s">
        <v>2131</v>
      </c>
      <c r="B116" s="1308" t="s">
        <v>30</v>
      </c>
      <c r="C116" s="1308"/>
      <c r="D116" s="1288"/>
      <c r="E116" s="1337"/>
      <c r="F116" s="1338"/>
    </row>
    <row r="117" spans="1:6" outlineLevel="2">
      <c r="A117" s="1306" t="s">
        <v>2132</v>
      </c>
      <c r="B117" s="1317" t="s">
        <v>35</v>
      </c>
      <c r="C117" s="1309" t="s">
        <v>19</v>
      </c>
      <c r="D117" s="1299">
        <v>51</v>
      </c>
      <c r="E117" s="1337"/>
      <c r="F117" s="1338"/>
    </row>
    <row r="118" spans="1:6" outlineLevel="2">
      <c r="A118" s="1306" t="s">
        <v>2133</v>
      </c>
      <c r="B118" s="1317" t="s">
        <v>122</v>
      </c>
      <c r="C118" s="1309" t="s">
        <v>19</v>
      </c>
      <c r="D118" s="1299">
        <v>22</v>
      </c>
      <c r="E118" s="1337"/>
      <c r="F118" s="1338"/>
    </row>
    <row r="119" spans="1:6" outlineLevel="2">
      <c r="A119" s="1306" t="s">
        <v>2134</v>
      </c>
      <c r="B119" s="1318" t="s">
        <v>31</v>
      </c>
      <c r="C119" s="1309"/>
      <c r="D119" s="1299"/>
      <c r="E119" s="1337"/>
      <c r="F119" s="1338"/>
    </row>
    <row r="120" spans="1:6" outlineLevel="2">
      <c r="A120" s="1306" t="s">
        <v>2135</v>
      </c>
      <c r="B120" s="1317" t="s">
        <v>35</v>
      </c>
      <c r="C120" s="1309" t="s">
        <v>19</v>
      </c>
      <c r="D120" s="1299">
        <v>898</v>
      </c>
      <c r="E120" s="1337"/>
      <c r="F120" s="1338"/>
    </row>
    <row r="121" spans="1:6" outlineLevel="2">
      <c r="A121" s="1306" t="s">
        <v>2136</v>
      </c>
      <c r="B121" s="1317" t="s">
        <v>122</v>
      </c>
      <c r="C121" s="1309" t="s">
        <v>19</v>
      </c>
      <c r="D121" s="1299">
        <v>385</v>
      </c>
      <c r="E121" s="1337"/>
      <c r="F121" s="1338"/>
    </row>
    <row r="122" spans="1:6" outlineLevel="2">
      <c r="A122" s="1306" t="s">
        <v>2137</v>
      </c>
      <c r="B122" s="1318" t="s">
        <v>123</v>
      </c>
      <c r="C122" s="1309"/>
      <c r="D122" s="1299"/>
      <c r="E122" s="1337"/>
      <c r="F122" s="1338"/>
    </row>
    <row r="123" spans="1:6" outlineLevel="2">
      <c r="A123" s="1306" t="s">
        <v>2138</v>
      </c>
      <c r="B123" s="1317" t="s">
        <v>35</v>
      </c>
      <c r="C123" s="1309" t="s">
        <v>19</v>
      </c>
      <c r="D123" s="1299">
        <v>156</v>
      </c>
      <c r="E123" s="1337"/>
      <c r="F123" s="1338"/>
    </row>
    <row r="124" spans="1:6" outlineLevel="2">
      <c r="A124" s="1306" t="s">
        <v>2139</v>
      </c>
      <c r="B124" s="1317" t="s">
        <v>122</v>
      </c>
      <c r="C124" s="1309" t="s">
        <v>19</v>
      </c>
      <c r="D124" s="1299">
        <v>363</v>
      </c>
      <c r="E124" s="1337"/>
      <c r="F124" s="1338"/>
    </row>
    <row r="125" spans="1:6" outlineLevel="2">
      <c r="A125" s="1306" t="s">
        <v>2140</v>
      </c>
      <c r="B125" s="1319" t="s">
        <v>2141</v>
      </c>
      <c r="C125" s="1309" t="s">
        <v>28</v>
      </c>
      <c r="D125" s="1299">
        <v>1999</v>
      </c>
      <c r="E125" s="1337"/>
      <c r="F125" s="1338"/>
    </row>
    <row r="126" spans="1:6" outlineLevel="2">
      <c r="A126" s="1306" t="s">
        <v>2142</v>
      </c>
      <c r="B126" s="1318" t="s">
        <v>2022</v>
      </c>
      <c r="C126" s="1309"/>
      <c r="D126" s="1299"/>
      <c r="E126" s="1337"/>
      <c r="F126" s="1338"/>
    </row>
    <row r="127" spans="1:6" ht="24" outlineLevel="2">
      <c r="A127" s="1306" t="s">
        <v>2143</v>
      </c>
      <c r="B127" s="1296" t="s">
        <v>115</v>
      </c>
      <c r="C127" s="1309" t="s">
        <v>19</v>
      </c>
      <c r="D127" s="1299">
        <v>176</v>
      </c>
      <c r="E127" s="1337"/>
      <c r="F127" s="1338"/>
    </row>
    <row r="128" spans="1:6" ht="24" outlineLevel="2">
      <c r="A128" s="1306" t="s">
        <v>2144</v>
      </c>
      <c r="B128" s="1296" t="s">
        <v>2096</v>
      </c>
      <c r="C128" s="1309" t="s">
        <v>19</v>
      </c>
      <c r="D128" s="1299">
        <v>506</v>
      </c>
      <c r="E128" s="1337"/>
      <c r="F128" s="1338"/>
    </row>
    <row r="129" spans="1:6" outlineLevel="2">
      <c r="A129" s="1306" t="s">
        <v>2145</v>
      </c>
      <c r="B129" s="1318" t="s">
        <v>36</v>
      </c>
      <c r="C129" s="1309"/>
      <c r="D129" s="1299"/>
      <c r="E129" s="1337"/>
      <c r="F129" s="1338"/>
    </row>
    <row r="130" spans="1:6" outlineLevel="2">
      <c r="A130" s="1306" t="s">
        <v>2146</v>
      </c>
      <c r="B130" s="1319" t="s">
        <v>2147</v>
      </c>
      <c r="C130" s="1309" t="s">
        <v>19</v>
      </c>
      <c r="D130" s="1299">
        <v>135</v>
      </c>
      <c r="E130" s="1337"/>
      <c r="F130" s="1338"/>
    </row>
    <row r="131" spans="1:6" outlineLevel="2">
      <c r="A131" s="1306" t="s">
        <v>2148</v>
      </c>
      <c r="B131" s="1319" t="s">
        <v>2149</v>
      </c>
      <c r="C131" s="1309" t="s">
        <v>19</v>
      </c>
      <c r="D131" s="1299">
        <v>174</v>
      </c>
      <c r="E131" s="1337"/>
      <c r="F131" s="1338"/>
    </row>
    <row r="132" spans="1:6" outlineLevel="2">
      <c r="A132" s="1306" t="s">
        <v>2150</v>
      </c>
      <c r="B132" s="1319" t="s">
        <v>2113</v>
      </c>
      <c r="C132" s="1309" t="s">
        <v>19</v>
      </c>
      <c r="D132" s="1299">
        <v>99</v>
      </c>
      <c r="E132" s="1337"/>
      <c r="F132" s="1338"/>
    </row>
    <row r="133" spans="1:6" outlineLevel="2">
      <c r="A133" s="1306" t="s">
        <v>2151</v>
      </c>
      <c r="B133" s="1318" t="s">
        <v>69</v>
      </c>
      <c r="C133" s="1309"/>
      <c r="D133" s="1299"/>
      <c r="E133" s="1337"/>
      <c r="F133" s="1338"/>
    </row>
    <row r="134" spans="1:6" outlineLevel="2">
      <c r="A134" s="1306" t="s">
        <v>2152</v>
      </c>
      <c r="B134" s="1296" t="s">
        <v>2153</v>
      </c>
      <c r="C134" s="1309" t="s">
        <v>28</v>
      </c>
      <c r="D134" s="1299">
        <v>1999</v>
      </c>
      <c r="E134" s="1337"/>
      <c r="F134" s="1338"/>
    </row>
    <row r="135" spans="1:6" ht="24" outlineLevel="2">
      <c r="A135" s="1306" t="s">
        <v>2154</v>
      </c>
      <c r="B135" s="1296" t="s">
        <v>2155</v>
      </c>
      <c r="C135" s="1309" t="s">
        <v>44</v>
      </c>
      <c r="D135" s="1299">
        <v>7132</v>
      </c>
      <c r="E135" s="1337"/>
      <c r="F135" s="1338"/>
    </row>
    <row r="136" spans="1:6" outlineLevel="2">
      <c r="A136" s="1306" t="s">
        <v>2156</v>
      </c>
      <c r="B136" s="1296" t="s">
        <v>2157</v>
      </c>
      <c r="C136" s="1310" t="s">
        <v>19</v>
      </c>
      <c r="D136" s="1292">
        <v>1323</v>
      </c>
      <c r="E136" s="1341"/>
      <c r="F136" s="1338"/>
    </row>
    <row r="137" spans="1:6" outlineLevel="2">
      <c r="A137" s="1306" t="s">
        <v>2158</v>
      </c>
      <c r="B137" s="1296" t="s">
        <v>2029</v>
      </c>
      <c r="C137" s="1309" t="s">
        <v>44</v>
      </c>
      <c r="D137" s="1299">
        <v>3157</v>
      </c>
      <c r="E137" s="1337"/>
      <c r="F137" s="1338"/>
    </row>
    <row r="138" spans="1:6" outlineLevel="2">
      <c r="A138" s="1306" t="s">
        <v>2159</v>
      </c>
      <c r="B138" s="1296" t="s">
        <v>2160</v>
      </c>
      <c r="C138" s="1309" t="s">
        <v>1</v>
      </c>
      <c r="D138" s="1299">
        <v>1225</v>
      </c>
      <c r="E138" s="1337"/>
      <c r="F138" s="1338"/>
    </row>
    <row r="139" spans="1:6" outlineLevel="2">
      <c r="A139" s="1306" t="s">
        <v>2161</v>
      </c>
      <c r="B139" s="1296" t="s">
        <v>2162</v>
      </c>
      <c r="C139" s="1309" t="s">
        <v>19</v>
      </c>
      <c r="D139" s="1299">
        <v>2</v>
      </c>
      <c r="E139" s="1337"/>
      <c r="F139" s="1338"/>
    </row>
    <row r="140" spans="1:6" outlineLevel="2">
      <c r="A140" s="1306" t="s">
        <v>2163</v>
      </c>
      <c r="B140" s="1296" t="s">
        <v>2164</v>
      </c>
      <c r="C140" s="1309" t="s">
        <v>2165</v>
      </c>
      <c r="D140" s="1299">
        <v>735</v>
      </c>
      <c r="E140" s="1337"/>
      <c r="F140" s="1338"/>
    </row>
    <row r="141" spans="1:6" outlineLevel="2">
      <c r="A141" s="1306" t="s">
        <v>2166</v>
      </c>
      <c r="B141" s="1296" t="s">
        <v>2091</v>
      </c>
      <c r="C141" s="1309" t="s">
        <v>1980</v>
      </c>
      <c r="D141" s="1299">
        <v>1</v>
      </c>
      <c r="E141" s="1337"/>
      <c r="F141" s="1338"/>
    </row>
    <row r="142" spans="1:6" ht="15.75" customHeight="1" outlineLevel="1">
      <c r="A142" s="1306">
        <v>11.2</v>
      </c>
      <c r="B142" s="1316" t="s">
        <v>2167</v>
      </c>
      <c r="C142" s="1316"/>
      <c r="D142" s="1288"/>
      <c r="E142" s="1337"/>
      <c r="F142" s="1342"/>
    </row>
    <row r="143" spans="1:6" outlineLevel="1">
      <c r="A143" s="1306">
        <v>11.3</v>
      </c>
      <c r="B143" s="1320" t="s">
        <v>2173</v>
      </c>
      <c r="C143" s="1321"/>
      <c r="D143" s="1288"/>
      <c r="E143" s="1337"/>
      <c r="F143" s="1342"/>
    </row>
    <row r="144" spans="1:6" ht="15.75" customHeight="1" outlineLevel="1">
      <c r="A144" s="1306">
        <v>11.4</v>
      </c>
      <c r="B144" s="1316" t="s">
        <v>2178</v>
      </c>
      <c r="C144" s="1316"/>
      <c r="D144" s="1288"/>
      <c r="E144" s="1337"/>
      <c r="F144" s="1342"/>
    </row>
    <row r="145" spans="1:6" outlineLevel="2">
      <c r="A145" s="1306" t="s">
        <v>2179</v>
      </c>
      <c r="B145" s="1308" t="s">
        <v>34</v>
      </c>
      <c r="C145" s="1308"/>
      <c r="D145" s="1288"/>
      <c r="E145" s="1337"/>
      <c r="F145" s="1338"/>
    </row>
    <row r="146" spans="1:6" outlineLevel="2">
      <c r="A146" s="1306" t="s">
        <v>2180</v>
      </c>
      <c r="B146" s="1318" t="s">
        <v>30</v>
      </c>
      <c r="C146" s="1309"/>
      <c r="D146" s="1288"/>
      <c r="E146" s="1337"/>
      <c r="F146" s="1338"/>
    </row>
    <row r="147" spans="1:6" outlineLevel="2">
      <c r="A147" s="1306" t="s">
        <v>2181</v>
      </c>
      <c r="B147" s="1317" t="s">
        <v>35</v>
      </c>
      <c r="C147" s="1309" t="s">
        <v>19</v>
      </c>
      <c r="D147" s="1322"/>
      <c r="E147" s="1337"/>
      <c r="F147" s="1338"/>
    </row>
    <row r="148" spans="1:6" outlineLevel="2">
      <c r="A148" s="1306" t="s">
        <v>2182</v>
      </c>
      <c r="B148" s="1317" t="s">
        <v>122</v>
      </c>
      <c r="C148" s="1309" t="s">
        <v>19</v>
      </c>
      <c r="D148" s="1322"/>
      <c r="E148" s="1337"/>
      <c r="F148" s="1338"/>
    </row>
    <row r="149" spans="1:6" outlineLevel="2">
      <c r="A149" s="1306" t="s">
        <v>2183</v>
      </c>
      <c r="B149" s="1318" t="s">
        <v>31</v>
      </c>
      <c r="C149" s="1309"/>
      <c r="D149" s="1322"/>
      <c r="E149" s="1337"/>
      <c r="F149" s="1338"/>
    </row>
    <row r="150" spans="1:6" outlineLevel="2">
      <c r="A150" s="1306" t="s">
        <v>2184</v>
      </c>
      <c r="B150" s="1317" t="s">
        <v>35</v>
      </c>
      <c r="C150" s="1309" t="s">
        <v>19</v>
      </c>
      <c r="D150" s="1322"/>
      <c r="E150" s="1337"/>
      <c r="F150" s="1338"/>
    </row>
    <row r="151" spans="1:6" outlineLevel="2">
      <c r="A151" s="1306" t="s">
        <v>2185</v>
      </c>
      <c r="B151" s="1317" t="s">
        <v>122</v>
      </c>
      <c r="C151" s="1309" t="s">
        <v>19</v>
      </c>
      <c r="D151" s="1322"/>
      <c r="E151" s="1337"/>
      <c r="F151" s="1338"/>
    </row>
    <row r="152" spans="1:6" outlineLevel="2">
      <c r="A152" s="1306" t="s">
        <v>2186</v>
      </c>
      <c r="B152" s="1318" t="s">
        <v>123</v>
      </c>
      <c r="C152" s="1309"/>
      <c r="D152" s="1322"/>
      <c r="E152" s="1337"/>
      <c r="F152" s="1338"/>
    </row>
    <row r="153" spans="1:6" outlineLevel="2">
      <c r="A153" s="1306" t="s">
        <v>2187</v>
      </c>
      <c r="B153" s="1317" t="s">
        <v>35</v>
      </c>
      <c r="C153" s="1309" t="s">
        <v>19</v>
      </c>
      <c r="D153" s="1322"/>
      <c r="E153" s="1337"/>
      <c r="F153" s="1338"/>
    </row>
    <row r="154" spans="1:6" outlineLevel="2">
      <c r="A154" s="1306" t="s">
        <v>2188</v>
      </c>
      <c r="B154" s="1317" t="s">
        <v>122</v>
      </c>
      <c r="C154" s="1309" t="s">
        <v>19</v>
      </c>
      <c r="D154" s="1322"/>
      <c r="E154" s="1337"/>
      <c r="F154" s="1338"/>
    </row>
    <row r="155" spans="1:6" outlineLevel="2">
      <c r="A155" s="1306" t="s">
        <v>2189</v>
      </c>
      <c r="B155" s="1318" t="s">
        <v>2022</v>
      </c>
      <c r="C155" s="1309"/>
      <c r="D155" s="1322"/>
      <c r="E155" s="1337"/>
      <c r="F155" s="1338"/>
    </row>
    <row r="156" spans="1:6" ht="24" outlineLevel="2">
      <c r="A156" s="1306" t="s">
        <v>2190</v>
      </c>
      <c r="B156" s="1296" t="s">
        <v>115</v>
      </c>
      <c r="C156" s="1309" t="s">
        <v>19</v>
      </c>
      <c r="D156" s="1323">
        <v>4612.54</v>
      </c>
      <c r="E156" s="1337"/>
      <c r="F156" s="1338"/>
    </row>
    <row r="157" spans="1:6" ht="24" outlineLevel="2">
      <c r="A157" s="1306" t="s">
        <v>2191</v>
      </c>
      <c r="B157" s="1296" t="s">
        <v>2096</v>
      </c>
      <c r="C157" s="1309" t="s">
        <v>19</v>
      </c>
      <c r="D157" s="1323">
        <v>425.43</v>
      </c>
      <c r="E157" s="1337"/>
      <c r="F157" s="1338"/>
    </row>
    <row r="158" spans="1:6" ht="24" outlineLevel="2">
      <c r="A158" s="1306" t="s">
        <v>2192</v>
      </c>
      <c r="B158" s="1296" t="s">
        <v>2168</v>
      </c>
      <c r="C158" s="1309" t="s">
        <v>19</v>
      </c>
      <c r="D158" s="1323">
        <v>97</v>
      </c>
      <c r="E158" s="1337"/>
      <c r="F158" s="1338"/>
    </row>
    <row r="159" spans="1:6" outlineLevel="2">
      <c r="A159" s="1306" t="s">
        <v>2193</v>
      </c>
      <c r="B159" s="1318" t="s">
        <v>36</v>
      </c>
      <c r="C159" s="1309"/>
      <c r="D159" s="1323"/>
      <c r="E159" s="1337"/>
      <c r="F159" s="1338"/>
    </row>
    <row r="160" spans="1:6" outlineLevel="2">
      <c r="A160" s="1306" t="s">
        <v>2194</v>
      </c>
      <c r="B160" s="1319" t="s">
        <v>2169</v>
      </c>
      <c r="C160" s="1309" t="s">
        <v>19</v>
      </c>
      <c r="D160" s="1323">
        <v>335.69</v>
      </c>
      <c r="E160" s="1337"/>
      <c r="F160" s="1338"/>
    </row>
    <row r="161" spans="1:6" outlineLevel="2">
      <c r="A161" s="1306" t="s">
        <v>2195</v>
      </c>
      <c r="B161" s="1318" t="s">
        <v>69</v>
      </c>
      <c r="C161" s="1309"/>
      <c r="D161" s="1323"/>
      <c r="E161" s="1337"/>
      <c r="F161" s="1338"/>
    </row>
    <row r="162" spans="1:6" outlineLevel="2">
      <c r="A162" s="1306" t="s">
        <v>2196</v>
      </c>
      <c r="B162" s="1317" t="s">
        <v>2029</v>
      </c>
      <c r="C162" s="1309" t="s">
        <v>44</v>
      </c>
      <c r="D162" s="1323">
        <v>32684.639999999999</v>
      </c>
      <c r="E162" s="1337"/>
      <c r="F162" s="1338"/>
    </row>
    <row r="163" spans="1:6" outlineLevel="2">
      <c r="A163" s="1306" t="s">
        <v>2197</v>
      </c>
      <c r="B163" s="1317" t="s">
        <v>2091</v>
      </c>
      <c r="C163" s="1309" t="s">
        <v>1980</v>
      </c>
      <c r="D163" s="1322">
        <v>1</v>
      </c>
      <c r="E163" s="1337"/>
      <c r="F163" s="1338"/>
    </row>
    <row r="164" spans="1:6" outlineLevel="2">
      <c r="A164" s="1306" t="s">
        <v>2198</v>
      </c>
      <c r="B164" s="1319" t="s">
        <v>2170</v>
      </c>
      <c r="C164" s="1309" t="s">
        <v>1</v>
      </c>
      <c r="D164" s="1322">
        <v>119</v>
      </c>
      <c r="E164" s="1337"/>
      <c r="F164" s="1338"/>
    </row>
    <row r="165" spans="1:6" ht="11.25" customHeight="1" outlineLevel="2">
      <c r="A165" s="1306" t="s">
        <v>2199</v>
      </c>
      <c r="B165" s="1319" t="s">
        <v>2171</v>
      </c>
      <c r="C165" s="1309" t="s">
        <v>28</v>
      </c>
      <c r="D165" s="1322">
        <v>453</v>
      </c>
      <c r="E165" s="1337"/>
      <c r="F165" s="1338"/>
    </row>
    <row r="166" spans="1:6" outlineLevel="2">
      <c r="A166" s="1306" t="s">
        <v>2200</v>
      </c>
      <c r="B166" s="1319" t="s">
        <v>2172</v>
      </c>
      <c r="C166" s="1309" t="s">
        <v>1</v>
      </c>
      <c r="D166" s="1322">
        <v>91</v>
      </c>
      <c r="E166" s="1337"/>
      <c r="F166" s="1338"/>
    </row>
    <row r="167" spans="1:6" outlineLevel="2">
      <c r="A167" s="1306" t="s">
        <v>2201</v>
      </c>
      <c r="B167" s="1296" t="s">
        <v>2176</v>
      </c>
      <c r="C167" s="1309" t="s">
        <v>19</v>
      </c>
      <c r="D167" s="1322">
        <v>34</v>
      </c>
      <c r="E167" s="1337"/>
      <c r="F167" s="1338"/>
    </row>
    <row r="168" spans="1:6" outlineLevel="1">
      <c r="A168" s="1306">
        <v>11.5</v>
      </c>
      <c r="B168" s="1316" t="s">
        <v>2202</v>
      </c>
      <c r="C168" s="1316"/>
      <c r="D168" s="1288"/>
      <c r="E168" s="1337"/>
      <c r="F168" s="1342"/>
    </row>
    <row r="169" spans="1:6" outlineLevel="2">
      <c r="A169" s="1306" t="s">
        <v>2203</v>
      </c>
      <c r="B169" s="1308" t="s">
        <v>34</v>
      </c>
      <c r="C169" s="1308"/>
      <c r="D169" s="1288"/>
      <c r="E169" s="1337"/>
      <c r="F169" s="1338"/>
    </row>
    <row r="170" spans="1:6" outlineLevel="2">
      <c r="A170" s="1306" t="s">
        <v>2204</v>
      </c>
      <c r="B170" s="1318" t="s">
        <v>30</v>
      </c>
      <c r="C170" s="1309"/>
      <c r="D170" s="1288"/>
      <c r="E170" s="1337"/>
      <c r="F170" s="1338"/>
    </row>
    <row r="171" spans="1:6" outlineLevel="2">
      <c r="A171" s="1306" t="s">
        <v>2205</v>
      </c>
      <c r="B171" s="1317" t="s">
        <v>35</v>
      </c>
      <c r="C171" s="1309" t="s">
        <v>19</v>
      </c>
      <c r="D171" s="1299">
        <v>585</v>
      </c>
      <c r="E171" s="1337"/>
      <c r="F171" s="1338"/>
    </row>
    <row r="172" spans="1:6" outlineLevel="2">
      <c r="A172" s="1306" t="s">
        <v>2206</v>
      </c>
      <c r="B172" s="1318" t="s">
        <v>31</v>
      </c>
      <c r="C172" s="1309"/>
      <c r="D172" s="1299"/>
      <c r="E172" s="1337"/>
      <c r="F172" s="1338"/>
    </row>
    <row r="173" spans="1:6" outlineLevel="2">
      <c r="A173" s="1306" t="s">
        <v>2207</v>
      </c>
      <c r="B173" s="1317" t="s">
        <v>35</v>
      </c>
      <c r="C173" s="1309" t="s">
        <v>19</v>
      </c>
      <c r="D173" s="1299">
        <v>202</v>
      </c>
      <c r="E173" s="1337"/>
      <c r="F173" s="1338"/>
    </row>
    <row r="174" spans="1:6" outlineLevel="2">
      <c r="A174" s="1306" t="s">
        <v>2208</v>
      </c>
      <c r="B174" s="1324" t="s">
        <v>124</v>
      </c>
      <c r="C174" s="1309"/>
      <c r="D174" s="1299"/>
      <c r="E174" s="1337"/>
      <c r="F174" s="1338"/>
    </row>
    <row r="175" spans="1:6" ht="12" customHeight="1" outlineLevel="2">
      <c r="A175" s="1306" t="s">
        <v>2209</v>
      </c>
      <c r="B175" s="1317" t="s">
        <v>35</v>
      </c>
      <c r="C175" s="1309" t="s">
        <v>19</v>
      </c>
      <c r="D175" s="1299">
        <v>20</v>
      </c>
      <c r="E175" s="1337"/>
      <c r="F175" s="1338"/>
    </row>
    <row r="176" spans="1:6" ht="12" customHeight="1" outlineLevel="2">
      <c r="A176" s="1306" t="s">
        <v>2210</v>
      </c>
      <c r="B176" s="1319" t="s">
        <v>2141</v>
      </c>
      <c r="C176" s="1309" t="s">
        <v>28</v>
      </c>
      <c r="D176" s="1299">
        <v>275</v>
      </c>
      <c r="E176" s="1337"/>
      <c r="F176" s="1338"/>
    </row>
    <row r="177" spans="1:6" ht="38.25" customHeight="1" outlineLevel="2">
      <c r="A177" s="1306" t="s">
        <v>2211</v>
      </c>
      <c r="B177" s="1319" t="s">
        <v>2120</v>
      </c>
      <c r="C177" s="1309" t="s">
        <v>28</v>
      </c>
      <c r="D177" s="1299">
        <v>440</v>
      </c>
      <c r="E177" s="1337"/>
      <c r="F177" s="1338"/>
    </row>
    <row r="178" spans="1:6" outlineLevel="2">
      <c r="A178" s="1306" t="s">
        <v>2212</v>
      </c>
      <c r="B178" s="1318" t="s">
        <v>2022</v>
      </c>
      <c r="C178" s="1309"/>
      <c r="D178" s="1299"/>
      <c r="E178" s="1337"/>
      <c r="F178" s="1338"/>
    </row>
    <row r="179" spans="1:6" ht="84" customHeight="1" outlineLevel="2">
      <c r="A179" s="1306" t="s">
        <v>2213</v>
      </c>
      <c r="B179" s="1325" t="s">
        <v>114</v>
      </c>
      <c r="C179" s="1309" t="s">
        <v>19</v>
      </c>
      <c r="D179" s="1292">
        <v>612</v>
      </c>
      <c r="E179" s="1337"/>
      <c r="F179" s="1338"/>
    </row>
    <row r="180" spans="1:6" ht="12" customHeight="1" outlineLevel="2">
      <c r="A180" s="1306" t="s">
        <v>2214</v>
      </c>
      <c r="B180" s="1326" t="s">
        <v>2176</v>
      </c>
      <c r="C180" s="1309" t="s">
        <v>19</v>
      </c>
      <c r="D180" s="1299">
        <v>150</v>
      </c>
      <c r="E180" s="1337"/>
      <c r="F180" s="1338"/>
    </row>
    <row r="181" spans="1:6" ht="12" customHeight="1" outlineLevel="2">
      <c r="A181" s="1306" t="s">
        <v>2215</v>
      </c>
      <c r="B181" s="1319" t="s">
        <v>2177</v>
      </c>
      <c r="C181" s="1309" t="s">
        <v>28</v>
      </c>
      <c r="D181" s="1299">
        <v>397</v>
      </c>
      <c r="E181" s="1337"/>
      <c r="F181" s="1338"/>
    </row>
    <row r="182" spans="1:6" ht="12" customHeight="1" outlineLevel="2">
      <c r="A182" s="1306" t="s">
        <v>2216</v>
      </c>
      <c r="B182" s="1318" t="s">
        <v>2217</v>
      </c>
      <c r="C182" s="1309"/>
      <c r="D182" s="1299"/>
      <c r="E182" s="1337"/>
      <c r="F182" s="1338"/>
    </row>
    <row r="183" spans="1:6" ht="12" customHeight="1" outlineLevel="2">
      <c r="A183" s="1306" t="s">
        <v>2218</v>
      </c>
      <c r="B183" s="1319" t="s">
        <v>2174</v>
      </c>
      <c r="C183" s="1309" t="s">
        <v>19</v>
      </c>
      <c r="D183" s="1299">
        <v>64</v>
      </c>
      <c r="E183" s="1337"/>
      <c r="F183" s="1338"/>
    </row>
    <row r="184" spans="1:6" ht="12" customHeight="1" outlineLevel="2">
      <c r="A184" s="1306" t="s">
        <v>2219</v>
      </c>
      <c r="B184" s="1319" t="s">
        <v>2175</v>
      </c>
      <c r="C184" s="1309" t="s">
        <v>1</v>
      </c>
      <c r="D184" s="1299">
        <v>11</v>
      </c>
      <c r="E184" s="1337"/>
      <c r="F184" s="1338"/>
    </row>
    <row r="185" spans="1:6" ht="12" customHeight="1" outlineLevel="2">
      <c r="A185" s="1306" t="s">
        <v>2220</v>
      </c>
      <c r="B185" s="1319" t="s">
        <v>2221</v>
      </c>
      <c r="C185" s="1309" t="s">
        <v>1</v>
      </c>
      <c r="D185" s="1299">
        <v>13</v>
      </c>
      <c r="E185" s="1337"/>
      <c r="F185" s="1338"/>
    </row>
    <row r="186" spans="1:6" ht="12" customHeight="1" outlineLevel="2">
      <c r="A186" s="1306" t="s">
        <v>2222</v>
      </c>
      <c r="B186" s="1319" t="s">
        <v>2223</v>
      </c>
      <c r="C186" s="1309" t="s">
        <v>1</v>
      </c>
      <c r="D186" s="1299">
        <v>36</v>
      </c>
      <c r="E186" s="1337"/>
      <c r="F186" s="1338"/>
    </row>
    <row r="187" spans="1:6" outlineLevel="2">
      <c r="A187" s="1306" t="s">
        <v>2224</v>
      </c>
      <c r="B187" s="1318" t="s">
        <v>2225</v>
      </c>
      <c r="C187" s="1309"/>
      <c r="D187" s="1299"/>
      <c r="E187" s="1337"/>
      <c r="F187" s="1338"/>
    </row>
    <row r="188" spans="1:6" outlineLevel="2">
      <c r="A188" s="1306" t="s">
        <v>2226</v>
      </c>
      <c r="B188" s="1319" t="s">
        <v>168</v>
      </c>
      <c r="C188" s="1309" t="s">
        <v>1</v>
      </c>
      <c r="D188" s="1299">
        <v>419</v>
      </c>
      <c r="E188" s="1337"/>
      <c r="F188" s="1338"/>
    </row>
    <row r="189" spans="1:6" outlineLevel="2">
      <c r="A189" s="1306" t="s">
        <v>2227</v>
      </c>
      <c r="B189" s="1318" t="s">
        <v>36</v>
      </c>
      <c r="C189" s="1309"/>
      <c r="D189" s="1299"/>
      <c r="E189" s="1337"/>
      <c r="F189" s="1338"/>
    </row>
    <row r="190" spans="1:6" outlineLevel="2">
      <c r="A190" s="1306" t="s">
        <v>2228</v>
      </c>
      <c r="B190" s="1319" t="s">
        <v>2113</v>
      </c>
      <c r="C190" s="1309" t="s">
        <v>19</v>
      </c>
      <c r="D190" s="1299">
        <v>32</v>
      </c>
      <c r="E190" s="1337"/>
      <c r="F190" s="1338"/>
    </row>
    <row r="191" spans="1:6" ht="20.100000000000001" customHeight="1">
      <c r="A191" s="1311">
        <v>12</v>
      </c>
      <c r="B191" s="1282" t="s">
        <v>2229</v>
      </c>
      <c r="C191" s="1298"/>
      <c r="D191" s="1298"/>
      <c r="E191" s="1340"/>
      <c r="F191" s="1340"/>
    </row>
    <row r="192" spans="1:6" s="1187" customFormat="1" outlineLevel="1">
      <c r="A192" s="1306">
        <v>12.1</v>
      </c>
      <c r="B192" s="1319" t="s">
        <v>2230</v>
      </c>
      <c r="C192" s="1287" t="s">
        <v>5</v>
      </c>
      <c r="D192" s="1299">
        <v>244566.38</v>
      </c>
      <c r="E192" s="1337"/>
      <c r="F192" s="1338"/>
    </row>
    <row r="193" spans="1:6" outlineLevel="1">
      <c r="A193" s="1306">
        <v>12.2</v>
      </c>
      <c r="B193" s="1319" t="s">
        <v>2231</v>
      </c>
      <c r="C193" s="1287" t="s">
        <v>19</v>
      </c>
      <c r="D193" s="1299">
        <v>13904.8</v>
      </c>
      <c r="E193" s="1337"/>
      <c r="F193" s="1338"/>
    </row>
    <row r="194" spans="1:6">
      <c r="A194" s="1311">
        <v>13</v>
      </c>
      <c r="B194" s="1282" t="s">
        <v>2344</v>
      </c>
      <c r="C194" s="1298"/>
      <c r="D194" s="1298"/>
      <c r="E194" s="1340"/>
      <c r="F194" s="1340"/>
    </row>
    <row r="195" spans="1:6" ht="27" customHeight="1" outlineLevel="1">
      <c r="A195" s="1306">
        <v>13.1</v>
      </c>
      <c r="B195" s="1319" t="s">
        <v>2345</v>
      </c>
      <c r="C195" s="1287" t="s">
        <v>2</v>
      </c>
      <c r="D195" s="1299">
        <v>1</v>
      </c>
      <c r="E195" s="1337"/>
      <c r="F195" s="1338"/>
    </row>
    <row r="196" spans="1:6" ht="15" customHeight="1">
      <c r="A196" s="1327" t="s">
        <v>2347</v>
      </c>
      <c r="B196" s="1328"/>
      <c r="C196" s="1328"/>
      <c r="D196" s="1328"/>
      <c r="E196" s="1344"/>
      <c r="F196" s="1342"/>
    </row>
    <row r="197" spans="1:6" ht="15" customHeight="1">
      <c r="A197" s="1329" t="s">
        <v>512</v>
      </c>
      <c r="B197" s="1330"/>
      <c r="C197" s="1330"/>
      <c r="D197" s="1330"/>
      <c r="E197" s="1345"/>
      <c r="F197" s="1342"/>
    </row>
    <row r="198" spans="1:6" ht="15" customHeight="1">
      <c r="A198" s="1331" t="s">
        <v>524</v>
      </c>
      <c r="B198" s="1332"/>
      <c r="C198" s="1332"/>
      <c r="D198" s="1332"/>
      <c r="E198" s="1346"/>
      <c r="F198" s="1342"/>
    </row>
    <row r="199" spans="1:6" ht="15" customHeight="1">
      <c r="A199" s="1333" t="s">
        <v>514</v>
      </c>
      <c r="B199" s="1334"/>
      <c r="C199" s="1334"/>
      <c r="D199" s="1334"/>
      <c r="E199" s="1347"/>
      <c r="F199" s="1342"/>
    </row>
    <row r="200" spans="1:6" ht="15" customHeight="1">
      <c r="A200" s="1333"/>
      <c r="B200" s="1334" t="s">
        <v>2349</v>
      </c>
      <c r="C200" s="1334"/>
      <c r="D200" s="1334"/>
      <c r="E200" s="1347"/>
      <c r="F200" s="1342"/>
    </row>
    <row r="201" spans="1:6">
      <c r="A201" s="1335" t="s">
        <v>2348</v>
      </c>
      <c r="B201" s="1336"/>
      <c r="C201" s="1336"/>
      <c r="D201" s="1336"/>
      <c r="E201" s="1348"/>
      <c r="F201" s="1342"/>
    </row>
    <row r="2003" spans="1:6">
      <c r="A2003" s="1182"/>
      <c r="B2003" s="1182"/>
      <c r="C2003" s="1182"/>
      <c r="D2003" s="1182"/>
      <c r="E2003" s="1192"/>
      <c r="F2003" s="1192"/>
    </row>
    <row r="2005" spans="1:6">
      <c r="A2005" s="1182"/>
      <c r="B2005" s="1182"/>
      <c r="C2005" s="1182"/>
      <c r="D2005" s="1182"/>
      <c r="E2005" s="1192"/>
      <c r="F2005" s="1192"/>
    </row>
  </sheetData>
  <sheetProtection password="DF72" sheet="1" objects="1" scenarios="1"/>
  <mergeCells count="1">
    <mergeCell ref="A1:D1"/>
  </mergeCells>
  <printOptions horizontalCentered="1" verticalCentered="1"/>
  <pageMargins left="0.9055118110236221" right="0.70866141732283472" top="0.74803149606299213" bottom="0.74803149606299213" header="0.31496062992125984" footer="0.31496062992125984"/>
  <pageSetup scale="76" fitToHeight="5" orientation="portrait" r:id="rId1"/>
  <rowBreaks count="1" manualBreakCount="1">
    <brk id="83" max="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9"/>
  <sheetViews>
    <sheetView workbookViewId="0"/>
  </sheetViews>
  <sheetFormatPr baseColWidth="10" defaultRowHeight="15"/>
  <cols>
    <col min="1" max="1" width="11.5703125" customWidth="1"/>
    <col min="2" max="2" width="10.42578125" customWidth="1"/>
    <col min="3" max="3" width="15.85546875" bestFit="1" customWidth="1"/>
  </cols>
  <sheetData>
    <row r="1" spans="1:8">
      <c r="A1" s="16"/>
      <c r="B1" s="16"/>
      <c r="C1" s="16"/>
      <c r="D1" s="16"/>
      <c r="E1" s="16"/>
      <c r="F1" s="16"/>
      <c r="G1" s="16"/>
      <c r="H1" s="16"/>
    </row>
    <row r="2" spans="1:8" ht="15.75" thickBot="1">
      <c r="A2" s="16"/>
      <c r="B2" s="16"/>
      <c r="C2" s="16"/>
      <c r="D2" s="16"/>
      <c r="E2" s="16"/>
      <c r="F2" s="16"/>
      <c r="G2" s="16"/>
      <c r="H2" s="16"/>
    </row>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521</v>
      </c>
      <c r="B7" s="62"/>
      <c r="C7" s="61"/>
      <c r="D7" s="16"/>
      <c r="E7" s="62"/>
      <c r="F7" s="16"/>
      <c r="G7" s="62" t="s">
        <v>518</v>
      </c>
      <c r="H7" s="61"/>
    </row>
    <row r="8" spans="1:8">
      <c r="A8" s="60" t="s">
        <v>516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64" t="s">
        <v>486</v>
      </c>
      <c r="E11" s="65" t="s">
        <v>487</v>
      </c>
      <c r="F11" s="64" t="s">
        <v>488</v>
      </c>
      <c r="G11" s="66" t="s">
        <v>489</v>
      </c>
      <c r="H11" s="67"/>
    </row>
    <row r="12" spans="1:8">
      <c r="A12" s="1460" t="s">
        <v>490</v>
      </c>
      <c r="B12" s="1461"/>
      <c r="C12" s="1462"/>
      <c r="D12" s="68"/>
      <c r="E12" s="69">
        <f>'EQUIPOS '!D18</f>
        <v>11237.5</v>
      </c>
      <c r="F12" s="161">
        <v>0.2</v>
      </c>
      <c r="G12" s="770">
        <f>+E12*F12</f>
        <v>2247.5</v>
      </c>
      <c r="H12" s="72"/>
    </row>
    <row r="13" spans="1:8">
      <c r="A13" s="1463"/>
      <c r="B13" s="1464"/>
      <c r="C13" s="1465"/>
      <c r="D13" s="73"/>
      <c r="E13" s="74"/>
      <c r="F13" s="75"/>
      <c r="G13" s="71"/>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11" ht="15.75" thickBot="1">
      <c r="A17" s="1466"/>
      <c r="B17" s="1467"/>
      <c r="C17" s="1468"/>
      <c r="D17" s="76"/>
      <c r="E17" s="77"/>
      <c r="F17" s="78"/>
      <c r="G17" s="79"/>
      <c r="H17" s="80"/>
    </row>
    <row r="18" spans="1:11" ht="15.75" thickBot="1">
      <c r="A18" s="61"/>
      <c r="B18" s="61"/>
      <c r="C18" s="61"/>
      <c r="D18" s="61"/>
      <c r="E18" s="61"/>
      <c r="F18" s="61"/>
      <c r="G18" s="81" t="s">
        <v>491</v>
      </c>
      <c r="H18" s="82">
        <f>SUM(G12:G17)</f>
        <v>2247.5</v>
      </c>
    </row>
    <row r="19" spans="1:11" ht="15.75" thickBot="1">
      <c r="A19" s="63" t="s">
        <v>492</v>
      </c>
      <c r="B19" s="63"/>
      <c r="C19" s="61"/>
      <c r="D19" s="61"/>
      <c r="E19" s="61"/>
      <c r="F19" s="61"/>
      <c r="G19" s="61"/>
      <c r="H19" s="61"/>
    </row>
    <row r="20" spans="1:11">
      <c r="A20" s="1454" t="s">
        <v>485</v>
      </c>
      <c r="B20" s="1455"/>
      <c r="C20" s="1456"/>
      <c r="D20" s="64" t="s">
        <v>493</v>
      </c>
      <c r="E20" s="64" t="s">
        <v>494</v>
      </c>
      <c r="F20" s="64" t="s">
        <v>495</v>
      </c>
      <c r="G20" s="66" t="s">
        <v>489</v>
      </c>
      <c r="H20" s="67"/>
    </row>
    <row r="21" spans="1:11">
      <c r="A21" s="83" t="s">
        <v>551</v>
      </c>
      <c r="B21" s="84"/>
      <c r="C21" s="85"/>
      <c r="D21" s="68" t="s">
        <v>1</v>
      </c>
      <c r="E21" s="86">
        <f>MATERIALES!D43</f>
        <v>1500</v>
      </c>
      <c r="F21" s="69">
        <v>0.1</v>
      </c>
      <c r="G21" s="71">
        <f>E21*F21</f>
        <v>150</v>
      </c>
      <c r="H21" s="72"/>
    </row>
    <row r="22" spans="1:11">
      <c r="A22" s="83" t="s">
        <v>550</v>
      </c>
      <c r="B22" s="84"/>
      <c r="C22" s="85"/>
      <c r="D22" s="68" t="s">
        <v>234</v>
      </c>
      <c r="E22" s="86">
        <f>MATERIALES!D64</f>
        <v>1575</v>
      </c>
      <c r="F22" s="69">
        <v>0.22</v>
      </c>
      <c r="G22" s="71">
        <f>E22*F22</f>
        <v>346.5</v>
      </c>
      <c r="H22" s="72"/>
    </row>
    <row r="23" spans="1:11">
      <c r="A23" s="83" t="s">
        <v>552</v>
      </c>
      <c r="B23" s="84"/>
      <c r="C23" s="85"/>
      <c r="D23" s="73" t="s">
        <v>111</v>
      </c>
      <c r="E23" s="74">
        <f>MATERIALES!D66</f>
        <v>59434.533333333326</v>
      </c>
      <c r="F23" s="87">
        <v>8.3000000000000001E-4</v>
      </c>
      <c r="G23" s="71">
        <f>E23*F23</f>
        <v>49.330662666666662</v>
      </c>
      <c r="H23" s="72"/>
    </row>
    <row r="24" spans="1:11" ht="15.75" thickBot="1">
      <c r="A24" s="89"/>
      <c r="B24" s="90"/>
      <c r="C24" s="91"/>
      <c r="D24" s="76"/>
      <c r="E24" s="77"/>
      <c r="F24" s="78"/>
      <c r="G24" s="79"/>
      <c r="H24" s="80"/>
    </row>
    <row r="25" spans="1:11" ht="15.75" thickBot="1">
      <c r="A25" s="61"/>
      <c r="B25" s="61"/>
      <c r="C25" s="61"/>
      <c r="D25" s="61"/>
      <c r="E25" s="61"/>
      <c r="F25" s="61"/>
      <c r="G25" s="81" t="s">
        <v>491</v>
      </c>
      <c r="H25" s="82">
        <f>SUM(G21:G24)</f>
        <v>545.83066266666663</v>
      </c>
    </row>
    <row r="26" spans="1:11" ht="15.75" thickBot="1">
      <c r="A26" s="92" t="s">
        <v>496</v>
      </c>
      <c r="B26" s="92"/>
      <c r="C26" s="90"/>
      <c r="D26" s="61"/>
      <c r="E26" s="61"/>
      <c r="F26" s="61"/>
      <c r="G26" s="61"/>
      <c r="H26" s="61"/>
    </row>
    <row r="27" spans="1:11">
      <c r="A27" s="1454" t="s">
        <v>497</v>
      </c>
      <c r="B27" s="1456"/>
      <c r="C27" s="93" t="s">
        <v>498</v>
      </c>
      <c r="D27" s="64" t="s">
        <v>495</v>
      </c>
      <c r="E27" s="64" t="s">
        <v>500</v>
      </c>
      <c r="F27" s="64" t="s">
        <v>501</v>
      </c>
      <c r="G27" s="94" t="s">
        <v>489</v>
      </c>
      <c r="H27" s="67"/>
    </row>
    <row r="28" spans="1:11">
      <c r="A28" s="83"/>
      <c r="B28" s="84"/>
      <c r="C28" s="450"/>
      <c r="D28" s="96"/>
      <c r="E28" s="96"/>
      <c r="F28" s="97"/>
      <c r="G28" s="69"/>
      <c r="H28" s="72"/>
    </row>
    <row r="29" spans="1:11">
      <c r="A29" s="83"/>
      <c r="B29" s="84"/>
      <c r="C29" s="98"/>
      <c r="D29" s="68"/>
      <c r="E29" s="99"/>
      <c r="F29" s="69"/>
      <c r="G29" s="69"/>
      <c r="H29" s="72"/>
    </row>
    <row r="30" spans="1:11" ht="15.75" thickBot="1">
      <c r="A30" s="100"/>
      <c r="B30" s="101"/>
      <c r="C30" s="76"/>
      <c r="D30" s="77"/>
      <c r="E30" s="78"/>
      <c r="F30" s="79"/>
      <c r="G30" s="76"/>
      <c r="H30" s="72"/>
    </row>
    <row r="31" spans="1:11" ht="15.75" thickBot="1">
      <c r="A31" s="61"/>
      <c r="B31" s="61"/>
      <c r="C31" s="61"/>
      <c r="D31" s="61"/>
      <c r="E31" s="61"/>
      <c r="F31" s="61"/>
      <c r="G31" s="81" t="s">
        <v>491</v>
      </c>
      <c r="H31" s="82">
        <f>SUM(G28:G30)</f>
        <v>0</v>
      </c>
    </row>
    <row r="32" spans="1:11" ht="15.75" thickBot="1">
      <c r="A32" s="92" t="s">
        <v>502</v>
      </c>
      <c r="B32" s="92"/>
      <c r="C32" s="61"/>
      <c r="D32" s="61"/>
      <c r="E32" s="61"/>
      <c r="F32" s="61"/>
      <c r="G32" s="61"/>
      <c r="H32" s="61"/>
      <c r="K32">
        <f>38/4</f>
        <v>9.5</v>
      </c>
    </row>
    <row r="33" spans="1:8">
      <c r="A33" s="1454" t="s">
        <v>503</v>
      </c>
      <c r="B33" s="1456"/>
      <c r="C33" s="64" t="s">
        <v>504</v>
      </c>
      <c r="D33" s="64" t="s">
        <v>505</v>
      </c>
      <c r="E33" s="124" t="s">
        <v>506</v>
      </c>
      <c r="F33" s="102" t="s">
        <v>488</v>
      </c>
      <c r="G33" s="66" t="s">
        <v>489</v>
      </c>
      <c r="H33" s="67"/>
    </row>
    <row r="34" spans="1:8">
      <c r="A34" s="83" t="s">
        <v>507</v>
      </c>
      <c r="B34" s="84"/>
      <c r="C34" s="103">
        <f>+SALARIOS!C53</f>
        <v>64350</v>
      </c>
      <c r="D34" s="401">
        <f>SALARIOS!C48</f>
        <v>1.7846558312967005</v>
      </c>
      <c r="E34" s="69">
        <f>+C34*D34</f>
        <v>114842.60274394267</v>
      </c>
      <c r="F34" s="70">
        <v>5.0000000000000001E-3</v>
      </c>
      <c r="G34" s="105">
        <f>+E34*F34</f>
        <v>574.21301371971333</v>
      </c>
      <c r="H34" s="72"/>
    </row>
    <row r="35" spans="1:8">
      <c r="A35" s="83" t="s">
        <v>1578</v>
      </c>
      <c r="B35" s="84"/>
      <c r="C35" s="103">
        <f>SALARIOS!C52</f>
        <v>33244</v>
      </c>
      <c r="D35" s="401">
        <f>SALARIOS!C48</f>
        <v>1.7846558312967005</v>
      </c>
      <c r="E35" s="69">
        <f>+C35*D35</f>
        <v>59329.098455627507</v>
      </c>
      <c r="F35" s="70">
        <v>5.0000000000000001E-3</v>
      </c>
      <c r="G35" s="105">
        <f>+E35*F35</f>
        <v>296.64549227813757</v>
      </c>
      <c r="H35" s="72"/>
    </row>
    <row r="36" spans="1:8" ht="15.75" thickBot="1">
      <c r="A36" s="100"/>
      <c r="B36" s="106"/>
      <c r="C36" s="77"/>
      <c r="D36" s="91"/>
      <c r="E36" s="91"/>
      <c r="F36" s="91"/>
      <c r="G36" s="90"/>
      <c r="H36" s="80"/>
    </row>
    <row r="37" spans="1:8" ht="15.75" thickBot="1">
      <c r="A37" s="61"/>
      <c r="B37" s="61"/>
      <c r="C37" s="61"/>
      <c r="D37" s="61"/>
      <c r="E37" s="61"/>
      <c r="F37" s="61"/>
      <c r="G37" s="81" t="s">
        <v>491</v>
      </c>
      <c r="H37" s="82">
        <f>SUM(G34:G36)</f>
        <v>870.8585059978509</v>
      </c>
    </row>
    <row r="38" spans="1:8" ht="15.75" thickBot="1">
      <c r="A38" s="61"/>
      <c r="B38" s="61"/>
      <c r="C38" s="61"/>
      <c r="D38" s="61"/>
      <c r="E38" s="61"/>
      <c r="F38" s="61"/>
      <c r="G38" s="107"/>
      <c r="H38" s="58"/>
    </row>
    <row r="39" spans="1:8" ht="15.75" thickBot="1">
      <c r="A39" s="61"/>
      <c r="B39" s="61"/>
      <c r="C39" s="61"/>
      <c r="D39" s="61"/>
      <c r="E39" s="108" t="s">
        <v>508</v>
      </c>
      <c r="F39" s="109"/>
      <c r="G39" s="109"/>
      <c r="H39" s="82">
        <f>H18+H25+H31+H37</f>
        <v>3664.1891686645176</v>
      </c>
    </row>
    <row r="40" spans="1:8" ht="15.75" thickBot="1">
      <c r="A40" s="63" t="s">
        <v>509</v>
      </c>
      <c r="B40" s="63"/>
      <c r="C40" s="61"/>
      <c r="D40" s="61"/>
      <c r="E40" s="61"/>
      <c r="F40" s="61"/>
      <c r="G40" s="61"/>
      <c r="H40" s="61"/>
    </row>
    <row r="41" spans="1:8">
      <c r="A41" s="110" t="s">
        <v>485</v>
      </c>
      <c r="B41" s="111"/>
      <c r="C41" s="111"/>
      <c r="D41" s="111"/>
      <c r="E41" s="112"/>
      <c r="F41" s="113" t="s">
        <v>510</v>
      </c>
      <c r="G41" s="114" t="s">
        <v>511</v>
      </c>
      <c r="H41" s="67"/>
    </row>
    <row r="42" spans="1:8">
      <c r="A42" s="83" t="s">
        <v>512</v>
      </c>
      <c r="B42" s="84"/>
      <c r="C42" s="84"/>
      <c r="D42" s="84"/>
      <c r="E42" s="85"/>
      <c r="F42" s="115">
        <f>SALARIOS!C45</f>
        <v>0.15</v>
      </c>
      <c r="G42" s="116">
        <f>++F42*H39</f>
        <v>549.6283752996776</v>
      </c>
      <c r="H42" s="117"/>
    </row>
    <row r="43" spans="1:8">
      <c r="A43" s="83" t="s">
        <v>513</v>
      </c>
      <c r="B43" s="84"/>
      <c r="C43" s="84"/>
      <c r="D43" s="84"/>
      <c r="E43" s="85"/>
      <c r="F43" s="115">
        <f>SALARIOS!C46</f>
        <v>0.05</v>
      </c>
      <c r="G43" s="116">
        <f>+F43*H39</f>
        <v>183.2094584332259</v>
      </c>
      <c r="H43" s="117"/>
    </row>
    <row r="44" spans="1:8" ht="15.75" thickBot="1">
      <c r="A44" s="89" t="s">
        <v>514</v>
      </c>
      <c r="B44" s="90"/>
      <c r="C44" s="90"/>
      <c r="D44" s="90"/>
      <c r="E44" s="91"/>
      <c r="F44" s="118">
        <f>SALARIOS!C47</f>
        <v>0.05</v>
      </c>
      <c r="G44" s="119">
        <f>+F44*H39</f>
        <v>183.2094584332259</v>
      </c>
      <c r="H44" s="80"/>
    </row>
    <row r="45" spans="1:8" ht="15.75" thickBot="1">
      <c r="A45" s="61"/>
      <c r="B45" s="61"/>
      <c r="C45" s="61"/>
      <c r="D45" s="61"/>
      <c r="E45" s="61"/>
      <c r="F45" s="61"/>
      <c r="G45" s="81" t="s">
        <v>491</v>
      </c>
      <c r="H45" s="120">
        <f>SUM(G42:G44)</f>
        <v>916.04729216612941</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4580</v>
      </c>
    </row>
    <row r="48" spans="1:8">
      <c r="A48" s="16"/>
      <c r="B48" s="16"/>
      <c r="C48" s="16"/>
      <c r="D48" s="16"/>
      <c r="E48" s="16"/>
      <c r="F48" s="16"/>
      <c r="G48" s="16"/>
      <c r="H48" s="16"/>
    </row>
    <row r="49" spans="1:8">
      <c r="A49" s="16"/>
      <c r="B49" s="16"/>
      <c r="C49" s="16"/>
      <c r="D49" s="16"/>
      <c r="E49" s="16"/>
      <c r="F49" s="16"/>
      <c r="G49" s="16"/>
      <c r="H49" s="16"/>
    </row>
  </sheetData>
  <mergeCells count="13">
    <mergeCell ref="D5:H5"/>
    <mergeCell ref="A11:C11"/>
    <mergeCell ref="A12:C12"/>
    <mergeCell ref="A16:C16"/>
    <mergeCell ref="A17:C17"/>
    <mergeCell ref="A13:C13"/>
    <mergeCell ref="A14:C14"/>
    <mergeCell ref="A15:C15"/>
    <mergeCell ref="A3:C4"/>
    <mergeCell ref="A5:C5"/>
    <mergeCell ref="A20:C20"/>
    <mergeCell ref="A27:B27"/>
    <mergeCell ref="A33:B33"/>
  </mergeCells>
  <pageMargins left="0.7" right="0.7" top="0.75" bottom="0.75" header="0.3" footer="0.3"/>
  <pageSetup paperSize="9" scale="9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H48"/>
  <sheetViews>
    <sheetView workbookViewId="0">
      <selection activeCell="F36" sqref="F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43</v>
      </c>
      <c r="B7" s="62"/>
      <c r="C7" s="61"/>
      <c r="D7" s="16"/>
      <c r="E7" s="62"/>
      <c r="F7" s="16"/>
      <c r="G7" s="62" t="s">
        <v>700</v>
      </c>
      <c r="H7" s="61"/>
    </row>
    <row r="8" spans="1:8">
      <c r="A8" s="60" t="s">
        <v>1661</v>
      </c>
      <c r="B8" s="62"/>
      <c r="C8" s="61"/>
      <c r="D8" s="62"/>
      <c r="E8" s="62"/>
      <c r="F8" s="62"/>
      <c r="G8" s="62" t="s">
        <v>699</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109.07816440885433</v>
      </c>
      <c r="H12" s="72"/>
    </row>
    <row r="13" spans="1:8">
      <c r="A13" s="164"/>
      <c r="B13" s="165"/>
      <c r="C13" s="166"/>
      <c r="D13" s="167"/>
      <c r="E13" s="167"/>
      <c r="F13" s="167"/>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109.07816440885433</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1662</v>
      </c>
      <c r="B21" s="84"/>
      <c r="C21" s="85"/>
      <c r="D21" s="141" t="s">
        <v>44</v>
      </c>
      <c r="E21" s="139">
        <f>+MATERIALES!D6</f>
        <v>2591.5</v>
      </c>
      <c r="F21" s="137">
        <v>1.05</v>
      </c>
      <c r="G21" s="137">
        <f>+E21*F21</f>
        <v>2721.0750000000003</v>
      </c>
      <c r="H21" s="59"/>
    </row>
    <row r="22" spans="1:8">
      <c r="A22" s="127" t="s">
        <v>229</v>
      </c>
      <c r="B22" s="84"/>
      <c r="C22" s="85"/>
      <c r="D22" s="68" t="s">
        <v>44</v>
      </c>
      <c r="E22" s="142">
        <f>+MATERIALES!F10</f>
        <v>4466</v>
      </c>
      <c r="F22" s="70">
        <v>1.4999999999999999E-2</v>
      </c>
      <c r="G22" s="69">
        <f>+E22*F22</f>
        <v>66.989999999999995</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2788.0650000000001</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697</v>
      </c>
      <c r="B34" s="84"/>
      <c r="C34" s="103">
        <f>+SALARIOS!C49</f>
        <v>25572</v>
      </c>
      <c r="D34" s="104">
        <f>+SALARIOS!C48</f>
        <v>1.7846558312967005</v>
      </c>
      <c r="E34" s="69">
        <f>+C34*D34</f>
        <v>45637.218917919221</v>
      </c>
      <c r="F34" s="69">
        <v>110</v>
      </c>
      <c r="G34" s="105">
        <f>+E34/F34</f>
        <v>414.88380834472019</v>
      </c>
      <c r="H34" s="72"/>
    </row>
    <row r="35" spans="1:8">
      <c r="A35" s="83" t="s">
        <v>624</v>
      </c>
      <c r="B35" s="84"/>
      <c r="C35" s="103">
        <f>+SALARIOS!C50</f>
        <v>41660</v>
      </c>
      <c r="D35" s="104">
        <f>+SALARIOS!C48</f>
        <v>1.7846558312967005</v>
      </c>
      <c r="E35" s="69">
        <f>+C35*D35</f>
        <v>74348.76193182054</v>
      </c>
      <c r="F35" s="69">
        <v>110</v>
      </c>
      <c r="G35" s="105">
        <f>+E35/F35</f>
        <v>675.89783574382307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1090.7816440885433</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3987.9248084973979</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598.18872127460963</v>
      </c>
      <c r="H43" s="117"/>
    </row>
    <row r="44" spans="1:8">
      <c r="A44" s="83" t="s">
        <v>513</v>
      </c>
      <c r="B44" s="84"/>
      <c r="C44" s="84"/>
      <c r="D44" s="84"/>
      <c r="E44" s="85"/>
      <c r="F44" s="115">
        <f>(SALARIOS!C46)</f>
        <v>0.05</v>
      </c>
      <c r="G44" s="116">
        <f>+F44*H40</f>
        <v>199.39624042486992</v>
      </c>
      <c r="H44" s="117"/>
    </row>
    <row r="45" spans="1:8" ht="15.75" thickBot="1">
      <c r="A45" s="89" t="s">
        <v>514</v>
      </c>
      <c r="B45" s="90"/>
      <c r="C45" s="90"/>
      <c r="D45" s="90"/>
      <c r="E45" s="91"/>
      <c r="F45" s="118">
        <f>SALARIOS!C47</f>
        <v>0.05</v>
      </c>
      <c r="G45" s="119">
        <f>+F45*H40</f>
        <v>199.39624042486992</v>
      </c>
      <c r="H45" s="80"/>
    </row>
    <row r="46" spans="1:8" ht="15.75" thickBot="1">
      <c r="A46" s="61"/>
      <c r="B46" s="61"/>
      <c r="C46" s="61"/>
      <c r="D46" s="61"/>
      <c r="E46" s="61"/>
      <c r="F46" s="61"/>
      <c r="G46" s="81" t="s">
        <v>491</v>
      </c>
      <c r="H46" s="120">
        <f>SUM(G43:G45)</f>
        <v>996.98120212434947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4985</v>
      </c>
    </row>
  </sheetData>
  <mergeCells count="11">
    <mergeCell ref="A33:B33"/>
    <mergeCell ref="A3:C4"/>
    <mergeCell ref="A5:C5"/>
    <mergeCell ref="D5:H5"/>
    <mergeCell ref="A11:C11"/>
    <mergeCell ref="A14:C14"/>
    <mergeCell ref="A15:C15"/>
    <mergeCell ref="A16:C16"/>
    <mergeCell ref="A17:C17"/>
    <mergeCell ref="A20:C20"/>
    <mergeCell ref="A27:B27"/>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J48"/>
  <sheetViews>
    <sheetView topLeftCell="A10"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1.75" customHeight="1">
      <c r="A7" s="1479" t="s">
        <v>1948</v>
      </c>
      <c r="B7" s="1479"/>
      <c r="C7" s="1479"/>
      <c r="D7" s="1479"/>
      <c r="E7" s="1479"/>
      <c r="F7" s="16"/>
      <c r="G7" s="62" t="s">
        <v>701</v>
      </c>
      <c r="H7" s="61"/>
    </row>
    <row r="8" spans="1:8">
      <c r="A8" s="60" t="s">
        <v>702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2153.1015969795671</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2153.1015969795671</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703</v>
      </c>
      <c r="B21" s="84"/>
      <c r="C21" s="85"/>
      <c r="D21" s="141" t="s">
        <v>1</v>
      </c>
      <c r="E21" s="139">
        <f>+MATERIALES!D281</f>
        <v>28681</v>
      </c>
      <c r="F21" s="163">
        <v>1</v>
      </c>
      <c r="G21" s="137">
        <f>+E21*F21</f>
        <v>28681</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28681</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10">
      <c r="A33" s="1454" t="s">
        <v>503</v>
      </c>
      <c r="B33" s="1456"/>
      <c r="C33" s="186" t="s">
        <v>504</v>
      </c>
      <c r="D33" s="186" t="s">
        <v>505</v>
      </c>
      <c r="E33" s="124" t="s">
        <v>506</v>
      </c>
      <c r="F33" s="102" t="s">
        <v>488</v>
      </c>
      <c r="G33" s="185" t="s">
        <v>489</v>
      </c>
      <c r="H33" s="67"/>
    </row>
    <row r="34" spans="1:10">
      <c r="A34" s="83" t="s">
        <v>553</v>
      </c>
      <c r="B34" s="84"/>
      <c r="C34" s="103">
        <f>+SALARIOS!C49*2</f>
        <v>51144</v>
      </c>
      <c r="D34" s="104">
        <f>+SALARIOS!C48</f>
        <v>1.7846558312967005</v>
      </c>
      <c r="E34" s="69">
        <f>+C34*D34</f>
        <v>91274.437835838442</v>
      </c>
      <c r="F34" s="69">
        <v>0.13</v>
      </c>
      <c r="G34" s="105">
        <f>+E34*F34</f>
        <v>11865.676918658997</v>
      </c>
      <c r="H34" s="72"/>
    </row>
    <row r="35" spans="1:10">
      <c r="A35" s="83" t="s">
        <v>624</v>
      </c>
      <c r="B35" s="84"/>
      <c r="C35" s="103">
        <f>+SALARIOS!C50</f>
        <v>41660</v>
      </c>
      <c r="D35" s="104">
        <f>+SALARIOS!C48</f>
        <v>1.7846558312967005</v>
      </c>
      <c r="E35" s="69">
        <f>+C35*D35</f>
        <v>74348.76193182054</v>
      </c>
      <c r="F35" s="69">
        <v>0.13</v>
      </c>
      <c r="G35" s="105">
        <f>+E35*F35</f>
        <v>9665.3390511366706</v>
      </c>
      <c r="H35" s="72"/>
    </row>
    <row r="36" spans="1:10">
      <c r="A36" s="83"/>
      <c r="B36" s="84"/>
      <c r="C36" s="103"/>
      <c r="D36" s="104"/>
      <c r="E36" s="69"/>
      <c r="F36" s="69"/>
      <c r="G36" s="105"/>
      <c r="H36" s="72"/>
    </row>
    <row r="37" spans="1:10" ht="15.75" thickBot="1">
      <c r="A37" s="100"/>
      <c r="B37" s="106"/>
      <c r="C37" s="77"/>
      <c r="D37" s="91"/>
      <c r="E37" s="143"/>
      <c r="F37" s="91"/>
      <c r="G37" s="90"/>
      <c r="H37" s="80"/>
    </row>
    <row r="38" spans="1:10" ht="15.75" thickBot="1">
      <c r="A38" s="61"/>
      <c r="B38" s="61"/>
      <c r="C38" s="61"/>
      <c r="D38" s="61"/>
      <c r="E38" s="61"/>
      <c r="F38" s="61"/>
      <c r="G38" s="81" t="s">
        <v>491</v>
      </c>
      <c r="H38" s="82">
        <f>SUM(G34:G37)</f>
        <v>21531.01596979567</v>
      </c>
      <c r="J38" s="82"/>
    </row>
    <row r="39" spans="1:10" ht="15.75" thickBot="1">
      <c r="A39" s="61"/>
      <c r="B39" s="61"/>
      <c r="C39" s="61"/>
      <c r="D39" s="61"/>
      <c r="E39" s="61"/>
      <c r="F39" s="61"/>
      <c r="G39" s="107"/>
      <c r="H39" s="58"/>
    </row>
    <row r="40" spans="1:10" ht="15.75" thickBot="1">
      <c r="A40" s="61"/>
      <c r="B40" s="61"/>
      <c r="C40" s="61"/>
      <c r="D40" s="61"/>
      <c r="E40" s="108" t="s">
        <v>508</v>
      </c>
      <c r="F40" s="109"/>
      <c r="G40" s="109"/>
      <c r="H40" s="82">
        <f>H18+H25+H31+H38</f>
        <v>52365.11756677524</v>
      </c>
    </row>
    <row r="41" spans="1:10" ht="15.75" thickBot="1">
      <c r="A41" s="63" t="s">
        <v>509</v>
      </c>
      <c r="B41" s="63"/>
      <c r="C41" s="61"/>
      <c r="D41" s="61"/>
      <c r="E41" s="61"/>
      <c r="F41" s="61"/>
      <c r="G41" s="61"/>
      <c r="H41" s="61"/>
    </row>
    <row r="42" spans="1:10">
      <c r="A42" s="110" t="s">
        <v>485</v>
      </c>
      <c r="B42" s="111"/>
      <c r="C42" s="111"/>
      <c r="D42" s="111"/>
      <c r="E42" s="112"/>
      <c r="F42" s="188" t="s">
        <v>510</v>
      </c>
      <c r="G42" s="187" t="s">
        <v>511</v>
      </c>
      <c r="H42" s="67"/>
    </row>
    <row r="43" spans="1:10">
      <c r="A43" s="83" t="s">
        <v>512</v>
      </c>
      <c r="B43" s="84"/>
      <c r="C43" s="84"/>
      <c r="D43" s="84"/>
      <c r="E43" s="85"/>
      <c r="F43" s="115">
        <f>(SALARIOS!C45)</f>
        <v>0.15</v>
      </c>
      <c r="G43" s="116">
        <f>++F43*H40</f>
        <v>7854.7676350162856</v>
      </c>
      <c r="H43" s="117"/>
    </row>
    <row r="44" spans="1:10">
      <c r="A44" s="83" t="s">
        <v>513</v>
      </c>
      <c r="B44" s="84"/>
      <c r="C44" s="84"/>
      <c r="D44" s="84"/>
      <c r="E44" s="85"/>
      <c r="F44" s="115">
        <f>(SALARIOS!C46)</f>
        <v>0.05</v>
      </c>
      <c r="G44" s="116">
        <f>+F44*H40</f>
        <v>2618.2558783387622</v>
      </c>
      <c r="H44" s="117"/>
    </row>
    <row r="45" spans="1:10" ht="15.75" thickBot="1">
      <c r="A45" s="89" t="s">
        <v>514</v>
      </c>
      <c r="B45" s="90"/>
      <c r="C45" s="90"/>
      <c r="D45" s="90"/>
      <c r="E45" s="91"/>
      <c r="F45" s="118">
        <f>SALARIOS!C47</f>
        <v>0.05</v>
      </c>
      <c r="G45" s="119">
        <f>+F45*H40</f>
        <v>2618.2558783387622</v>
      </c>
      <c r="H45" s="80"/>
    </row>
    <row r="46" spans="1:10" ht="15.75" thickBot="1">
      <c r="A46" s="61"/>
      <c r="B46" s="61"/>
      <c r="C46" s="61"/>
      <c r="D46" s="61"/>
      <c r="E46" s="61"/>
      <c r="F46" s="61"/>
      <c r="G46" s="81" t="s">
        <v>491</v>
      </c>
      <c r="H46" s="120">
        <f>SUM(G43:G45)</f>
        <v>13091.27939169381</v>
      </c>
    </row>
    <row r="47" spans="1:10" ht="15.75" thickBot="1">
      <c r="A47" s="61"/>
      <c r="B47" s="61"/>
      <c r="C47" s="61"/>
      <c r="D47" s="61"/>
      <c r="E47" s="61"/>
      <c r="F47" s="61"/>
      <c r="G47" s="61"/>
      <c r="H47" s="61"/>
    </row>
    <row r="48" spans="1:10" ht="15.75" thickBot="1">
      <c r="A48" s="16"/>
      <c r="B48" s="16"/>
      <c r="C48" s="61"/>
      <c r="D48" s="108" t="s">
        <v>515</v>
      </c>
      <c r="E48" s="109"/>
      <c r="F48" s="109"/>
      <c r="G48" s="109"/>
      <c r="H48" s="82">
        <f>ROUND((H40+H46),0)</f>
        <v>65456</v>
      </c>
    </row>
  </sheetData>
  <mergeCells count="12">
    <mergeCell ref="A33:B33"/>
    <mergeCell ref="A3:C4"/>
    <mergeCell ref="A5:C5"/>
    <mergeCell ref="D5:H5"/>
    <mergeCell ref="A11:C11"/>
    <mergeCell ref="A14:C14"/>
    <mergeCell ref="A15:C15"/>
    <mergeCell ref="A16:C16"/>
    <mergeCell ref="A17:C17"/>
    <mergeCell ref="A20:C20"/>
    <mergeCell ref="A27:B27"/>
    <mergeCell ref="A7:E7"/>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J48"/>
  <sheetViews>
    <sheetView workbookViewId="0">
      <selection activeCell="J18" sqref="J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4" customHeight="1">
      <c r="A7" s="1479" t="s">
        <v>1948</v>
      </c>
      <c r="B7" s="1479"/>
      <c r="C7" s="1479"/>
      <c r="D7" s="1479"/>
      <c r="E7" s="1479"/>
      <c r="F7" s="16"/>
      <c r="G7" s="62" t="s">
        <v>704</v>
      </c>
      <c r="H7" s="61"/>
    </row>
    <row r="8" spans="1:8">
      <c r="A8" s="60" t="s">
        <v>705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2484.3479965148849</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2484.3479965148849</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706</v>
      </c>
      <c r="B21" s="84"/>
      <c r="C21" s="85"/>
      <c r="D21" s="141" t="s">
        <v>1</v>
      </c>
      <c r="E21" s="139">
        <f>+MATERIALES!D282</f>
        <v>45727.199999999997</v>
      </c>
      <c r="F21" s="163">
        <v>1</v>
      </c>
      <c r="G21" s="137">
        <f>+E21*F21</f>
        <v>45727.199999999997</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45727.199999999997</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10">
      <c r="A33" s="1454" t="s">
        <v>503</v>
      </c>
      <c r="B33" s="1456"/>
      <c r="C33" s="186" t="s">
        <v>504</v>
      </c>
      <c r="D33" s="186" t="s">
        <v>505</v>
      </c>
      <c r="E33" s="124" t="s">
        <v>506</v>
      </c>
      <c r="F33" s="102" t="s">
        <v>488</v>
      </c>
      <c r="G33" s="185" t="s">
        <v>489</v>
      </c>
      <c r="H33" s="67"/>
    </row>
    <row r="34" spans="1:10">
      <c r="A34" s="83" t="s">
        <v>553</v>
      </c>
      <c r="B34" s="84"/>
      <c r="C34" s="103">
        <f>+SALARIOS!C49*2</f>
        <v>51144</v>
      </c>
      <c r="D34" s="104">
        <f>+SALARIOS!C48</f>
        <v>1.7846558312967005</v>
      </c>
      <c r="E34" s="69">
        <f>+C34*D34</f>
        <v>91274.437835838442</v>
      </c>
      <c r="F34" s="69">
        <v>0.15</v>
      </c>
      <c r="G34" s="105">
        <f>+E34*F34</f>
        <v>13691.165675375765</v>
      </c>
      <c r="H34" s="72"/>
    </row>
    <row r="35" spans="1:10">
      <c r="A35" s="83" t="s">
        <v>624</v>
      </c>
      <c r="B35" s="84"/>
      <c r="C35" s="103">
        <f>+SALARIOS!C50</f>
        <v>41660</v>
      </c>
      <c r="D35" s="104">
        <f>+SALARIOS!C48</f>
        <v>1.7846558312967005</v>
      </c>
      <c r="E35" s="69">
        <f>+C35*D35</f>
        <v>74348.76193182054</v>
      </c>
      <c r="F35" s="69">
        <v>0.15</v>
      </c>
      <c r="G35" s="105">
        <f>+E35*F35</f>
        <v>11152.314289773081</v>
      </c>
      <c r="H35" s="72"/>
    </row>
    <row r="36" spans="1:10">
      <c r="A36" s="83"/>
      <c r="B36" s="84"/>
      <c r="C36" s="103"/>
      <c r="D36" s="104"/>
      <c r="E36" s="69"/>
      <c r="F36" s="69"/>
      <c r="G36" s="105"/>
      <c r="H36" s="72"/>
    </row>
    <row r="37" spans="1:10" ht="15.75" thickBot="1">
      <c r="A37" s="100"/>
      <c r="B37" s="106"/>
      <c r="C37" s="77"/>
      <c r="D37" s="91"/>
      <c r="E37" s="143"/>
      <c r="F37" s="91"/>
      <c r="G37" s="90"/>
      <c r="H37" s="80"/>
    </row>
    <row r="38" spans="1:10" ht="15.75" thickBot="1">
      <c r="A38" s="61"/>
      <c r="B38" s="61"/>
      <c r="C38" s="61"/>
      <c r="D38" s="61"/>
      <c r="E38" s="61"/>
      <c r="F38" s="61"/>
      <c r="G38" s="81" t="s">
        <v>491</v>
      </c>
      <c r="H38" s="82">
        <f>SUM(G34:G37)</f>
        <v>24843.479965148847</v>
      </c>
      <c r="J38" s="812"/>
    </row>
    <row r="39" spans="1:10" ht="15.75" thickBot="1">
      <c r="A39" s="61"/>
      <c r="B39" s="61"/>
      <c r="C39" s="61"/>
      <c r="D39" s="61"/>
      <c r="E39" s="61"/>
      <c r="F39" s="61"/>
      <c r="G39" s="107"/>
      <c r="H39" s="58"/>
    </row>
    <row r="40" spans="1:10" ht="15.75" thickBot="1">
      <c r="A40" s="61"/>
      <c r="B40" s="61"/>
      <c r="C40" s="61"/>
      <c r="D40" s="61"/>
      <c r="E40" s="108" t="s">
        <v>508</v>
      </c>
      <c r="F40" s="109"/>
      <c r="G40" s="109"/>
      <c r="H40" s="82">
        <f>H18+H25+H31+H38</f>
        <v>73055.027961663727</v>
      </c>
    </row>
    <row r="41" spans="1:10" ht="15.75" thickBot="1">
      <c r="A41" s="63" t="s">
        <v>509</v>
      </c>
      <c r="B41" s="63"/>
      <c r="C41" s="61"/>
      <c r="D41" s="61"/>
      <c r="E41" s="61"/>
      <c r="F41" s="61"/>
      <c r="G41" s="61"/>
      <c r="H41" s="61"/>
    </row>
    <row r="42" spans="1:10">
      <c r="A42" s="110" t="s">
        <v>485</v>
      </c>
      <c r="B42" s="111"/>
      <c r="C42" s="111"/>
      <c r="D42" s="111"/>
      <c r="E42" s="112"/>
      <c r="F42" s="188" t="s">
        <v>510</v>
      </c>
      <c r="G42" s="187" t="s">
        <v>511</v>
      </c>
      <c r="H42" s="67"/>
    </row>
    <row r="43" spans="1:10">
      <c r="A43" s="83" t="s">
        <v>512</v>
      </c>
      <c r="B43" s="84"/>
      <c r="C43" s="84"/>
      <c r="D43" s="84"/>
      <c r="E43" s="85"/>
      <c r="F43" s="115">
        <f>(SALARIOS!C45)</f>
        <v>0.15</v>
      </c>
      <c r="G43" s="116">
        <f>++F43*H40</f>
        <v>10958.254194249559</v>
      </c>
      <c r="H43" s="117"/>
    </row>
    <row r="44" spans="1:10">
      <c r="A44" s="83" t="s">
        <v>513</v>
      </c>
      <c r="B44" s="84"/>
      <c r="C44" s="84"/>
      <c r="D44" s="84"/>
      <c r="E44" s="85"/>
      <c r="F44" s="115">
        <f>(SALARIOS!C46)</f>
        <v>0.05</v>
      </c>
      <c r="G44" s="116">
        <f>+F44*H40</f>
        <v>3652.7513980831864</v>
      </c>
      <c r="H44" s="117"/>
    </row>
    <row r="45" spans="1:10" ht="15.75" thickBot="1">
      <c r="A45" s="89" t="s">
        <v>514</v>
      </c>
      <c r="B45" s="90"/>
      <c r="C45" s="90"/>
      <c r="D45" s="90"/>
      <c r="E45" s="91"/>
      <c r="F45" s="118">
        <f>SALARIOS!C47</f>
        <v>0.05</v>
      </c>
      <c r="G45" s="119">
        <f>+F45*H40</f>
        <v>3652.7513980831864</v>
      </c>
      <c r="H45" s="80"/>
    </row>
    <row r="46" spans="1:10" ht="15.75" thickBot="1">
      <c r="A46" s="61"/>
      <c r="B46" s="61"/>
      <c r="C46" s="61"/>
      <c r="D46" s="61"/>
      <c r="E46" s="61"/>
      <c r="F46" s="61"/>
      <c r="G46" s="81" t="s">
        <v>491</v>
      </c>
      <c r="H46" s="120">
        <f>SUM(G43:G45)</f>
        <v>18263.756990415932</v>
      </c>
    </row>
    <row r="47" spans="1:10" ht="15.75" thickBot="1">
      <c r="A47" s="61"/>
      <c r="B47" s="61"/>
      <c r="C47" s="61"/>
      <c r="D47" s="61"/>
      <c r="E47" s="61"/>
      <c r="F47" s="61"/>
      <c r="G47" s="61"/>
      <c r="H47" s="61"/>
    </row>
    <row r="48" spans="1:10" ht="15.75" thickBot="1">
      <c r="A48" s="16"/>
      <c r="B48" s="16"/>
      <c r="C48" s="61"/>
      <c r="D48" s="108" t="s">
        <v>515</v>
      </c>
      <c r="E48" s="109"/>
      <c r="F48" s="109"/>
      <c r="G48" s="109"/>
      <c r="H48" s="82">
        <f>ROUND((H40+H46),0)</f>
        <v>91319</v>
      </c>
    </row>
  </sheetData>
  <mergeCells count="12">
    <mergeCell ref="A33:B33"/>
    <mergeCell ref="A3:C4"/>
    <mergeCell ref="A5:C5"/>
    <mergeCell ref="D5:H5"/>
    <mergeCell ref="A11:C11"/>
    <mergeCell ref="A14:C14"/>
    <mergeCell ref="A15:C15"/>
    <mergeCell ref="A16:C16"/>
    <mergeCell ref="A17:C17"/>
    <mergeCell ref="A20:C20"/>
    <mergeCell ref="A27:B27"/>
    <mergeCell ref="A7:E7"/>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H48"/>
  <sheetViews>
    <sheetView workbookViewId="0">
      <selection activeCell="L19" sqref="L1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4" customHeight="1">
      <c r="A7" s="1479" t="s">
        <v>1948</v>
      </c>
      <c r="B7" s="1479"/>
      <c r="C7" s="1479"/>
      <c r="D7" s="1479"/>
      <c r="E7" s="1479"/>
      <c r="F7" s="16"/>
      <c r="G7" s="62" t="s">
        <v>707</v>
      </c>
      <c r="H7" s="61"/>
    </row>
    <row r="8" spans="1:8">
      <c r="A8" s="60" t="s">
        <v>708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3146.8407955855205</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3146.8407955855205</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709</v>
      </c>
      <c r="B21" s="84"/>
      <c r="C21" s="85"/>
      <c r="D21" s="141" t="s">
        <v>1</v>
      </c>
      <c r="E21" s="139">
        <f>+MATERIALES!D283</f>
        <v>59299.199999999997</v>
      </c>
      <c r="F21" s="163">
        <v>1</v>
      </c>
      <c r="G21" s="137">
        <f>+E21*F21</f>
        <v>59299.199999999997</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59299.199999999997</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553</v>
      </c>
      <c r="B34" s="84"/>
      <c r="C34" s="103">
        <f>+SALARIOS!C49*2</f>
        <v>51144</v>
      </c>
      <c r="D34" s="104">
        <f>+SALARIOS!C48</f>
        <v>1.7846558312967005</v>
      </c>
      <c r="E34" s="69">
        <f>+C34*D34</f>
        <v>91274.437835838442</v>
      </c>
      <c r="F34" s="69">
        <v>0.19</v>
      </c>
      <c r="G34" s="105">
        <f>+E34*F34</f>
        <v>17342.143188809303</v>
      </c>
      <c r="H34" s="72"/>
    </row>
    <row r="35" spans="1:8">
      <c r="A35" s="83" t="s">
        <v>624</v>
      </c>
      <c r="B35" s="84"/>
      <c r="C35" s="103">
        <f>+SALARIOS!C50</f>
        <v>41660</v>
      </c>
      <c r="D35" s="104">
        <f>+SALARIOS!C48</f>
        <v>1.7846558312967005</v>
      </c>
      <c r="E35" s="69">
        <f>+C35*D35</f>
        <v>74348.76193182054</v>
      </c>
      <c r="F35" s="69">
        <v>0.19</v>
      </c>
      <c r="G35" s="105">
        <f>+E35*F35</f>
        <v>14126.264767045903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31468.407955855204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93914.448751440723</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14087.167312716108</v>
      </c>
      <c r="H43" s="117"/>
    </row>
    <row r="44" spans="1:8">
      <c r="A44" s="83" t="s">
        <v>513</v>
      </c>
      <c r="B44" s="84"/>
      <c r="C44" s="84"/>
      <c r="D44" s="84"/>
      <c r="E44" s="85"/>
      <c r="F44" s="115">
        <f>(SALARIOS!C46)</f>
        <v>0.05</v>
      </c>
      <c r="G44" s="116">
        <f>+F44*H40</f>
        <v>4695.7224375720361</v>
      </c>
      <c r="H44" s="117"/>
    </row>
    <row r="45" spans="1:8" ht="15.75" thickBot="1">
      <c r="A45" s="89" t="s">
        <v>514</v>
      </c>
      <c r="B45" s="90"/>
      <c r="C45" s="90"/>
      <c r="D45" s="90"/>
      <c r="E45" s="91"/>
      <c r="F45" s="118">
        <f>SALARIOS!C47</f>
        <v>0.05</v>
      </c>
      <c r="G45" s="119">
        <f>+F45*H40</f>
        <v>4695.7224375720361</v>
      </c>
      <c r="H45" s="80"/>
    </row>
    <row r="46" spans="1:8" ht="15.75" thickBot="1">
      <c r="A46" s="61"/>
      <c r="B46" s="61"/>
      <c r="C46" s="61"/>
      <c r="D46" s="61"/>
      <c r="E46" s="61"/>
      <c r="F46" s="61"/>
      <c r="G46" s="81" t="s">
        <v>491</v>
      </c>
      <c r="H46" s="120">
        <f>SUM(G43:G45)</f>
        <v>23478.612187860181</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117393</v>
      </c>
    </row>
  </sheetData>
  <mergeCells count="12">
    <mergeCell ref="A33:B33"/>
    <mergeCell ref="A3:C4"/>
    <mergeCell ref="A5:C5"/>
    <mergeCell ref="D5:H5"/>
    <mergeCell ref="A11:C11"/>
    <mergeCell ref="A14:C14"/>
    <mergeCell ref="A15:C15"/>
    <mergeCell ref="A16:C16"/>
    <mergeCell ref="A17:C17"/>
    <mergeCell ref="A20:C20"/>
    <mergeCell ref="A27:B27"/>
    <mergeCell ref="A7:E7"/>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H48"/>
  <sheetViews>
    <sheetView workbookViewId="0">
      <selection activeCell="K16" sqref="K1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7" customHeight="1">
      <c r="A7" s="1479" t="s">
        <v>1948</v>
      </c>
      <c r="B7" s="1479"/>
      <c r="C7" s="1479"/>
      <c r="D7" s="1479"/>
      <c r="E7" s="1479"/>
      <c r="F7" s="16"/>
      <c r="G7" s="62" t="s">
        <v>710</v>
      </c>
      <c r="H7" s="61"/>
    </row>
    <row r="8" spans="1:8">
      <c r="A8" s="60" t="s">
        <v>711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3643.7103948884978</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3643.7103948884978</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712</v>
      </c>
      <c r="B21" s="84"/>
      <c r="C21" s="85"/>
      <c r="D21" s="141" t="s">
        <v>1</v>
      </c>
      <c r="E21" s="139">
        <f>+MATERIALES!D284</f>
        <v>77070.399999999994</v>
      </c>
      <c r="F21" s="163">
        <v>1</v>
      </c>
      <c r="G21" s="137">
        <f>+E21*F21</f>
        <v>77070.399999999994</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77070.399999999994</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553</v>
      </c>
      <c r="B34" s="84"/>
      <c r="C34" s="103">
        <f>+SALARIOS!C49*2</f>
        <v>51144</v>
      </c>
      <c r="D34" s="104">
        <f>+SALARIOS!C48</f>
        <v>1.7846558312967005</v>
      </c>
      <c r="E34" s="69">
        <f>+C34*D34</f>
        <v>91274.437835838442</v>
      </c>
      <c r="F34" s="69">
        <v>0.22</v>
      </c>
      <c r="G34" s="105">
        <f>+E34*F34</f>
        <v>20080.376323884459</v>
      </c>
      <c r="H34" s="72"/>
    </row>
    <row r="35" spans="1:8">
      <c r="A35" s="83" t="s">
        <v>624</v>
      </c>
      <c r="B35" s="84"/>
      <c r="C35" s="103">
        <f>+SALARIOS!C50</f>
        <v>41660</v>
      </c>
      <c r="D35" s="104">
        <f>+SALARIOS!C48</f>
        <v>1.7846558312967005</v>
      </c>
      <c r="E35" s="69">
        <f>+C35*D35</f>
        <v>74348.76193182054</v>
      </c>
      <c r="F35" s="69">
        <v>0.22</v>
      </c>
      <c r="G35" s="105">
        <f>+E35*F35</f>
        <v>16356.727625000518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36437.103948884978</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117151.21434377348</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17572.682151566019</v>
      </c>
      <c r="H43" s="117"/>
    </row>
    <row r="44" spans="1:8">
      <c r="A44" s="83" t="s">
        <v>513</v>
      </c>
      <c r="B44" s="84"/>
      <c r="C44" s="84"/>
      <c r="D44" s="84"/>
      <c r="E44" s="85"/>
      <c r="F44" s="115">
        <f>(SALARIOS!C46)</f>
        <v>0.05</v>
      </c>
      <c r="G44" s="116">
        <f>+F44*H40</f>
        <v>5857.5607171886741</v>
      </c>
      <c r="H44" s="117"/>
    </row>
    <row r="45" spans="1:8" ht="15.75" thickBot="1">
      <c r="A45" s="89" t="s">
        <v>514</v>
      </c>
      <c r="B45" s="90"/>
      <c r="C45" s="90"/>
      <c r="D45" s="90"/>
      <c r="E45" s="91"/>
      <c r="F45" s="118">
        <f>SALARIOS!C47</f>
        <v>0.05</v>
      </c>
      <c r="G45" s="119">
        <f>+F45*H40</f>
        <v>5857.5607171886741</v>
      </c>
      <c r="H45" s="80"/>
    </row>
    <row r="46" spans="1:8" ht="15.75" thickBot="1">
      <c r="A46" s="61"/>
      <c r="B46" s="61"/>
      <c r="C46" s="61"/>
      <c r="D46" s="61"/>
      <c r="E46" s="61"/>
      <c r="F46" s="61"/>
      <c r="G46" s="81" t="s">
        <v>491</v>
      </c>
      <c r="H46" s="120">
        <f>SUM(G43:G45)</f>
        <v>29287.803585943366</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146439</v>
      </c>
    </row>
  </sheetData>
  <mergeCells count="12">
    <mergeCell ref="A33:B33"/>
    <mergeCell ref="A3:C4"/>
    <mergeCell ref="A5:C5"/>
    <mergeCell ref="D5:H5"/>
    <mergeCell ref="A11:C11"/>
    <mergeCell ref="A14:C14"/>
    <mergeCell ref="A15:C15"/>
    <mergeCell ref="A16:C16"/>
    <mergeCell ref="A17:C17"/>
    <mergeCell ref="A20:C20"/>
    <mergeCell ref="A27:B27"/>
    <mergeCell ref="A7:E7"/>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H48"/>
  <sheetViews>
    <sheetView workbookViewId="0">
      <selection activeCell="J19" sqref="J1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5.5" customHeight="1">
      <c r="A7" s="1479" t="s">
        <v>1948</v>
      </c>
      <c r="B7" s="1479"/>
      <c r="C7" s="1479"/>
      <c r="D7" s="1479"/>
      <c r="E7" s="1479"/>
      <c r="F7" s="16"/>
      <c r="G7" s="62" t="s">
        <v>713</v>
      </c>
      <c r="H7" s="61"/>
    </row>
    <row r="8" spans="1:8">
      <c r="A8" s="60" t="s">
        <v>714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3974.9567944238152</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3974.9567944238152</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715</v>
      </c>
      <c r="B21" s="84"/>
      <c r="C21" s="85"/>
      <c r="D21" s="141" t="s">
        <v>1</v>
      </c>
      <c r="E21" s="139">
        <f>+MATERIALES!D285</f>
        <v>99551.199999999983</v>
      </c>
      <c r="F21" s="163">
        <v>1</v>
      </c>
      <c r="G21" s="137">
        <f>+E21*F21</f>
        <v>99551.199999999983</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99551.199999999983</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553</v>
      </c>
      <c r="B34" s="84"/>
      <c r="C34" s="103">
        <f>+SALARIOS!C49*2</f>
        <v>51144</v>
      </c>
      <c r="D34" s="104">
        <f>+SALARIOS!C48</f>
        <v>1.7846558312967005</v>
      </c>
      <c r="E34" s="69">
        <f>+C34*D34</f>
        <v>91274.437835838442</v>
      </c>
      <c r="F34" s="69">
        <v>0.24</v>
      </c>
      <c r="G34" s="105">
        <f>+E34*F34</f>
        <v>21905.865080601227</v>
      </c>
      <c r="H34" s="72"/>
    </row>
    <row r="35" spans="1:8">
      <c r="A35" s="83" t="s">
        <v>624</v>
      </c>
      <c r="B35" s="84"/>
      <c r="C35" s="103">
        <f>+SALARIOS!C50</f>
        <v>41660</v>
      </c>
      <c r="D35" s="104">
        <f>+SALARIOS!C48</f>
        <v>1.7846558312967005</v>
      </c>
      <c r="E35" s="69">
        <f>+C35*D35</f>
        <v>74348.76193182054</v>
      </c>
      <c r="F35" s="69">
        <v>0.24</v>
      </c>
      <c r="G35" s="105">
        <f>+E35*F35</f>
        <v>17843.702863636929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39749.567944238152</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143275.72473866196</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21491.358710799293</v>
      </c>
      <c r="H43" s="117"/>
    </row>
    <row r="44" spans="1:8">
      <c r="A44" s="83" t="s">
        <v>513</v>
      </c>
      <c r="B44" s="84"/>
      <c r="C44" s="84"/>
      <c r="D44" s="84"/>
      <c r="E44" s="85"/>
      <c r="F44" s="115">
        <f>(SALARIOS!C46)</f>
        <v>0.05</v>
      </c>
      <c r="G44" s="116">
        <f>+F44*H40</f>
        <v>7163.7862369330978</v>
      </c>
      <c r="H44" s="117"/>
    </row>
    <row r="45" spans="1:8" ht="15.75" thickBot="1">
      <c r="A45" s="89" t="s">
        <v>514</v>
      </c>
      <c r="B45" s="90"/>
      <c r="C45" s="90"/>
      <c r="D45" s="90"/>
      <c r="E45" s="91"/>
      <c r="F45" s="118">
        <f>SALARIOS!C47</f>
        <v>0.05</v>
      </c>
      <c r="G45" s="119">
        <f>+F45*H40</f>
        <v>7163.7862369330978</v>
      </c>
      <c r="H45" s="80"/>
    </row>
    <row r="46" spans="1:8" ht="15.75" thickBot="1">
      <c r="A46" s="61"/>
      <c r="B46" s="61"/>
      <c r="C46" s="61"/>
      <c r="D46" s="61"/>
      <c r="E46" s="61"/>
      <c r="F46" s="61"/>
      <c r="G46" s="81" t="s">
        <v>491</v>
      </c>
      <c r="H46" s="120">
        <f>SUM(G43:G45)</f>
        <v>35818.931184665489</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179095</v>
      </c>
    </row>
  </sheetData>
  <mergeCells count="12">
    <mergeCell ref="A33:B33"/>
    <mergeCell ref="A3:C4"/>
    <mergeCell ref="A5:C5"/>
    <mergeCell ref="D5:H5"/>
    <mergeCell ref="A11:C11"/>
    <mergeCell ref="A14:C14"/>
    <mergeCell ref="A15:C15"/>
    <mergeCell ref="A16:C16"/>
    <mergeCell ref="A17:C17"/>
    <mergeCell ref="A20:C20"/>
    <mergeCell ref="A27:B27"/>
    <mergeCell ref="A7:E7"/>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H48"/>
  <sheetViews>
    <sheetView workbookViewId="0">
      <selection activeCell="J18" sqref="J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5.5" customHeight="1">
      <c r="A7" s="1479" t="s">
        <v>1948</v>
      </c>
      <c r="B7" s="1479"/>
      <c r="C7" s="1479"/>
      <c r="D7" s="1479"/>
      <c r="E7" s="1479"/>
      <c r="F7" s="16"/>
      <c r="G7" s="62" t="s">
        <v>716</v>
      </c>
      <c r="H7" s="61"/>
    </row>
    <row r="8" spans="1:8">
      <c r="A8" s="60" t="s">
        <v>717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4637.4495934944525</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4637.4495934944525</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718</v>
      </c>
      <c r="B21" s="84"/>
      <c r="C21" s="85"/>
      <c r="D21" s="141" t="s">
        <v>1</v>
      </c>
      <c r="E21" s="139">
        <f>+MATERIALES!D286</f>
        <v>129177.60000000001</v>
      </c>
      <c r="F21" s="163">
        <v>1</v>
      </c>
      <c r="G21" s="137">
        <f>+E21*F21</f>
        <v>129177.60000000001</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129177.60000000001</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553</v>
      </c>
      <c r="B34" s="84"/>
      <c r="C34" s="103">
        <f>+SALARIOS!C49*2</f>
        <v>51144</v>
      </c>
      <c r="D34" s="104">
        <f>+SALARIOS!C48</f>
        <v>1.7846558312967005</v>
      </c>
      <c r="E34" s="69">
        <f>+C34*D34</f>
        <v>91274.437835838442</v>
      </c>
      <c r="F34" s="69">
        <v>0.28000000000000003</v>
      </c>
      <c r="G34" s="105">
        <f>+E34*F34</f>
        <v>25556.842594034766</v>
      </c>
      <c r="H34" s="72"/>
    </row>
    <row r="35" spans="1:8">
      <c r="A35" s="83" t="s">
        <v>624</v>
      </c>
      <c r="B35" s="84"/>
      <c r="C35" s="103">
        <f>+SALARIOS!C50</f>
        <v>41660</v>
      </c>
      <c r="D35" s="104">
        <f>+SALARIOS!C48</f>
        <v>1.7846558312967005</v>
      </c>
      <c r="E35" s="69">
        <f>+C35*D35</f>
        <v>74348.76193182054</v>
      </c>
      <c r="F35" s="69">
        <v>0.28000000000000003</v>
      </c>
      <c r="G35" s="105">
        <f>+E35*F35</f>
        <v>20817.653340909754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46374.49593494452</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180189.54552843896</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27028.431829265843</v>
      </c>
      <c r="H43" s="117"/>
    </row>
    <row r="44" spans="1:8">
      <c r="A44" s="83" t="s">
        <v>513</v>
      </c>
      <c r="B44" s="84"/>
      <c r="C44" s="84"/>
      <c r="D44" s="84"/>
      <c r="E44" s="85"/>
      <c r="F44" s="115">
        <f>(SALARIOS!C46)</f>
        <v>0.05</v>
      </c>
      <c r="G44" s="116">
        <f>+F44*H40</f>
        <v>9009.4772764219488</v>
      </c>
      <c r="H44" s="117"/>
    </row>
    <row r="45" spans="1:8" ht="15.75" thickBot="1">
      <c r="A45" s="89" t="s">
        <v>514</v>
      </c>
      <c r="B45" s="90"/>
      <c r="C45" s="90"/>
      <c r="D45" s="90"/>
      <c r="E45" s="91"/>
      <c r="F45" s="118">
        <f>SALARIOS!C47</f>
        <v>0.05</v>
      </c>
      <c r="G45" s="119">
        <f>+F45*H40</f>
        <v>9009.4772764219488</v>
      </c>
      <c r="H45" s="80"/>
    </row>
    <row r="46" spans="1:8" ht="15.75" thickBot="1">
      <c r="A46" s="61"/>
      <c r="B46" s="61"/>
      <c r="C46" s="61"/>
      <c r="D46" s="61"/>
      <c r="E46" s="61"/>
      <c r="F46" s="61"/>
      <c r="G46" s="81" t="s">
        <v>491</v>
      </c>
      <c r="H46" s="120">
        <f>SUM(G43:G45)</f>
        <v>45047.386382109748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225237</v>
      </c>
    </row>
  </sheetData>
  <mergeCells count="12">
    <mergeCell ref="A33:B33"/>
    <mergeCell ref="A3:C4"/>
    <mergeCell ref="A5:C5"/>
    <mergeCell ref="D5:H5"/>
    <mergeCell ref="A11:C11"/>
    <mergeCell ref="A14:C14"/>
    <mergeCell ref="A15:C15"/>
    <mergeCell ref="A16:C16"/>
    <mergeCell ref="A17:C17"/>
    <mergeCell ref="A20:C20"/>
    <mergeCell ref="A27:B27"/>
    <mergeCell ref="A7:E7"/>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H48"/>
  <sheetViews>
    <sheetView workbookViewId="0">
      <selection activeCell="J18" sqref="J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4.75" customHeight="1">
      <c r="A7" s="1479" t="s">
        <v>1948</v>
      </c>
      <c r="B7" s="1479"/>
      <c r="C7" s="1479"/>
      <c r="D7" s="1479"/>
      <c r="E7" s="1479"/>
      <c r="F7" s="16"/>
      <c r="G7" s="62" t="s">
        <v>719</v>
      </c>
      <c r="H7" s="61"/>
    </row>
    <row r="8" spans="1:8">
      <c r="A8" s="60" t="s">
        <v>720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4968.6959930297699</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4968.6959930297699</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721</v>
      </c>
      <c r="B21" s="84"/>
      <c r="C21" s="85"/>
      <c r="D21" s="141" t="s">
        <v>1</v>
      </c>
      <c r="E21" s="139">
        <f>+MATERIALES!D287</f>
        <v>173953.59999999998</v>
      </c>
      <c r="F21" s="163">
        <v>1</v>
      </c>
      <c r="G21" s="137">
        <f>+E21*F21</f>
        <v>173953.59999999998</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173953.59999999998</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553</v>
      </c>
      <c r="B34" s="84"/>
      <c r="C34" s="103">
        <f>+SALARIOS!C49*2</f>
        <v>51144</v>
      </c>
      <c r="D34" s="104">
        <f>+SALARIOS!C48</f>
        <v>1.7846558312967005</v>
      </c>
      <c r="E34" s="69">
        <f>+C34*D34</f>
        <v>91274.437835838442</v>
      </c>
      <c r="F34" s="69">
        <v>0.3</v>
      </c>
      <c r="G34" s="105">
        <f>+E34*F34</f>
        <v>27382.33135075153</v>
      </c>
      <c r="H34" s="72"/>
    </row>
    <row r="35" spans="1:8">
      <c r="A35" s="83" t="s">
        <v>624</v>
      </c>
      <c r="B35" s="84"/>
      <c r="C35" s="103">
        <f>+SALARIOS!C50</f>
        <v>41660</v>
      </c>
      <c r="D35" s="104">
        <f>+SALARIOS!C48</f>
        <v>1.7846558312967005</v>
      </c>
      <c r="E35" s="69">
        <f>+C35*D35</f>
        <v>74348.76193182054</v>
      </c>
      <c r="F35" s="69">
        <v>0.3</v>
      </c>
      <c r="G35" s="105">
        <f>+E35*F35</f>
        <v>22304.628579546163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49686.959930297693</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228609.25592332744</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34291.388388499116</v>
      </c>
      <c r="H43" s="117"/>
    </row>
    <row r="44" spans="1:8">
      <c r="A44" s="83" t="s">
        <v>513</v>
      </c>
      <c r="B44" s="84"/>
      <c r="C44" s="84"/>
      <c r="D44" s="84"/>
      <c r="E44" s="85"/>
      <c r="F44" s="115">
        <f>(SALARIOS!C46)</f>
        <v>0.05</v>
      </c>
      <c r="G44" s="116">
        <f>+F44*H40</f>
        <v>11430.462796166372</v>
      </c>
      <c r="H44" s="117"/>
    </row>
    <row r="45" spans="1:8" ht="15.75" thickBot="1">
      <c r="A45" s="89" t="s">
        <v>514</v>
      </c>
      <c r="B45" s="90"/>
      <c r="C45" s="90"/>
      <c r="D45" s="90"/>
      <c r="E45" s="91"/>
      <c r="F45" s="118">
        <f>SALARIOS!C47</f>
        <v>0.05</v>
      </c>
      <c r="G45" s="119">
        <f>+F45*H40</f>
        <v>11430.462796166372</v>
      </c>
      <c r="H45" s="80"/>
    </row>
    <row r="46" spans="1:8" ht="15.75" thickBot="1">
      <c r="A46" s="61"/>
      <c r="B46" s="61"/>
      <c r="C46" s="61"/>
      <c r="D46" s="61"/>
      <c r="E46" s="61"/>
      <c r="F46" s="61"/>
      <c r="G46" s="81" t="s">
        <v>491</v>
      </c>
      <c r="H46" s="120">
        <f>SUM(G43:G45)</f>
        <v>57152.313980831859</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285762</v>
      </c>
    </row>
  </sheetData>
  <mergeCells count="12">
    <mergeCell ref="A33:B33"/>
    <mergeCell ref="A3:C4"/>
    <mergeCell ref="A5:C5"/>
    <mergeCell ref="D5:H5"/>
    <mergeCell ref="A11:C11"/>
    <mergeCell ref="A14:C14"/>
    <mergeCell ref="A15:C15"/>
    <mergeCell ref="A16:C16"/>
    <mergeCell ref="A17:C17"/>
    <mergeCell ref="A20:C20"/>
    <mergeCell ref="A27:B27"/>
    <mergeCell ref="A7:E7"/>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H48"/>
  <sheetViews>
    <sheetView workbookViewId="0">
      <selection activeCell="J17" sqref="J1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5.5" customHeight="1">
      <c r="A7" s="1479" t="s">
        <v>1948</v>
      </c>
      <c r="B7" s="1479"/>
      <c r="C7" s="1479"/>
      <c r="D7" s="1479"/>
      <c r="E7" s="1479"/>
      <c r="F7" s="16"/>
      <c r="G7" s="62" t="s">
        <v>722</v>
      </c>
      <c r="H7" s="61"/>
    </row>
    <row r="8" spans="1:8">
      <c r="A8" s="60" t="s">
        <v>723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95" t="s">
        <v>486</v>
      </c>
      <c r="E11" s="65" t="s">
        <v>487</v>
      </c>
      <c r="F11" s="195" t="s">
        <v>488</v>
      </c>
      <c r="G11" s="194" t="s">
        <v>489</v>
      </c>
      <c r="H11" s="67"/>
    </row>
    <row r="12" spans="1:8">
      <c r="A12" s="175" t="s">
        <v>1327</v>
      </c>
      <c r="B12" s="176"/>
      <c r="C12" s="174"/>
      <c r="D12" s="174"/>
      <c r="E12" s="173"/>
      <c r="F12" s="69"/>
      <c r="G12" s="173">
        <f>H38*10%</f>
        <v>5299.9423925650881</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5299.9423925650881</v>
      </c>
    </row>
    <row r="19" spans="1:8" ht="15.75" thickBot="1">
      <c r="A19" s="63" t="s">
        <v>492</v>
      </c>
      <c r="B19" s="63"/>
      <c r="C19" s="61"/>
      <c r="D19" s="61"/>
      <c r="E19" s="61"/>
      <c r="F19" s="61"/>
      <c r="G19" s="61"/>
      <c r="H19" s="61"/>
    </row>
    <row r="20" spans="1:8">
      <c r="A20" s="1472" t="s">
        <v>485</v>
      </c>
      <c r="B20" s="1473"/>
      <c r="C20" s="1474"/>
      <c r="D20" s="207" t="s">
        <v>493</v>
      </c>
      <c r="E20" s="207" t="s">
        <v>494</v>
      </c>
      <c r="F20" s="207" t="s">
        <v>495</v>
      </c>
      <c r="G20" s="206" t="s">
        <v>489</v>
      </c>
      <c r="H20" s="67"/>
    </row>
    <row r="21" spans="1:8" ht="26.25" customHeight="1">
      <c r="A21" s="1478" t="s">
        <v>724</v>
      </c>
      <c r="B21" s="1470"/>
      <c r="C21" s="1471"/>
      <c r="D21" s="141" t="s">
        <v>1</v>
      </c>
      <c r="E21" s="139">
        <f>+MATERIALES!D288</f>
        <v>210052.8</v>
      </c>
      <c r="F21" s="163">
        <v>1</v>
      </c>
      <c r="G21" s="137">
        <f>+E21*F21</f>
        <v>210052.8</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210052.8</v>
      </c>
    </row>
    <row r="26" spans="1:8" ht="15.75" thickBot="1">
      <c r="A26" s="92" t="s">
        <v>496</v>
      </c>
      <c r="B26" s="92"/>
      <c r="C26" s="90"/>
      <c r="D26" s="61"/>
      <c r="E26" s="61"/>
      <c r="F26" s="61"/>
      <c r="G26" s="61"/>
      <c r="H26" s="61"/>
    </row>
    <row r="27" spans="1:8">
      <c r="A27" s="1454" t="s">
        <v>497</v>
      </c>
      <c r="B27" s="1456"/>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0.32</v>
      </c>
      <c r="G34" s="105">
        <f>+E34*F34</f>
        <v>29207.820107468302</v>
      </c>
      <c r="H34" s="72"/>
    </row>
    <row r="35" spans="1:8">
      <c r="A35" s="83" t="s">
        <v>624</v>
      </c>
      <c r="B35" s="84"/>
      <c r="C35" s="103">
        <f>+SALARIOS!C50</f>
        <v>41660</v>
      </c>
      <c r="D35" s="104">
        <f>+SALARIOS!C48</f>
        <v>1.7846558312967005</v>
      </c>
      <c r="E35" s="69">
        <f>+C35*D35</f>
        <v>74348.76193182054</v>
      </c>
      <c r="F35" s="69">
        <v>0.32</v>
      </c>
      <c r="G35" s="105">
        <f>+E35*F35</f>
        <v>23791.603818182572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52999.423925650874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268352.16631821595</v>
      </c>
    </row>
    <row r="41" spans="1:8" ht="15.75" thickBot="1">
      <c r="A41" s="63" t="s">
        <v>509</v>
      </c>
      <c r="B41" s="63"/>
      <c r="C41" s="61"/>
      <c r="D41" s="61"/>
      <c r="E41" s="61"/>
      <c r="F41" s="61"/>
      <c r="G41" s="61"/>
      <c r="H41" s="61"/>
    </row>
    <row r="42" spans="1:8">
      <c r="A42" s="110" t="s">
        <v>485</v>
      </c>
      <c r="B42" s="111"/>
      <c r="C42" s="111"/>
      <c r="D42" s="111"/>
      <c r="E42" s="112"/>
      <c r="F42" s="207" t="s">
        <v>510</v>
      </c>
      <c r="G42" s="206" t="s">
        <v>511</v>
      </c>
      <c r="H42" s="67"/>
    </row>
    <row r="43" spans="1:8">
      <c r="A43" s="83" t="s">
        <v>512</v>
      </c>
      <c r="B43" s="84"/>
      <c r="C43" s="84"/>
      <c r="D43" s="84"/>
      <c r="E43" s="85"/>
      <c r="F43" s="115">
        <f>(SALARIOS!C45)</f>
        <v>0.15</v>
      </c>
      <c r="G43" s="116">
        <f>++F43*H40</f>
        <v>40252.824947732392</v>
      </c>
      <c r="H43" s="117"/>
    </row>
    <row r="44" spans="1:8">
      <c r="A44" s="83" t="s">
        <v>513</v>
      </c>
      <c r="B44" s="84"/>
      <c r="C44" s="84"/>
      <c r="D44" s="84"/>
      <c r="E44" s="85"/>
      <c r="F44" s="115">
        <f>(SALARIOS!C46)</f>
        <v>0.05</v>
      </c>
      <c r="G44" s="116">
        <f>+F44*H40</f>
        <v>13417.608315910798</v>
      </c>
      <c r="H44" s="117"/>
    </row>
    <row r="45" spans="1:8" ht="15.75" thickBot="1">
      <c r="A45" s="89" t="s">
        <v>514</v>
      </c>
      <c r="B45" s="90"/>
      <c r="C45" s="90"/>
      <c r="D45" s="90"/>
      <c r="E45" s="91"/>
      <c r="F45" s="118">
        <f>SALARIOS!C47</f>
        <v>0.05</v>
      </c>
      <c r="G45" s="119">
        <f>+F45*H40</f>
        <v>13417.608315910798</v>
      </c>
      <c r="H45" s="80"/>
    </row>
    <row r="46" spans="1:8" ht="15.75" thickBot="1">
      <c r="A46" s="61"/>
      <c r="B46" s="61"/>
      <c r="C46" s="61"/>
      <c r="D46" s="61"/>
      <c r="E46" s="61"/>
      <c r="F46" s="61"/>
      <c r="G46" s="81" t="s">
        <v>491</v>
      </c>
      <c r="H46" s="120">
        <f>SUM(G43:G45)</f>
        <v>67088.041579553988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335440</v>
      </c>
    </row>
  </sheetData>
  <mergeCells count="13">
    <mergeCell ref="A33:B33"/>
    <mergeCell ref="A3:C4"/>
    <mergeCell ref="A5:C5"/>
    <mergeCell ref="D5:H5"/>
    <mergeCell ref="A11:C11"/>
    <mergeCell ref="A14:C14"/>
    <mergeCell ref="A15:C15"/>
    <mergeCell ref="A16:C16"/>
    <mergeCell ref="A17:C17"/>
    <mergeCell ref="A20:C20"/>
    <mergeCell ref="A27:B27"/>
    <mergeCell ref="A21:C21"/>
    <mergeCell ref="A7:E7"/>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H48"/>
  <sheetViews>
    <sheetView topLeftCell="A25" workbookViewId="0">
      <selection activeCell="J20" sqref="J2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4.75" customHeight="1">
      <c r="A7" s="1479" t="s">
        <v>1948</v>
      </c>
      <c r="B7" s="1479"/>
      <c r="C7" s="1479"/>
      <c r="D7" s="1479"/>
      <c r="E7" s="1479"/>
      <c r="F7" s="16"/>
      <c r="G7" s="62" t="s">
        <v>725</v>
      </c>
      <c r="H7" s="61"/>
    </row>
    <row r="8" spans="1:8">
      <c r="A8" s="60" t="s">
        <v>726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95" t="s">
        <v>486</v>
      </c>
      <c r="E11" s="65" t="s">
        <v>487</v>
      </c>
      <c r="F11" s="195" t="s">
        <v>488</v>
      </c>
      <c r="G11" s="194" t="s">
        <v>489</v>
      </c>
      <c r="H11" s="67"/>
    </row>
    <row r="12" spans="1:8">
      <c r="A12" s="175" t="s">
        <v>1327</v>
      </c>
      <c r="B12" s="176"/>
      <c r="C12" s="174"/>
      <c r="D12" s="174"/>
      <c r="E12" s="173"/>
      <c r="F12" s="69"/>
      <c r="G12" s="173">
        <f>H38*10%</f>
        <v>6760.3333979385034</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6760.3333979385034</v>
      </c>
    </row>
    <row r="19" spans="1:8" ht="15.75" thickBot="1">
      <c r="A19" s="63" t="s">
        <v>492</v>
      </c>
      <c r="B19" s="63"/>
      <c r="C19" s="61"/>
      <c r="D19" s="61"/>
      <c r="E19" s="61"/>
      <c r="F19" s="61"/>
      <c r="G19" s="61"/>
      <c r="H19" s="61"/>
    </row>
    <row r="20" spans="1:8">
      <c r="A20" s="1472" t="s">
        <v>485</v>
      </c>
      <c r="B20" s="1473"/>
      <c r="C20" s="1474"/>
      <c r="D20" s="207" t="s">
        <v>493</v>
      </c>
      <c r="E20" s="207" t="s">
        <v>494</v>
      </c>
      <c r="F20" s="207" t="s">
        <v>495</v>
      </c>
      <c r="G20" s="206" t="s">
        <v>489</v>
      </c>
      <c r="H20" s="67"/>
    </row>
    <row r="21" spans="1:8">
      <c r="A21" s="127" t="s">
        <v>727</v>
      </c>
      <c r="B21" s="84"/>
      <c r="C21" s="85"/>
      <c r="D21" s="141" t="s">
        <v>1</v>
      </c>
      <c r="E21" s="139">
        <f>+MATERIALES!D289</f>
        <v>301948</v>
      </c>
      <c r="F21" s="163">
        <v>1</v>
      </c>
      <c r="G21" s="137">
        <f>+E21*F21</f>
        <v>301948</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301948</v>
      </c>
    </row>
    <row r="26" spans="1:8" ht="15.75" thickBot="1">
      <c r="A26" s="92" t="s">
        <v>496</v>
      </c>
      <c r="B26" s="92"/>
      <c r="C26" s="90"/>
      <c r="D26" s="61"/>
      <c r="E26" s="61"/>
      <c r="F26" s="61"/>
      <c r="G26" s="61"/>
      <c r="H26" s="61"/>
    </row>
    <row r="27" spans="1:8">
      <c r="A27" s="1454" t="s">
        <v>497</v>
      </c>
      <c r="B27" s="1456"/>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95" t="s">
        <v>504</v>
      </c>
      <c r="D33" s="195" t="s">
        <v>505</v>
      </c>
      <c r="E33" s="124" t="s">
        <v>506</v>
      </c>
      <c r="F33" s="102" t="s">
        <v>488</v>
      </c>
      <c r="G33" s="194" t="s">
        <v>489</v>
      </c>
      <c r="H33" s="67"/>
    </row>
    <row r="34" spans="1:8">
      <c r="A34" s="83" t="s">
        <v>659</v>
      </c>
      <c r="B34" s="84"/>
      <c r="C34" s="103">
        <f>+SALARIOS!C49*3</f>
        <v>76716</v>
      </c>
      <c r="D34" s="104">
        <f>+SALARIOS!C48</f>
        <v>1.7846558312967005</v>
      </c>
      <c r="E34" s="69">
        <f>+C34*D34</f>
        <v>136911.65675375768</v>
      </c>
      <c r="F34" s="69">
        <v>0.32</v>
      </c>
      <c r="G34" s="105">
        <f>+E34*F34</f>
        <v>43811.73016120246</v>
      </c>
      <c r="H34" s="72"/>
    </row>
    <row r="35" spans="1:8">
      <c r="A35" s="83" t="s">
        <v>624</v>
      </c>
      <c r="B35" s="84"/>
      <c r="C35" s="103">
        <f>+SALARIOS!C50</f>
        <v>41660</v>
      </c>
      <c r="D35" s="104">
        <f>+SALARIOS!C48</f>
        <v>1.7846558312967005</v>
      </c>
      <c r="E35" s="69">
        <f>+C35*D35</f>
        <v>74348.76193182054</v>
      </c>
      <c r="F35" s="69">
        <v>0.32</v>
      </c>
      <c r="G35" s="105">
        <f>+E35*F35</f>
        <v>23791.603818182572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67603.333979385032</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376311.66737732355</v>
      </c>
    </row>
    <row r="41" spans="1:8" ht="15.75" thickBot="1">
      <c r="A41" s="63" t="s">
        <v>509</v>
      </c>
      <c r="B41" s="63"/>
      <c r="C41" s="61"/>
      <c r="D41" s="61"/>
      <c r="E41" s="61"/>
      <c r="F41" s="61"/>
      <c r="G41" s="61"/>
      <c r="H41" s="61"/>
    </row>
    <row r="42" spans="1:8">
      <c r="A42" s="110" t="s">
        <v>485</v>
      </c>
      <c r="B42" s="111"/>
      <c r="C42" s="111"/>
      <c r="D42" s="111"/>
      <c r="E42" s="112"/>
      <c r="F42" s="207" t="s">
        <v>510</v>
      </c>
      <c r="G42" s="206" t="s">
        <v>511</v>
      </c>
      <c r="H42" s="67"/>
    </row>
    <row r="43" spans="1:8">
      <c r="A43" s="83" t="s">
        <v>512</v>
      </c>
      <c r="B43" s="84"/>
      <c r="C43" s="84"/>
      <c r="D43" s="84"/>
      <c r="E43" s="85"/>
      <c r="F43" s="115">
        <f>(SALARIOS!C45)</f>
        <v>0.15</v>
      </c>
      <c r="G43" s="116">
        <f>++F43*H40</f>
        <v>56446.750106598534</v>
      </c>
      <c r="H43" s="117"/>
    </row>
    <row r="44" spans="1:8">
      <c r="A44" s="83" t="s">
        <v>513</v>
      </c>
      <c r="B44" s="84"/>
      <c r="C44" s="84"/>
      <c r="D44" s="84"/>
      <c r="E44" s="85"/>
      <c r="F44" s="115">
        <f>(SALARIOS!C46)</f>
        <v>0.05</v>
      </c>
      <c r="G44" s="116">
        <f>+F44*H40</f>
        <v>18815.583368866177</v>
      </c>
      <c r="H44" s="117"/>
    </row>
    <row r="45" spans="1:8" ht="15.75" thickBot="1">
      <c r="A45" s="89" t="s">
        <v>514</v>
      </c>
      <c r="B45" s="90"/>
      <c r="C45" s="90"/>
      <c r="D45" s="90"/>
      <c r="E45" s="91"/>
      <c r="F45" s="118">
        <f>SALARIOS!C47</f>
        <v>0.05</v>
      </c>
      <c r="G45" s="119">
        <f>+F45*H40</f>
        <v>18815.583368866177</v>
      </c>
      <c r="H45" s="80"/>
    </row>
    <row r="46" spans="1:8" ht="15.75" thickBot="1">
      <c r="A46" s="61"/>
      <c r="B46" s="61"/>
      <c r="C46" s="61"/>
      <c r="D46" s="61"/>
      <c r="E46" s="61"/>
      <c r="F46" s="61"/>
      <c r="G46" s="81" t="s">
        <v>491</v>
      </c>
      <c r="H46" s="120">
        <f>SUM(G43:G45)</f>
        <v>94077.916844330888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470390</v>
      </c>
    </row>
  </sheetData>
  <mergeCells count="12">
    <mergeCell ref="A33:B33"/>
    <mergeCell ref="A3:C4"/>
    <mergeCell ref="A5:C5"/>
    <mergeCell ref="D5:H5"/>
    <mergeCell ref="A11:C11"/>
    <mergeCell ref="A14:C14"/>
    <mergeCell ref="A15:C15"/>
    <mergeCell ref="A16:C16"/>
    <mergeCell ref="A17:C17"/>
    <mergeCell ref="A20:C20"/>
    <mergeCell ref="A27:B27"/>
    <mergeCell ref="A7:E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0"/>
  <sheetViews>
    <sheetView topLeftCell="A13" workbookViewId="0">
      <selection activeCell="F28" sqref="F28"/>
    </sheetView>
  </sheetViews>
  <sheetFormatPr baseColWidth="10" defaultRowHeight="15"/>
  <cols>
    <col min="1" max="1" width="11.5703125" customWidth="1"/>
    <col min="2" max="2" width="10.42578125" customWidth="1"/>
    <col min="3" max="3" width="14.140625" customWidth="1"/>
  </cols>
  <sheetData>
    <row r="1" spans="1:8">
      <c r="A1" s="16"/>
      <c r="B1" s="16"/>
      <c r="C1" s="16"/>
      <c r="D1" s="16"/>
      <c r="E1" s="16"/>
      <c r="F1" s="16"/>
      <c r="G1" s="16"/>
      <c r="H1" s="16"/>
    </row>
    <row r="2" spans="1:8" ht="15.75" thickBot="1">
      <c r="A2" s="16"/>
      <c r="B2" s="16"/>
      <c r="C2" s="16"/>
      <c r="D2" s="16"/>
      <c r="E2" s="16"/>
      <c r="F2" s="16"/>
      <c r="G2" s="16"/>
      <c r="H2" s="16"/>
    </row>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521</v>
      </c>
      <c r="B7" s="62"/>
      <c r="C7" s="61"/>
      <c r="D7" s="16"/>
      <c r="E7" s="62"/>
      <c r="F7" s="16"/>
      <c r="G7" s="62" t="s">
        <v>527</v>
      </c>
      <c r="H7" s="61"/>
    </row>
    <row r="8" spans="1:8">
      <c r="A8" s="60" t="s">
        <v>528</v>
      </c>
      <c r="B8" s="62"/>
      <c r="C8" s="61"/>
      <c r="D8" s="62"/>
      <c r="E8" s="62"/>
      <c r="F8" s="62"/>
      <c r="G8" s="62" t="s">
        <v>529</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64" t="s">
        <v>486</v>
      </c>
      <c r="E11" s="65" t="s">
        <v>487</v>
      </c>
      <c r="F11" s="64" t="s">
        <v>488</v>
      </c>
      <c r="G11" s="66" t="s">
        <v>489</v>
      </c>
      <c r="H11" s="67"/>
    </row>
    <row r="12" spans="1:8">
      <c r="A12" s="1460"/>
      <c r="B12" s="1461"/>
      <c r="C12" s="1462"/>
      <c r="D12" s="68"/>
      <c r="E12" s="69"/>
      <c r="F12" s="70"/>
      <c r="G12" s="71"/>
      <c r="H12" s="72"/>
    </row>
    <row r="13" spans="1:8">
      <c r="A13" s="1463"/>
      <c r="B13" s="1464"/>
      <c r="C13" s="1465"/>
      <c r="D13" s="73"/>
      <c r="E13" s="74"/>
      <c r="F13" s="75"/>
      <c r="G13" s="71"/>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0</v>
      </c>
    </row>
    <row r="19" spans="1:8" ht="15.75" thickBot="1">
      <c r="A19" s="63" t="s">
        <v>492</v>
      </c>
      <c r="B19" s="63"/>
      <c r="C19" s="61"/>
      <c r="D19" s="61"/>
      <c r="E19" s="61"/>
      <c r="F19" s="61"/>
      <c r="G19" s="61"/>
      <c r="H19" s="61"/>
    </row>
    <row r="20" spans="1:8">
      <c r="A20" s="1454" t="s">
        <v>485</v>
      </c>
      <c r="B20" s="1455"/>
      <c r="C20" s="1456"/>
      <c r="D20" s="64" t="s">
        <v>493</v>
      </c>
      <c r="E20" s="64" t="s">
        <v>494</v>
      </c>
      <c r="F20" s="64" t="s">
        <v>495</v>
      </c>
      <c r="G20" s="66" t="s">
        <v>489</v>
      </c>
      <c r="H20" s="67"/>
    </row>
    <row r="21" spans="1:8">
      <c r="A21" s="83"/>
      <c r="B21" s="84"/>
      <c r="C21" s="85"/>
      <c r="D21" s="68"/>
      <c r="E21" s="86"/>
      <c r="F21" s="70"/>
      <c r="G21" s="71"/>
      <c r="H21" s="72"/>
    </row>
    <row r="22" spans="1:8">
      <c r="A22" s="83"/>
      <c r="B22" s="84"/>
      <c r="C22" s="85"/>
      <c r="D22" s="68"/>
      <c r="E22" s="86"/>
      <c r="F22" s="70"/>
      <c r="G22" s="71"/>
      <c r="H22" s="72"/>
    </row>
    <row r="23" spans="1:8">
      <c r="A23" s="83"/>
      <c r="B23" s="84"/>
      <c r="C23" s="85"/>
      <c r="D23" s="73"/>
      <c r="E23" s="74"/>
      <c r="F23" s="87"/>
      <c r="G23" s="88"/>
      <c r="H23" s="72"/>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64" t="s">
        <v>499</v>
      </c>
      <c r="E27" s="64" t="s">
        <v>500</v>
      </c>
      <c r="F27" s="64" t="s">
        <v>501</v>
      </c>
      <c r="G27" s="94" t="s">
        <v>489</v>
      </c>
      <c r="H27" s="67"/>
    </row>
    <row r="28" spans="1:8">
      <c r="A28" s="83" t="s">
        <v>1331</v>
      </c>
      <c r="B28" s="84"/>
      <c r="C28" s="95"/>
      <c r="D28" s="96">
        <v>1</v>
      </c>
      <c r="E28" s="96">
        <v>1</v>
      </c>
      <c r="F28" s="97">
        <f>+'EQUIPOS '!D31</f>
        <v>1060</v>
      </c>
      <c r="G28" s="69">
        <f>D28*E28*F28</f>
        <v>1060</v>
      </c>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1060</v>
      </c>
    </row>
    <row r="32" spans="1:8" ht="15.75" thickBot="1">
      <c r="A32" s="92" t="s">
        <v>502</v>
      </c>
      <c r="B32" s="92"/>
      <c r="C32" s="61"/>
      <c r="D32" s="61"/>
      <c r="E32" s="61"/>
      <c r="F32" s="61"/>
      <c r="G32" s="61"/>
      <c r="H32" s="61"/>
    </row>
    <row r="33" spans="1:8">
      <c r="A33" s="1454" t="s">
        <v>503</v>
      </c>
      <c r="B33" s="1456"/>
      <c r="C33" s="102" t="s">
        <v>504</v>
      </c>
      <c r="D33" s="64" t="s">
        <v>505</v>
      </c>
      <c r="E33" s="65" t="s">
        <v>506</v>
      </c>
      <c r="F33" s="102" t="s">
        <v>488</v>
      </c>
      <c r="G33" s="66"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91"/>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1060</v>
      </c>
    </row>
    <row r="41" spans="1:8" ht="15.75" thickBot="1">
      <c r="A41" s="63" t="s">
        <v>509</v>
      </c>
      <c r="B41" s="63"/>
      <c r="C41" s="61"/>
      <c r="D41" s="61"/>
      <c r="E41" s="61"/>
      <c r="F41" s="61"/>
      <c r="G41" s="61"/>
      <c r="H41" s="61"/>
    </row>
    <row r="42" spans="1:8">
      <c r="A42" s="110" t="s">
        <v>485</v>
      </c>
      <c r="B42" s="111"/>
      <c r="C42" s="111"/>
      <c r="D42" s="111"/>
      <c r="E42" s="112"/>
      <c r="F42" s="113" t="s">
        <v>510</v>
      </c>
      <c r="G42" s="114" t="s">
        <v>511</v>
      </c>
      <c r="H42" s="67"/>
    </row>
    <row r="43" spans="1:8">
      <c r="A43" s="83" t="s">
        <v>512</v>
      </c>
      <c r="B43" s="84"/>
      <c r="C43" s="84"/>
      <c r="D43" s="84"/>
      <c r="E43" s="85"/>
      <c r="F43" s="115">
        <f>SALARIOS!C45</f>
        <v>0.15</v>
      </c>
      <c r="G43" s="116">
        <f>++F43*H40</f>
        <v>159</v>
      </c>
      <c r="H43" s="117"/>
    </row>
    <row r="44" spans="1:8">
      <c r="A44" s="83" t="s">
        <v>513</v>
      </c>
      <c r="B44" s="84"/>
      <c r="C44" s="84"/>
      <c r="D44" s="84"/>
      <c r="E44" s="85"/>
      <c r="F44" s="115">
        <f>SALARIOS!C46</f>
        <v>0.05</v>
      </c>
      <c r="G44" s="116">
        <f>+F44*H40</f>
        <v>53</v>
      </c>
      <c r="H44" s="117"/>
    </row>
    <row r="45" spans="1:8" ht="15.75" thickBot="1">
      <c r="A45" s="89" t="s">
        <v>514</v>
      </c>
      <c r="B45" s="90"/>
      <c r="C45" s="90"/>
      <c r="D45" s="90"/>
      <c r="E45" s="91"/>
      <c r="F45" s="118">
        <f>SALARIOS!C47</f>
        <v>0.05</v>
      </c>
      <c r="G45" s="119">
        <f>+F45*H40</f>
        <v>53</v>
      </c>
      <c r="H45" s="80"/>
    </row>
    <row r="46" spans="1:8" ht="15.75" thickBot="1">
      <c r="A46" s="61"/>
      <c r="B46" s="61"/>
      <c r="C46" s="61"/>
      <c r="D46" s="61"/>
      <c r="E46" s="61"/>
      <c r="F46" s="61"/>
      <c r="G46" s="81" t="s">
        <v>491</v>
      </c>
      <c r="H46" s="120">
        <f>SUM(G43:G45)</f>
        <v>265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1325</v>
      </c>
    </row>
    <row r="49" spans="1:8">
      <c r="A49" s="16"/>
      <c r="B49" s="16"/>
      <c r="C49" s="16"/>
      <c r="D49" s="16"/>
      <c r="E49" s="16"/>
      <c r="F49" s="16"/>
      <c r="G49" s="16"/>
      <c r="H49" s="16"/>
    </row>
    <row r="50" spans="1:8">
      <c r="A50" s="16"/>
      <c r="B50" s="16"/>
      <c r="C50" s="16"/>
      <c r="D50" s="16"/>
      <c r="E50" s="16"/>
      <c r="F50" s="16"/>
      <c r="G50" s="16"/>
      <c r="H50" s="16"/>
    </row>
  </sheetData>
  <mergeCells count="13">
    <mergeCell ref="A33:B33"/>
    <mergeCell ref="A14:C14"/>
    <mergeCell ref="A15:C15"/>
    <mergeCell ref="A16:C16"/>
    <mergeCell ref="A17:C17"/>
    <mergeCell ref="A20:C20"/>
    <mergeCell ref="A27:B27"/>
    <mergeCell ref="A13:C13"/>
    <mergeCell ref="A3:C4"/>
    <mergeCell ref="A5:C5"/>
    <mergeCell ref="D5:H5"/>
    <mergeCell ref="A11:C11"/>
    <mergeCell ref="A12:C12"/>
  </mergeCells>
  <pageMargins left="0.7" right="0.7" top="0.75" bottom="0.75" header="0.3" footer="0.3"/>
  <pageSetup paperSize="9" scale="9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H48"/>
  <sheetViews>
    <sheetView workbookViewId="0">
      <selection activeCell="K14" sqref="K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22.5" customHeight="1">
      <c r="A7" s="1479" t="s">
        <v>1949</v>
      </c>
      <c r="B7" s="1479"/>
      <c r="C7" s="1479"/>
      <c r="D7" s="1479"/>
      <c r="E7" s="1479"/>
      <c r="F7" s="16"/>
      <c r="G7" s="62" t="s">
        <v>729</v>
      </c>
      <c r="H7" s="61"/>
    </row>
    <row r="8" spans="1:8">
      <c r="A8" s="60" t="s">
        <v>728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95" t="s">
        <v>486</v>
      </c>
      <c r="E11" s="65" t="s">
        <v>487</v>
      </c>
      <c r="F11" s="195" t="s">
        <v>488</v>
      </c>
      <c r="G11" s="194" t="s">
        <v>489</v>
      </c>
      <c r="H11" s="67"/>
    </row>
    <row r="12" spans="1:8">
      <c r="A12" s="175" t="s">
        <v>1327</v>
      </c>
      <c r="B12" s="176"/>
      <c r="C12" s="174"/>
      <c r="D12" s="174"/>
      <c r="E12" s="173"/>
      <c r="F12" s="69"/>
      <c r="G12" s="173">
        <f>H38*10%</f>
        <v>2471.9880562337162</v>
      </c>
      <c r="H12" s="72"/>
    </row>
    <row r="13" spans="1:8">
      <c r="A13" s="175"/>
      <c r="B13" s="165"/>
      <c r="C13" s="166"/>
      <c r="D13" s="167"/>
      <c r="E13" s="167"/>
      <c r="F13" s="167"/>
      <c r="G13" s="173"/>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2471.9880562337162</v>
      </c>
    </row>
    <row r="19" spans="1:8" ht="15.75" thickBot="1">
      <c r="A19" s="63" t="s">
        <v>492</v>
      </c>
      <c r="B19" s="63"/>
      <c r="C19" s="61"/>
      <c r="D19" s="61"/>
      <c r="E19" s="61"/>
      <c r="F19" s="61"/>
      <c r="G19" s="61"/>
      <c r="H19" s="61"/>
    </row>
    <row r="20" spans="1:8">
      <c r="A20" s="1472" t="s">
        <v>485</v>
      </c>
      <c r="B20" s="1473"/>
      <c r="C20" s="1474"/>
      <c r="D20" s="207" t="s">
        <v>493</v>
      </c>
      <c r="E20" s="207" t="s">
        <v>494</v>
      </c>
      <c r="F20" s="207" t="s">
        <v>495</v>
      </c>
      <c r="G20" s="206" t="s">
        <v>489</v>
      </c>
      <c r="H20" s="67"/>
    </row>
    <row r="21" spans="1:8">
      <c r="A21" s="127" t="s">
        <v>732</v>
      </c>
      <c r="B21" s="84"/>
      <c r="C21" s="85"/>
      <c r="D21" s="141" t="s">
        <v>1</v>
      </c>
      <c r="E21" s="139">
        <f>+MATERIALES!D281</f>
        <v>28681</v>
      </c>
      <c r="F21" s="163">
        <v>1</v>
      </c>
      <c r="G21" s="137">
        <f>+E21*F21</f>
        <v>28681</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28681</v>
      </c>
    </row>
    <row r="26" spans="1:8" ht="15.75" thickBot="1">
      <c r="A26" s="92" t="s">
        <v>496</v>
      </c>
      <c r="B26" s="92"/>
      <c r="C26" s="90"/>
      <c r="D26" s="61"/>
      <c r="E26" s="61"/>
      <c r="F26" s="61"/>
      <c r="G26" s="61"/>
      <c r="H26" s="61"/>
    </row>
    <row r="27" spans="1:8">
      <c r="A27" s="1454" t="s">
        <v>497</v>
      </c>
      <c r="B27" s="1456"/>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6.7</v>
      </c>
      <c r="G34" s="105">
        <f>+E34/F34</f>
        <v>13623.050423259469</v>
      </c>
      <c r="H34" s="72"/>
    </row>
    <row r="35" spans="1:8">
      <c r="A35" s="83" t="s">
        <v>624</v>
      </c>
      <c r="B35" s="84"/>
      <c r="C35" s="103">
        <f>+SALARIOS!C50</f>
        <v>41660</v>
      </c>
      <c r="D35" s="104">
        <f>+SALARIOS!C48</f>
        <v>1.7846558312967005</v>
      </c>
      <c r="E35" s="69">
        <f>+C35*D35</f>
        <v>74348.76193182054</v>
      </c>
      <c r="F35" s="69">
        <v>6.7</v>
      </c>
      <c r="G35" s="105">
        <f>+E35/F35</f>
        <v>11096.830139077692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24719.880562337159</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55872.868618570879</v>
      </c>
    </row>
    <row r="41" spans="1:8" ht="15.75" thickBot="1">
      <c r="A41" s="63" t="s">
        <v>509</v>
      </c>
      <c r="B41" s="63"/>
      <c r="C41" s="61"/>
      <c r="D41" s="61"/>
      <c r="E41" s="61"/>
      <c r="F41" s="61"/>
      <c r="G41" s="61"/>
      <c r="H41" s="61"/>
    </row>
    <row r="42" spans="1:8">
      <c r="A42" s="110" t="s">
        <v>485</v>
      </c>
      <c r="B42" s="111"/>
      <c r="C42" s="111"/>
      <c r="D42" s="111"/>
      <c r="E42" s="112"/>
      <c r="F42" s="207" t="s">
        <v>510</v>
      </c>
      <c r="G42" s="206" t="s">
        <v>511</v>
      </c>
      <c r="H42" s="67"/>
    </row>
    <row r="43" spans="1:8">
      <c r="A43" s="83" t="s">
        <v>512</v>
      </c>
      <c r="B43" s="84"/>
      <c r="C43" s="84"/>
      <c r="D43" s="84"/>
      <c r="E43" s="85"/>
      <c r="F43" s="115">
        <f>(SALARIOS!C45)</f>
        <v>0.15</v>
      </c>
      <c r="G43" s="116">
        <f>++F43*H40</f>
        <v>8380.9302927856315</v>
      </c>
      <c r="H43" s="117"/>
    </row>
    <row r="44" spans="1:8">
      <c r="A44" s="83" t="s">
        <v>513</v>
      </c>
      <c r="B44" s="84"/>
      <c r="C44" s="84"/>
      <c r="D44" s="84"/>
      <c r="E44" s="85"/>
      <c r="F44" s="115">
        <f>(SALARIOS!C46)</f>
        <v>0.05</v>
      </c>
      <c r="G44" s="116">
        <f>+F44*H40</f>
        <v>2793.6434309285441</v>
      </c>
      <c r="H44" s="117"/>
    </row>
    <row r="45" spans="1:8" ht="15.75" thickBot="1">
      <c r="A45" s="89" t="s">
        <v>514</v>
      </c>
      <c r="B45" s="90"/>
      <c r="C45" s="90"/>
      <c r="D45" s="90"/>
      <c r="E45" s="91"/>
      <c r="F45" s="118">
        <f>SALARIOS!C47</f>
        <v>0.05</v>
      </c>
      <c r="G45" s="119">
        <f>+F45*H40</f>
        <v>2793.6434309285441</v>
      </c>
      <c r="H45" s="80"/>
    </row>
    <row r="46" spans="1:8" ht="15.75" thickBot="1">
      <c r="A46" s="61"/>
      <c r="B46" s="61"/>
      <c r="C46" s="61"/>
      <c r="D46" s="61"/>
      <c r="E46" s="61"/>
      <c r="F46" s="61"/>
      <c r="G46" s="81" t="s">
        <v>491</v>
      </c>
      <c r="H46" s="120">
        <f>SUM(G43:G45)</f>
        <v>13968.21715464272</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69841</v>
      </c>
    </row>
  </sheetData>
  <mergeCells count="12">
    <mergeCell ref="A33:B33"/>
    <mergeCell ref="A3:C4"/>
    <mergeCell ref="A5:C5"/>
    <mergeCell ref="D5:H5"/>
    <mergeCell ref="A11:C11"/>
    <mergeCell ref="A14:C14"/>
    <mergeCell ref="A15:C15"/>
    <mergeCell ref="A16:C16"/>
    <mergeCell ref="A17:C17"/>
    <mergeCell ref="A20:C20"/>
    <mergeCell ref="A27:B27"/>
    <mergeCell ref="A7:E7"/>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H48"/>
  <sheetViews>
    <sheetView workbookViewId="0">
      <selection activeCell="J14" sqref="J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3.25" customHeight="1">
      <c r="A7" s="1479" t="s">
        <v>1949</v>
      </c>
      <c r="B7" s="1479"/>
      <c r="C7" s="1479"/>
      <c r="D7" s="1479"/>
      <c r="E7" s="1479"/>
      <c r="F7" s="16"/>
      <c r="G7" s="62" t="s">
        <v>730</v>
      </c>
      <c r="H7" s="61"/>
    </row>
    <row r="8" spans="1:8">
      <c r="A8" s="60" t="s">
        <v>731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2760.3866627943166</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2760.3866627943166</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t="s">
        <v>736</v>
      </c>
      <c r="B21" s="84"/>
      <c r="C21" s="85"/>
      <c r="D21" s="141" t="s">
        <v>1</v>
      </c>
      <c r="E21" s="139">
        <f>+MATERIALES!D282</f>
        <v>45727.199999999997</v>
      </c>
      <c r="F21" s="163">
        <v>1</v>
      </c>
      <c r="G21" s="137">
        <f>+E21*F21</f>
        <v>45727.199999999997</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45727.199999999997</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6</v>
      </c>
      <c r="G34" s="105">
        <f>+E34/F34</f>
        <v>15212.406305973074</v>
      </c>
      <c r="H34" s="72"/>
    </row>
    <row r="35" spans="1:8">
      <c r="A35" s="83" t="s">
        <v>624</v>
      </c>
      <c r="B35" s="84"/>
      <c r="C35" s="103">
        <f>+SALARIOS!C50</f>
        <v>41660</v>
      </c>
      <c r="D35" s="104">
        <f>+SALARIOS!C48</f>
        <v>1.7846558312967005</v>
      </c>
      <c r="E35" s="69">
        <f>+C35*D35</f>
        <v>74348.76193182054</v>
      </c>
      <c r="F35" s="69">
        <v>6</v>
      </c>
      <c r="G35" s="105">
        <f>+E35/F35</f>
        <v>12391.460321970089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27603.866627943164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76091.453290737467</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11413.71799361062</v>
      </c>
      <c r="H43" s="117"/>
    </row>
    <row r="44" spans="1:8">
      <c r="A44" s="83" t="s">
        <v>513</v>
      </c>
      <c r="B44" s="84"/>
      <c r="C44" s="84"/>
      <c r="D44" s="84"/>
      <c r="E44" s="85"/>
      <c r="F44" s="115">
        <f>+SALARIOS!C46</f>
        <v>0.05</v>
      </c>
      <c r="G44" s="116">
        <f>+F44*H40</f>
        <v>3804.5726645368736</v>
      </c>
      <c r="H44" s="117"/>
    </row>
    <row r="45" spans="1:8" ht="15.75" thickBot="1">
      <c r="A45" s="89" t="s">
        <v>514</v>
      </c>
      <c r="B45" s="90"/>
      <c r="C45" s="90"/>
      <c r="D45" s="90"/>
      <c r="E45" s="91"/>
      <c r="F45" s="118">
        <f>+SALARIOS!C47</f>
        <v>0.05</v>
      </c>
      <c r="G45" s="119">
        <f>+F45*H40</f>
        <v>3804.5726645368736</v>
      </c>
      <c r="H45" s="80"/>
    </row>
    <row r="46" spans="1:8" ht="15.75" thickBot="1">
      <c r="A46" s="61"/>
      <c r="B46" s="61"/>
      <c r="C46" s="61"/>
      <c r="D46" s="61"/>
      <c r="E46" s="61"/>
      <c r="F46" s="61"/>
      <c r="G46" s="81" t="s">
        <v>491</v>
      </c>
      <c r="H46" s="120">
        <f>SUM(G43:G45)</f>
        <v>19022.863322684367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95114</v>
      </c>
    </row>
  </sheetData>
  <mergeCells count="2">
    <mergeCell ref="A3:C4"/>
    <mergeCell ref="A7:E7"/>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H48"/>
  <sheetViews>
    <sheetView workbookViewId="0">
      <selection activeCell="K18" sqref="K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3.25" customHeight="1">
      <c r="A7" s="1479" t="s">
        <v>1949</v>
      </c>
      <c r="B7" s="1479"/>
      <c r="C7" s="1479"/>
      <c r="D7" s="1479"/>
      <c r="E7" s="1479"/>
      <c r="F7" s="16"/>
      <c r="G7" s="62" t="s">
        <v>733</v>
      </c>
      <c r="H7" s="61"/>
    </row>
    <row r="8" spans="1:8">
      <c r="A8" s="60" t="s">
        <v>734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3450.4833284928959</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3450.4833284928959</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t="s">
        <v>735</v>
      </c>
      <c r="B21" s="84"/>
      <c r="C21" s="85"/>
      <c r="D21" s="141" t="s">
        <v>1</v>
      </c>
      <c r="E21" s="139">
        <f>+MATERIALES!D283</f>
        <v>59299.199999999997</v>
      </c>
      <c r="F21" s="163">
        <v>1</v>
      </c>
      <c r="G21" s="137">
        <f>+E21*F21</f>
        <v>59299.199999999997</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59299.199999999997</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4.8</v>
      </c>
      <c r="G34" s="105">
        <f>+E34/F34</f>
        <v>19015.507882466343</v>
      </c>
      <c r="H34" s="72"/>
    </row>
    <row r="35" spans="1:8">
      <c r="A35" s="83" t="s">
        <v>624</v>
      </c>
      <c r="B35" s="84"/>
      <c r="C35" s="103">
        <f>+SALARIOS!C50</f>
        <v>41660</v>
      </c>
      <c r="D35" s="104">
        <f>+SALARIOS!C48</f>
        <v>1.7846558312967005</v>
      </c>
      <c r="E35" s="69">
        <f>+C35*D35</f>
        <v>74348.76193182054</v>
      </c>
      <c r="F35" s="69">
        <v>4.8</v>
      </c>
      <c r="G35" s="105">
        <f>+E35/F35</f>
        <v>15489.325402462613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34504.833284928958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97254.516613421845</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14588.177492013276</v>
      </c>
      <c r="H43" s="117"/>
    </row>
    <row r="44" spans="1:8">
      <c r="A44" s="83" t="s">
        <v>513</v>
      </c>
      <c r="B44" s="84"/>
      <c r="C44" s="84"/>
      <c r="D44" s="84"/>
      <c r="E44" s="85"/>
      <c r="F44" s="115">
        <f>+SALARIOS!C46</f>
        <v>0.05</v>
      </c>
      <c r="G44" s="116">
        <f>+F44*H40</f>
        <v>4862.7258306710928</v>
      </c>
      <c r="H44" s="117"/>
    </row>
    <row r="45" spans="1:8" ht="15.75" thickBot="1">
      <c r="A45" s="89" t="s">
        <v>514</v>
      </c>
      <c r="B45" s="90"/>
      <c r="C45" s="90"/>
      <c r="D45" s="90"/>
      <c r="E45" s="91"/>
      <c r="F45" s="118">
        <f>+SALARIOS!C47</f>
        <v>0.05</v>
      </c>
      <c r="G45" s="119">
        <f>+F45*H40</f>
        <v>4862.7258306710928</v>
      </c>
      <c r="H45" s="80"/>
    </row>
    <row r="46" spans="1:8" ht="15.75" thickBot="1">
      <c r="A46" s="61"/>
      <c r="B46" s="61"/>
      <c r="C46" s="61"/>
      <c r="D46" s="61"/>
      <c r="E46" s="61"/>
      <c r="F46" s="61"/>
      <c r="G46" s="81" t="s">
        <v>491</v>
      </c>
      <c r="H46" s="120">
        <f>SUM(G43:G45)</f>
        <v>24313.629153355461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121568</v>
      </c>
    </row>
  </sheetData>
  <mergeCells count="2">
    <mergeCell ref="A3:C4"/>
    <mergeCell ref="A7:E7"/>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H48"/>
  <sheetViews>
    <sheetView workbookViewId="0">
      <selection activeCell="J17" sqref="J1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3.25" customHeight="1">
      <c r="A7" s="1479" t="s">
        <v>1949</v>
      </c>
      <c r="B7" s="1479"/>
      <c r="C7" s="1479"/>
      <c r="D7" s="1479"/>
      <c r="E7" s="1479"/>
      <c r="F7" s="16"/>
      <c r="G7" s="62" t="s">
        <v>737</v>
      </c>
      <c r="H7" s="61"/>
    </row>
    <row r="8" spans="1:8">
      <c r="A8" s="60" t="s">
        <v>738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4039.5902382355853</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4039.5902382355853</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t="s">
        <v>739</v>
      </c>
      <c r="B21" s="84"/>
      <c r="C21" s="85"/>
      <c r="D21" s="141" t="s">
        <v>1</v>
      </c>
      <c r="E21" s="139">
        <f>+MATERIALES!D284</f>
        <v>77070.399999999994</v>
      </c>
      <c r="F21" s="163">
        <v>1</v>
      </c>
      <c r="G21" s="137">
        <f>+E21*F21</f>
        <v>77070.399999999994</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77070.399999999994</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161">
        <v>4.0999999999999996</v>
      </c>
      <c r="G34" s="105">
        <f>+E34/F34</f>
        <v>22262.058008741085</v>
      </c>
      <c r="H34" s="72"/>
    </row>
    <row r="35" spans="1:8">
      <c r="A35" s="83" t="s">
        <v>624</v>
      </c>
      <c r="B35" s="84"/>
      <c r="C35" s="103">
        <f>+SALARIOS!C50</f>
        <v>41660</v>
      </c>
      <c r="D35" s="104">
        <f>+SALARIOS!C48</f>
        <v>1.7846558312967005</v>
      </c>
      <c r="E35" s="69">
        <f>+C35*D35</f>
        <v>74348.76193182054</v>
      </c>
      <c r="F35" s="161">
        <v>4.0999999999999996</v>
      </c>
      <c r="G35" s="105">
        <f>+E35/F35</f>
        <v>18133.844373614767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40395.902382355853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121505.89262059143</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18225.883893088714</v>
      </c>
      <c r="H43" s="117"/>
    </row>
    <row r="44" spans="1:8">
      <c r="A44" s="83" t="s">
        <v>513</v>
      </c>
      <c r="B44" s="84"/>
      <c r="C44" s="84"/>
      <c r="D44" s="84"/>
      <c r="E44" s="85"/>
      <c r="F44" s="115">
        <f>+SALARIOS!C46</f>
        <v>0.05</v>
      </c>
      <c r="G44" s="116">
        <f>+F44*H40</f>
        <v>6075.294631029572</v>
      </c>
      <c r="H44" s="117"/>
    </row>
    <row r="45" spans="1:8" ht="15.75" thickBot="1">
      <c r="A45" s="89" t="s">
        <v>514</v>
      </c>
      <c r="B45" s="90"/>
      <c r="C45" s="90"/>
      <c r="D45" s="90"/>
      <c r="E45" s="91"/>
      <c r="F45" s="118">
        <f>+SALARIOS!C47</f>
        <v>0.05</v>
      </c>
      <c r="G45" s="119">
        <f>+F45*H40</f>
        <v>6075.294631029572</v>
      </c>
      <c r="H45" s="80"/>
    </row>
    <row r="46" spans="1:8" ht="15.75" thickBot="1">
      <c r="A46" s="61"/>
      <c r="B46" s="61"/>
      <c r="C46" s="61"/>
      <c r="D46" s="61"/>
      <c r="E46" s="61"/>
      <c r="F46" s="61"/>
      <c r="G46" s="81" t="s">
        <v>491</v>
      </c>
      <c r="H46" s="120">
        <f>SUM(G43:G45)</f>
        <v>30376.473155147862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151882</v>
      </c>
    </row>
  </sheetData>
  <mergeCells count="2">
    <mergeCell ref="A3:C4"/>
    <mergeCell ref="A7:E7"/>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H48"/>
  <sheetViews>
    <sheetView workbookViewId="0">
      <selection activeCell="J20" sqref="J2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3.25" customHeight="1">
      <c r="A7" s="1479" t="s">
        <v>1949</v>
      </c>
      <c r="B7" s="1479"/>
      <c r="C7" s="1479"/>
      <c r="D7" s="1479"/>
      <c r="E7" s="1479"/>
      <c r="F7" s="16"/>
      <c r="G7" s="62" t="s">
        <v>740</v>
      </c>
      <c r="H7" s="61"/>
    </row>
    <row r="8" spans="1:8">
      <c r="A8" s="60" t="s">
        <v>741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4476.3026964232149</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4476.3026964232149</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t="s">
        <v>742</v>
      </c>
      <c r="B21" s="84"/>
      <c r="C21" s="85"/>
      <c r="D21" s="141" t="s">
        <v>1</v>
      </c>
      <c r="E21" s="139">
        <f>+MATERIALES!D285</f>
        <v>99551.199999999983</v>
      </c>
      <c r="F21" s="163">
        <v>1</v>
      </c>
      <c r="G21" s="137">
        <f>+E21*F21</f>
        <v>99551.199999999983</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99551.199999999983</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3.7</v>
      </c>
      <c r="G34" s="105">
        <f>+E34/F34</f>
        <v>24668.766982659035</v>
      </c>
      <c r="H34" s="72"/>
    </row>
    <row r="35" spans="1:8">
      <c r="A35" s="83" t="s">
        <v>624</v>
      </c>
      <c r="B35" s="84"/>
      <c r="C35" s="103">
        <f>+SALARIOS!C50</f>
        <v>41660</v>
      </c>
      <c r="D35" s="104">
        <f>+SALARIOS!C48</f>
        <v>1.7846558312967005</v>
      </c>
      <c r="E35" s="69">
        <f>+C35*D35</f>
        <v>74348.76193182054</v>
      </c>
      <c r="F35" s="69">
        <v>3.7</v>
      </c>
      <c r="G35" s="105">
        <f>+E35/F35</f>
        <v>20094.259981573119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44763.026964232151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148790.52966065536</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22318.579449098303</v>
      </c>
      <c r="H43" s="117"/>
    </row>
    <row r="44" spans="1:8">
      <c r="A44" s="83" t="s">
        <v>513</v>
      </c>
      <c r="B44" s="84"/>
      <c r="C44" s="84"/>
      <c r="D44" s="84"/>
      <c r="E44" s="85"/>
      <c r="F44" s="115">
        <f>+SALARIOS!C46</f>
        <v>0.05</v>
      </c>
      <c r="G44" s="116">
        <f>+F44*H40</f>
        <v>7439.5264830327687</v>
      </c>
      <c r="H44" s="117"/>
    </row>
    <row r="45" spans="1:8" ht="15.75" thickBot="1">
      <c r="A45" s="89" t="s">
        <v>514</v>
      </c>
      <c r="B45" s="90"/>
      <c r="C45" s="90"/>
      <c r="D45" s="90"/>
      <c r="E45" s="91"/>
      <c r="F45" s="118">
        <f>+SALARIOS!C47</f>
        <v>0.05</v>
      </c>
      <c r="G45" s="119">
        <f>+F45*H40</f>
        <v>7439.5264830327687</v>
      </c>
      <c r="H45" s="80"/>
    </row>
    <row r="46" spans="1:8" ht="15.75" thickBot="1">
      <c r="A46" s="61"/>
      <c r="B46" s="61"/>
      <c r="C46" s="61"/>
      <c r="D46" s="61"/>
      <c r="E46" s="61"/>
      <c r="F46" s="61"/>
      <c r="G46" s="81" t="s">
        <v>491</v>
      </c>
      <c r="H46" s="120">
        <f>SUM(G43:G45)</f>
        <v>37197.63241516384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185988</v>
      </c>
    </row>
  </sheetData>
  <mergeCells count="2">
    <mergeCell ref="A3:C4"/>
    <mergeCell ref="A7:E7"/>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H48"/>
  <sheetViews>
    <sheetView workbookViewId="0">
      <selection activeCell="J18" sqref="J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3.25" customHeight="1">
      <c r="A7" s="1479" t="s">
        <v>1949</v>
      </c>
      <c r="B7" s="1479"/>
      <c r="C7" s="1479"/>
      <c r="D7" s="1479"/>
      <c r="E7" s="1479"/>
      <c r="F7" s="16"/>
      <c r="G7" s="62" t="s">
        <v>743</v>
      </c>
      <c r="H7" s="61"/>
    </row>
    <row r="8" spans="1:8">
      <c r="A8" s="60" t="s">
        <v>745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4871.2705814017345</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4871.2705814017345</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t="s">
        <v>746</v>
      </c>
      <c r="B21" s="84"/>
      <c r="C21" s="85"/>
      <c r="D21" s="141" t="s">
        <v>1</v>
      </c>
      <c r="E21" s="139">
        <f>+MATERIALES!D286</f>
        <v>129177.60000000001</v>
      </c>
      <c r="F21" s="163">
        <v>1</v>
      </c>
      <c r="G21" s="137">
        <f>+E21*F21</f>
        <v>129177.60000000001</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129177.60000000001</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3.4</v>
      </c>
      <c r="G34" s="105">
        <f>+E34/F34</f>
        <v>26845.422892893661</v>
      </c>
      <c r="H34" s="72"/>
    </row>
    <row r="35" spans="1:8">
      <c r="A35" s="83" t="s">
        <v>624</v>
      </c>
      <c r="B35" s="84"/>
      <c r="C35" s="103">
        <f>+SALARIOS!C50</f>
        <v>41660</v>
      </c>
      <c r="D35" s="104">
        <f>+SALARIOS!C48</f>
        <v>1.7846558312967005</v>
      </c>
      <c r="E35" s="69">
        <f>+C35*D35</f>
        <v>74348.76193182054</v>
      </c>
      <c r="F35" s="69">
        <v>3.4</v>
      </c>
      <c r="G35" s="105">
        <f>+E35/F35</f>
        <v>21867.282921123689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48712.705814017347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182761.57639541908</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27414.236459312862</v>
      </c>
      <c r="H43" s="117"/>
    </row>
    <row r="44" spans="1:8">
      <c r="A44" s="83" t="s">
        <v>513</v>
      </c>
      <c r="B44" s="84"/>
      <c r="C44" s="84"/>
      <c r="D44" s="84"/>
      <c r="E44" s="85"/>
      <c r="F44" s="115">
        <f>+SALARIOS!C46</f>
        <v>0.05</v>
      </c>
      <c r="G44" s="116">
        <f>+F44*H40</f>
        <v>9138.0788197709535</v>
      </c>
      <c r="H44" s="117"/>
    </row>
    <row r="45" spans="1:8" ht="15.75" thickBot="1">
      <c r="A45" s="89" t="s">
        <v>514</v>
      </c>
      <c r="B45" s="90"/>
      <c r="C45" s="90"/>
      <c r="D45" s="90"/>
      <c r="E45" s="91"/>
      <c r="F45" s="118">
        <f>+SALARIOS!C47</f>
        <v>0.05</v>
      </c>
      <c r="G45" s="119">
        <f>+F45*H40</f>
        <v>9138.0788197709535</v>
      </c>
      <c r="H45" s="80"/>
    </row>
    <row r="46" spans="1:8" ht="15.75" thickBot="1">
      <c r="A46" s="61"/>
      <c r="B46" s="61"/>
      <c r="C46" s="61"/>
      <c r="D46" s="61"/>
      <c r="E46" s="61"/>
      <c r="F46" s="61"/>
      <c r="G46" s="81" t="s">
        <v>491</v>
      </c>
      <c r="H46" s="120">
        <f>SUM(G43:G45)</f>
        <v>45690.394098854769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228452</v>
      </c>
    </row>
  </sheetData>
  <mergeCells count="2">
    <mergeCell ref="A3:C4"/>
    <mergeCell ref="A7:E7"/>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H48"/>
  <sheetViews>
    <sheetView workbookViewId="0">
      <selection activeCell="E12" sqref="E1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4" customHeight="1">
      <c r="A7" s="1479" t="s">
        <v>1949</v>
      </c>
      <c r="B7" s="1479"/>
      <c r="C7" s="1479"/>
      <c r="D7" s="1479"/>
      <c r="E7" s="1479"/>
      <c r="F7" s="16"/>
      <c r="G7" s="62" t="s">
        <v>747</v>
      </c>
      <c r="H7" s="61"/>
    </row>
    <row r="8" spans="1:8">
      <c r="A8" s="60" t="s">
        <v>744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255</v>
      </c>
      <c r="B12" s="209"/>
      <c r="C12" s="210"/>
      <c r="D12" s="68" t="s">
        <v>17</v>
      </c>
      <c r="E12" s="86">
        <f>+'EQUIPOS '!D26</f>
        <v>23200</v>
      </c>
      <c r="F12" s="161">
        <v>10</v>
      </c>
      <c r="G12" s="708">
        <f>+E12/F12</f>
        <v>2320</v>
      </c>
      <c r="H12" s="72"/>
    </row>
    <row r="13" spans="1:8">
      <c r="A13" s="175" t="s">
        <v>1327</v>
      </c>
      <c r="B13" s="176"/>
      <c r="C13" s="174"/>
      <c r="D13" s="174"/>
      <c r="E13" s="173"/>
      <c r="F13" s="69"/>
      <c r="G13" s="173">
        <f>H38*10%</f>
        <v>4871.2705814017345</v>
      </c>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7191.2705814017345</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t="s">
        <v>748</v>
      </c>
      <c r="B21" s="84"/>
      <c r="C21" s="85"/>
      <c r="D21" s="141" t="s">
        <v>1</v>
      </c>
      <c r="E21" s="139">
        <f>+MATERIALES!D287</f>
        <v>173953.59999999998</v>
      </c>
      <c r="F21" s="163">
        <v>1</v>
      </c>
      <c r="G21" s="137">
        <f>+E21*F21</f>
        <v>173953.59999999998</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173953.59999999998</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3.4</v>
      </c>
      <c r="G34" s="105">
        <f>+E34/F34</f>
        <v>26845.422892893661</v>
      </c>
      <c r="H34" s="72"/>
    </row>
    <row r="35" spans="1:8">
      <c r="A35" s="83" t="s">
        <v>624</v>
      </c>
      <c r="B35" s="84"/>
      <c r="C35" s="103">
        <f>+SALARIOS!C50</f>
        <v>41660</v>
      </c>
      <c r="D35" s="104">
        <f>+SALARIOS!C48</f>
        <v>1.7846558312967005</v>
      </c>
      <c r="E35" s="69">
        <f>+C35*D35</f>
        <v>74348.76193182054</v>
      </c>
      <c r="F35" s="69">
        <v>3.4</v>
      </c>
      <c r="G35" s="105">
        <f>+E35/F35</f>
        <v>21867.282921123689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48712.705814017347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229857.57639541908</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34478.63645931286</v>
      </c>
      <c r="H43" s="117"/>
    </row>
    <row r="44" spans="1:8">
      <c r="A44" s="83" t="s">
        <v>513</v>
      </c>
      <c r="B44" s="84"/>
      <c r="C44" s="84"/>
      <c r="D44" s="84"/>
      <c r="E44" s="85"/>
      <c r="F44" s="115">
        <f>+SALARIOS!C46</f>
        <v>0.05</v>
      </c>
      <c r="G44" s="116">
        <f>+F44*H40</f>
        <v>11492.878819770955</v>
      </c>
      <c r="H44" s="117"/>
    </row>
    <row r="45" spans="1:8" ht="15.75" thickBot="1">
      <c r="A45" s="89" t="s">
        <v>514</v>
      </c>
      <c r="B45" s="90"/>
      <c r="C45" s="90"/>
      <c r="D45" s="90"/>
      <c r="E45" s="91"/>
      <c r="F45" s="118">
        <f>+SALARIOS!C47</f>
        <v>0.05</v>
      </c>
      <c r="G45" s="119">
        <f>+F45*H40</f>
        <v>11492.878819770955</v>
      </c>
      <c r="H45" s="80"/>
    </row>
    <row r="46" spans="1:8" ht="15.75" thickBot="1">
      <c r="A46" s="61"/>
      <c r="B46" s="61"/>
      <c r="C46" s="61"/>
      <c r="D46" s="61"/>
      <c r="E46" s="61"/>
      <c r="F46" s="61"/>
      <c r="G46" s="81" t="s">
        <v>491</v>
      </c>
      <c r="H46" s="120">
        <f>SUM(G43:G45)</f>
        <v>57464.394098854769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287322</v>
      </c>
    </row>
  </sheetData>
  <mergeCells count="2">
    <mergeCell ref="A3:C4"/>
    <mergeCell ref="A7:E7"/>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H48"/>
  <sheetViews>
    <sheetView workbookViewId="0">
      <selection activeCell="A8" sqref="A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4" customHeight="1">
      <c r="A7" s="1479" t="s">
        <v>1949</v>
      </c>
      <c r="B7" s="1479"/>
      <c r="C7" s="1479"/>
      <c r="D7" s="1479"/>
      <c r="E7" s="1479"/>
      <c r="F7" s="16"/>
      <c r="G7" s="62" t="s">
        <v>749</v>
      </c>
      <c r="H7" s="61"/>
    </row>
    <row r="8" spans="1:8">
      <c r="A8" s="60" t="s">
        <v>750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255</v>
      </c>
      <c r="B12" s="209"/>
      <c r="C12" s="210"/>
      <c r="D12" s="68" t="s">
        <v>17</v>
      </c>
      <c r="E12" s="86">
        <f>+'EQUIPOS '!D26</f>
        <v>23200</v>
      </c>
      <c r="F12" s="161">
        <v>10</v>
      </c>
      <c r="G12" s="71">
        <f>+E12/F12</f>
        <v>2320</v>
      </c>
      <c r="H12" s="72"/>
    </row>
    <row r="13" spans="1:8">
      <c r="A13" s="175" t="s">
        <v>1327</v>
      </c>
      <c r="B13" s="176"/>
      <c r="C13" s="174"/>
      <c r="D13" s="174"/>
      <c r="E13" s="173"/>
      <c r="F13" s="69"/>
      <c r="G13" s="173">
        <f>H38*10%</f>
        <v>5175.7249927393432</v>
      </c>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7495.7249927393432</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t="s">
        <v>751</v>
      </c>
      <c r="B21" s="84"/>
      <c r="C21" s="85"/>
      <c r="D21" s="141" t="s">
        <v>1</v>
      </c>
      <c r="E21" s="139">
        <f>+MATERIALES!D288</f>
        <v>210052.8</v>
      </c>
      <c r="F21" s="163">
        <v>1</v>
      </c>
      <c r="G21" s="137">
        <f>+E21*F21</f>
        <v>210052.8</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210052.8</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3.2</v>
      </c>
      <c r="G34" s="105">
        <f>+E34/F34</f>
        <v>28523.261823699511</v>
      </c>
      <c r="H34" s="72"/>
    </row>
    <row r="35" spans="1:8">
      <c r="A35" s="83" t="s">
        <v>624</v>
      </c>
      <c r="B35" s="84"/>
      <c r="C35" s="103">
        <f>+SALARIOS!C50</f>
        <v>41660</v>
      </c>
      <c r="D35" s="104">
        <f>+SALARIOS!C48</f>
        <v>1.7846558312967005</v>
      </c>
      <c r="E35" s="69">
        <f>+C35*D35</f>
        <v>74348.76193182054</v>
      </c>
      <c r="F35" s="69">
        <v>3.2</v>
      </c>
      <c r="G35" s="105">
        <f>+E35/F35</f>
        <v>23233.988103693919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51757.24992739343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269305.77492013277</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40395.866238019917</v>
      </c>
      <c r="H43" s="117"/>
    </row>
    <row r="44" spans="1:8">
      <c r="A44" s="83" t="s">
        <v>513</v>
      </c>
      <c r="B44" s="84"/>
      <c r="C44" s="84"/>
      <c r="D44" s="84"/>
      <c r="E44" s="85"/>
      <c r="F44" s="115">
        <f>+SALARIOS!C46</f>
        <v>0.05</v>
      </c>
      <c r="G44" s="116">
        <f>+F44*H40</f>
        <v>13465.288746006639</v>
      </c>
      <c r="H44" s="117"/>
    </row>
    <row r="45" spans="1:8" ht="15.75" thickBot="1">
      <c r="A45" s="89" t="s">
        <v>514</v>
      </c>
      <c r="B45" s="90"/>
      <c r="C45" s="90"/>
      <c r="D45" s="90"/>
      <c r="E45" s="91"/>
      <c r="F45" s="118">
        <f>+SALARIOS!C47</f>
        <v>0.05</v>
      </c>
      <c r="G45" s="119">
        <f>+F45*H40</f>
        <v>13465.288746006639</v>
      </c>
      <c r="H45" s="80"/>
    </row>
    <row r="46" spans="1:8" ht="15.75" thickBot="1">
      <c r="A46" s="61"/>
      <c r="B46" s="61"/>
      <c r="C46" s="61"/>
      <c r="D46" s="61"/>
      <c r="E46" s="61"/>
      <c r="F46" s="61"/>
      <c r="G46" s="81" t="s">
        <v>491</v>
      </c>
      <c r="H46" s="120">
        <f>SUM(G43:G45)</f>
        <v>67326.443730033192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336632</v>
      </c>
    </row>
  </sheetData>
  <mergeCells count="2">
    <mergeCell ref="A3:C4"/>
    <mergeCell ref="A7:E7"/>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H48"/>
  <sheetViews>
    <sheetView workbookViewId="0">
      <selection activeCell="A8" sqref="A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7" customHeight="1">
      <c r="A7" s="1479" t="s">
        <v>1949</v>
      </c>
      <c r="B7" s="1479"/>
      <c r="C7" s="1479"/>
      <c r="D7" s="1479"/>
      <c r="E7" s="1479"/>
      <c r="F7" s="16"/>
      <c r="G7" s="62" t="s">
        <v>752</v>
      </c>
      <c r="H7" s="61"/>
    </row>
    <row r="8" spans="1:8">
      <c r="A8" s="60" t="s">
        <v>753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255</v>
      </c>
      <c r="B12" s="209"/>
      <c r="C12" s="210"/>
      <c r="D12" s="68" t="s">
        <v>17</v>
      </c>
      <c r="E12" s="86">
        <f>+'EQUIPOS '!D26</f>
        <v>23200</v>
      </c>
      <c r="F12" s="161">
        <v>10</v>
      </c>
      <c r="G12" s="708">
        <f>+E12/F12</f>
        <v>2320</v>
      </c>
      <c r="H12" s="72"/>
    </row>
    <row r="13" spans="1:8">
      <c r="A13" s="175" t="s">
        <v>1327</v>
      </c>
      <c r="B13" s="176"/>
      <c r="C13" s="174"/>
      <c r="D13" s="174"/>
      <c r="E13" s="173"/>
      <c r="F13" s="69"/>
      <c r="G13" s="173">
        <f>H38*10%</f>
        <v>5974.3636651976158</v>
      </c>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8294.3636651976158</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t="s">
        <v>754</v>
      </c>
      <c r="B21" s="84"/>
      <c r="C21" s="85"/>
      <c r="D21" s="141" t="s">
        <v>1</v>
      </c>
      <c r="E21" s="139">
        <f>+MATERIALES!D289</f>
        <v>301948</v>
      </c>
      <c r="F21" s="163">
        <v>1</v>
      </c>
      <c r="G21" s="137">
        <f>+E21*F21</f>
        <v>301948</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301948</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4.3</v>
      </c>
      <c r="G34" s="105">
        <f>+E34/F34</f>
        <v>42453.226900389978</v>
      </c>
      <c r="H34" s="72"/>
    </row>
    <row r="35" spans="1:8">
      <c r="A35" s="83" t="s">
        <v>624</v>
      </c>
      <c r="B35" s="84"/>
      <c r="C35" s="103">
        <f>+SALARIOS!C50</f>
        <v>41660</v>
      </c>
      <c r="D35" s="104">
        <f>+SALARIOS!C48</f>
        <v>1.7846558312967005</v>
      </c>
      <c r="E35" s="69">
        <f>+C35*D35</f>
        <v>74348.76193182054</v>
      </c>
      <c r="F35" s="69">
        <v>4.3</v>
      </c>
      <c r="G35" s="105">
        <f>+E35/F35</f>
        <v>17290.409751586172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59743.63665197615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369986.00031717378</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55497.900047576062</v>
      </c>
      <c r="H43" s="117"/>
    </row>
    <row r="44" spans="1:8">
      <c r="A44" s="83" t="s">
        <v>513</v>
      </c>
      <c r="B44" s="84"/>
      <c r="C44" s="84"/>
      <c r="D44" s="84"/>
      <c r="E44" s="85"/>
      <c r="F44" s="115">
        <f>+SALARIOS!C46</f>
        <v>0.05</v>
      </c>
      <c r="G44" s="116">
        <f>+F44*H40</f>
        <v>18499.300015858691</v>
      </c>
      <c r="H44" s="117"/>
    </row>
    <row r="45" spans="1:8" ht="15.75" thickBot="1">
      <c r="A45" s="89" t="s">
        <v>514</v>
      </c>
      <c r="B45" s="90"/>
      <c r="C45" s="90"/>
      <c r="D45" s="90"/>
      <c r="E45" s="91"/>
      <c r="F45" s="118">
        <f>+SALARIOS!C47</f>
        <v>0.05</v>
      </c>
      <c r="G45" s="119">
        <f>+F45*H40</f>
        <v>18499.300015858691</v>
      </c>
      <c r="H45" s="80"/>
    </row>
    <row r="46" spans="1:8" ht="15.75" thickBot="1">
      <c r="A46" s="61"/>
      <c r="B46" s="61"/>
      <c r="C46" s="61"/>
      <c r="D46" s="61"/>
      <c r="E46" s="61"/>
      <c r="F46" s="61"/>
      <c r="G46" s="81" t="s">
        <v>491</v>
      </c>
      <c r="H46" s="120">
        <f>SUM(G43:G45)</f>
        <v>92496.500079293444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462483</v>
      </c>
    </row>
  </sheetData>
  <mergeCells count="2">
    <mergeCell ref="A3:C4"/>
    <mergeCell ref="A7:E7"/>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H48"/>
  <sheetViews>
    <sheetView topLeftCell="A4" workbookViewId="0">
      <selection activeCell="K13" sqref="K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756</v>
      </c>
      <c r="H7" s="61"/>
    </row>
    <row r="8" spans="1:8">
      <c r="A8" s="60" t="s">
        <v>702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2153.1015969795671</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2153.1015969795671</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0.13</v>
      </c>
      <c r="G34" s="105">
        <f>+E34*F34</f>
        <v>11865.676918658997</v>
      </c>
      <c r="H34" s="72"/>
    </row>
    <row r="35" spans="1:8">
      <c r="A35" s="83" t="s">
        <v>624</v>
      </c>
      <c r="B35" s="84"/>
      <c r="C35" s="103">
        <f>+SALARIOS!C50</f>
        <v>41660</v>
      </c>
      <c r="D35" s="104">
        <f>+SALARIOS!C48</f>
        <v>1.7846558312967005</v>
      </c>
      <c r="E35" s="69">
        <f>+C35*D35</f>
        <v>74348.76193182054</v>
      </c>
      <c r="F35" s="69">
        <v>0.13</v>
      </c>
      <c r="G35" s="105">
        <f>+E35*F35</f>
        <v>9665.3390511366706</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21531.01596979567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23684.117566775236</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3552.6176350162855</v>
      </c>
      <c r="H43" s="117"/>
    </row>
    <row r="44" spans="1:8">
      <c r="A44" s="83" t="s">
        <v>513</v>
      </c>
      <c r="B44" s="84"/>
      <c r="C44" s="84"/>
      <c r="D44" s="84"/>
      <c r="E44" s="85"/>
      <c r="F44" s="115">
        <f>+SALARIOS!C46</f>
        <v>0.05</v>
      </c>
      <c r="G44" s="116">
        <f>+F44*H40</f>
        <v>1184.2058783387617</v>
      </c>
      <c r="H44" s="117"/>
    </row>
    <row r="45" spans="1:8" ht="15.75" thickBot="1">
      <c r="A45" s="89" t="s">
        <v>514</v>
      </c>
      <c r="B45" s="90"/>
      <c r="C45" s="90"/>
      <c r="D45" s="90"/>
      <c r="E45" s="91"/>
      <c r="F45" s="118">
        <f>+SALARIOS!C47</f>
        <v>0.05</v>
      </c>
      <c r="G45" s="119">
        <f>+F45*H40</f>
        <v>1184.2058783387617</v>
      </c>
      <c r="H45" s="80"/>
    </row>
    <row r="46" spans="1:8" ht="15.75" thickBot="1">
      <c r="A46" s="61"/>
      <c r="B46" s="61"/>
      <c r="C46" s="61"/>
      <c r="D46" s="61"/>
      <c r="E46" s="61"/>
      <c r="F46" s="61"/>
      <c r="G46" s="81" t="s">
        <v>491</v>
      </c>
      <c r="H46" s="120">
        <f>SUM(G43:G45)</f>
        <v>5921.029391693809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29605</v>
      </c>
    </row>
  </sheetData>
  <mergeCells count="1">
    <mergeCell ref="A3:C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0"/>
  <sheetViews>
    <sheetView topLeftCell="A28" workbookViewId="0">
      <selection activeCell="F34" sqref="F34"/>
    </sheetView>
  </sheetViews>
  <sheetFormatPr baseColWidth="10" defaultRowHeight="15"/>
  <cols>
    <col min="1" max="1" width="11.5703125" customWidth="1"/>
    <col min="2" max="2" width="10.42578125" customWidth="1"/>
    <col min="3" max="3" width="15.85546875" bestFit="1" customWidth="1"/>
  </cols>
  <sheetData>
    <row r="1" spans="1:8">
      <c r="A1" s="16"/>
      <c r="B1" s="16"/>
      <c r="C1" s="16"/>
      <c r="D1" s="16"/>
      <c r="E1" s="16"/>
      <c r="F1" s="16"/>
      <c r="G1" s="16"/>
      <c r="H1" s="16"/>
    </row>
    <row r="2" spans="1:8" ht="15.75" thickBot="1">
      <c r="A2" s="16"/>
      <c r="B2" s="16"/>
      <c r="C2" s="16"/>
      <c r="D2" s="16"/>
      <c r="E2" s="16"/>
      <c r="F2" s="16"/>
      <c r="G2" s="16"/>
      <c r="H2" s="16"/>
    </row>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521</v>
      </c>
      <c r="B7" s="62"/>
      <c r="C7" s="61"/>
      <c r="D7" s="16"/>
      <c r="E7" s="62"/>
      <c r="F7" s="16"/>
      <c r="G7" s="62" t="s">
        <v>531</v>
      </c>
      <c r="H7" s="61"/>
    </row>
    <row r="8" spans="1:8">
      <c r="A8" s="60" t="s">
        <v>532</v>
      </c>
      <c r="B8" s="62"/>
      <c r="C8" s="61"/>
      <c r="D8" s="62"/>
      <c r="E8" s="62"/>
      <c r="F8" s="62"/>
      <c r="G8" s="62" t="s">
        <v>1994</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64" t="s">
        <v>486</v>
      </c>
      <c r="E11" s="65" t="s">
        <v>487</v>
      </c>
      <c r="F11" s="64" t="s">
        <v>488</v>
      </c>
      <c r="G11" s="66" t="s">
        <v>489</v>
      </c>
      <c r="H11" s="67"/>
    </row>
    <row r="12" spans="1:8">
      <c r="A12" s="1460" t="s">
        <v>1327</v>
      </c>
      <c r="B12" s="1461"/>
      <c r="C12" s="1462"/>
      <c r="D12" s="68"/>
      <c r="E12" s="69"/>
      <c r="F12" s="70"/>
      <c r="G12" s="71">
        <f>H38*10%</f>
        <v>570.46523647399033</v>
      </c>
      <c r="H12" s="72"/>
    </row>
    <row r="13" spans="1:8">
      <c r="A13" s="1463"/>
      <c r="B13" s="1464"/>
      <c r="C13" s="1465"/>
      <c r="D13" s="73"/>
      <c r="E13" s="74"/>
      <c r="F13" s="75"/>
      <c r="G13" s="71"/>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570.46523647399033</v>
      </c>
    </row>
    <row r="19" spans="1:8" ht="15.75" thickBot="1">
      <c r="A19" s="63" t="s">
        <v>492</v>
      </c>
      <c r="B19" s="63"/>
      <c r="C19" s="61"/>
      <c r="D19" s="61"/>
      <c r="E19" s="61"/>
      <c r="F19" s="61"/>
      <c r="G19" s="61"/>
      <c r="H19" s="61"/>
    </row>
    <row r="20" spans="1:8">
      <c r="A20" s="1454" t="s">
        <v>485</v>
      </c>
      <c r="B20" s="1455"/>
      <c r="C20" s="1456"/>
      <c r="D20" s="64" t="s">
        <v>493</v>
      </c>
      <c r="E20" s="64" t="s">
        <v>494</v>
      </c>
      <c r="F20" s="64" t="s">
        <v>495</v>
      </c>
      <c r="G20" s="66" t="s">
        <v>489</v>
      </c>
      <c r="H20" s="67"/>
    </row>
    <row r="21" spans="1:8">
      <c r="A21" s="83"/>
      <c r="B21" s="84"/>
      <c r="C21" s="85"/>
      <c r="D21" s="68"/>
      <c r="E21" s="86"/>
      <c r="F21" s="70"/>
      <c r="G21" s="71"/>
      <c r="H21" s="72"/>
    </row>
    <row r="22" spans="1:8">
      <c r="A22" s="83"/>
      <c r="B22" s="84"/>
      <c r="C22" s="85"/>
      <c r="D22" s="68"/>
      <c r="E22" s="86"/>
      <c r="F22" s="70"/>
      <c r="G22" s="71"/>
      <c r="H22" s="72"/>
    </row>
    <row r="23" spans="1:8">
      <c r="A23" s="83"/>
      <c r="B23" s="84"/>
      <c r="C23" s="85"/>
      <c r="D23" s="73"/>
      <c r="E23" s="74"/>
      <c r="F23" s="87"/>
      <c r="G23" s="88"/>
      <c r="H23" s="72"/>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64" t="s">
        <v>499</v>
      </c>
      <c r="E27" s="64" t="s">
        <v>500</v>
      </c>
      <c r="F27" s="64"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49" t="s">
        <v>504</v>
      </c>
      <c r="D33" s="149" t="s">
        <v>505</v>
      </c>
      <c r="E33" s="124" t="s">
        <v>506</v>
      </c>
      <c r="F33" s="102" t="s">
        <v>488</v>
      </c>
      <c r="G33" s="148" t="s">
        <v>489</v>
      </c>
      <c r="H33" s="67"/>
    </row>
    <row r="34" spans="1:8">
      <c r="A34" s="83" t="s">
        <v>656</v>
      </c>
      <c r="B34" s="84"/>
      <c r="C34" s="103">
        <f>+SALARIOS!C49*4</f>
        <v>102288</v>
      </c>
      <c r="D34" s="104">
        <f>SALARIOS!C48</f>
        <v>1.7846558312967005</v>
      </c>
      <c r="E34" s="69">
        <f>+C34*D34</f>
        <v>182548.87567167688</v>
      </c>
      <c r="F34" s="69">
        <v>32</v>
      </c>
      <c r="G34" s="105">
        <f>E34/F34</f>
        <v>5704.6523647399026</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91"/>
      <c r="F37" s="91"/>
      <c r="G37" s="90"/>
      <c r="H37" s="80"/>
    </row>
    <row r="38" spans="1:8" ht="15.75" thickBot="1">
      <c r="A38" s="61"/>
      <c r="B38" s="61"/>
      <c r="C38" s="61"/>
      <c r="D38" s="61"/>
      <c r="E38" s="61"/>
      <c r="F38" s="61"/>
      <c r="G38" s="81" t="s">
        <v>491</v>
      </c>
      <c r="H38" s="82">
        <f>SUM(G34:G37)</f>
        <v>5704.6523647399026</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6275.1176012138931</v>
      </c>
    </row>
    <row r="41" spans="1:8" ht="15.75" thickBot="1">
      <c r="A41" s="63" t="s">
        <v>509</v>
      </c>
      <c r="B41" s="63"/>
      <c r="C41" s="61"/>
      <c r="D41" s="61"/>
      <c r="E41" s="61"/>
      <c r="F41" s="61"/>
      <c r="G41" s="61"/>
      <c r="H41" s="61"/>
    </row>
    <row r="42" spans="1:8">
      <c r="A42" s="110" t="s">
        <v>485</v>
      </c>
      <c r="B42" s="111"/>
      <c r="C42" s="111"/>
      <c r="D42" s="111"/>
      <c r="E42" s="112"/>
      <c r="F42" s="113" t="s">
        <v>510</v>
      </c>
      <c r="G42" s="114" t="s">
        <v>511</v>
      </c>
      <c r="H42" s="67"/>
    </row>
    <row r="43" spans="1:8">
      <c r="A43" s="83" t="s">
        <v>512</v>
      </c>
      <c r="B43" s="84"/>
      <c r="C43" s="84"/>
      <c r="D43" s="84"/>
      <c r="E43" s="85"/>
      <c r="F43" s="115">
        <f>SALARIOS!C45</f>
        <v>0.15</v>
      </c>
      <c r="G43" s="116">
        <f>++F43*H40</f>
        <v>941.26764018208394</v>
      </c>
      <c r="H43" s="117"/>
    </row>
    <row r="44" spans="1:8">
      <c r="A44" s="83" t="s">
        <v>513</v>
      </c>
      <c r="B44" s="84"/>
      <c r="C44" s="84"/>
      <c r="D44" s="84"/>
      <c r="E44" s="85"/>
      <c r="F44" s="115">
        <f>SALARIOS!C46</f>
        <v>0.05</v>
      </c>
      <c r="G44" s="116">
        <f>+F44*H40</f>
        <v>313.75588006069466</v>
      </c>
      <c r="H44" s="117"/>
    </row>
    <row r="45" spans="1:8" ht="15.75" thickBot="1">
      <c r="A45" s="89" t="s">
        <v>514</v>
      </c>
      <c r="B45" s="90"/>
      <c r="C45" s="90"/>
      <c r="D45" s="90"/>
      <c r="E45" s="91"/>
      <c r="F45" s="118">
        <f>SALARIOS!C47</f>
        <v>0.05</v>
      </c>
      <c r="G45" s="119">
        <f>+F45*H40</f>
        <v>313.75588006069466</v>
      </c>
      <c r="H45" s="80"/>
    </row>
    <row r="46" spans="1:8" ht="15.75" thickBot="1">
      <c r="A46" s="61"/>
      <c r="B46" s="61"/>
      <c r="C46" s="61"/>
      <c r="D46" s="61"/>
      <c r="E46" s="61"/>
      <c r="F46" s="61"/>
      <c r="G46" s="81" t="s">
        <v>491</v>
      </c>
      <c r="H46" s="120">
        <f>SUM(G43:G45)</f>
        <v>1568.7794003034733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7844</v>
      </c>
    </row>
    <row r="49" spans="1:8">
      <c r="A49" s="16"/>
      <c r="B49" s="16"/>
      <c r="C49" s="16"/>
      <c r="D49" s="16"/>
      <c r="E49" s="16"/>
      <c r="F49" s="16"/>
      <c r="G49" s="16"/>
      <c r="H49" s="16"/>
    </row>
    <row r="50" spans="1:8">
      <c r="A50" s="16"/>
      <c r="B50" s="16"/>
      <c r="C50" s="16"/>
      <c r="D50" s="16"/>
      <c r="E50" s="16"/>
      <c r="F50" s="16"/>
      <c r="G50" s="16"/>
      <c r="H50" s="16"/>
    </row>
  </sheetData>
  <mergeCells count="13">
    <mergeCell ref="A33:B33"/>
    <mergeCell ref="A14:C14"/>
    <mergeCell ref="A15:C15"/>
    <mergeCell ref="A16:C16"/>
    <mergeCell ref="A17:C17"/>
    <mergeCell ref="A20:C20"/>
    <mergeCell ref="A27:B27"/>
    <mergeCell ref="A13:C13"/>
    <mergeCell ref="A3:C4"/>
    <mergeCell ref="A5:C5"/>
    <mergeCell ref="D5:H5"/>
    <mergeCell ref="A11:C11"/>
    <mergeCell ref="A12:C12"/>
  </mergeCells>
  <pageMargins left="0.7" right="0.7" top="0.75" bottom="0.75" header="0.3" footer="0.3"/>
  <pageSetup paperSize="9" scale="9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H48"/>
  <sheetViews>
    <sheetView workbookViewId="0">
      <selection activeCell="K13" sqref="K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757</v>
      </c>
      <c r="H7" s="61"/>
    </row>
    <row r="8" spans="1:8">
      <c r="A8" s="60" t="s">
        <v>705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2484.3479965148849</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2484.3479965148849</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0.15</v>
      </c>
      <c r="G34" s="105">
        <f>+E34*F34</f>
        <v>13691.165675375765</v>
      </c>
      <c r="H34" s="72"/>
    </row>
    <row r="35" spans="1:8">
      <c r="A35" s="83" t="s">
        <v>624</v>
      </c>
      <c r="B35" s="84"/>
      <c r="C35" s="103">
        <f>+SALARIOS!C50</f>
        <v>41660</v>
      </c>
      <c r="D35" s="104">
        <f>+SALARIOS!C48</f>
        <v>1.7846558312967005</v>
      </c>
      <c r="E35" s="69">
        <f>+C35*D35</f>
        <v>74348.76193182054</v>
      </c>
      <c r="F35" s="69">
        <v>0.15</v>
      </c>
      <c r="G35" s="105">
        <f>+E35*F35</f>
        <v>11152.314289773081</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24843.479965148847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27327.82796166373</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4099.1741942495592</v>
      </c>
      <c r="H43" s="117"/>
    </row>
    <row r="44" spans="1:8">
      <c r="A44" s="83" t="s">
        <v>513</v>
      </c>
      <c r="B44" s="84"/>
      <c r="C44" s="84"/>
      <c r="D44" s="84"/>
      <c r="E44" s="85"/>
      <c r="F44" s="115">
        <f>+SALARIOS!C46</f>
        <v>0.05</v>
      </c>
      <c r="G44" s="116">
        <f>+F44*H40</f>
        <v>1366.3913980831867</v>
      </c>
      <c r="H44" s="117"/>
    </row>
    <row r="45" spans="1:8" ht="15.75" thickBot="1">
      <c r="A45" s="89" t="s">
        <v>514</v>
      </c>
      <c r="B45" s="90"/>
      <c r="C45" s="90"/>
      <c r="D45" s="90"/>
      <c r="E45" s="91"/>
      <c r="F45" s="118">
        <f>+SALARIOS!C47</f>
        <v>0.05</v>
      </c>
      <c r="G45" s="119">
        <f>+F45*H40</f>
        <v>1366.3913980831867</v>
      </c>
      <c r="H45" s="80"/>
    </row>
    <row r="46" spans="1:8" ht="15.75" thickBot="1">
      <c r="A46" s="61"/>
      <c r="B46" s="61"/>
      <c r="C46" s="61"/>
      <c r="D46" s="61"/>
      <c r="E46" s="61"/>
      <c r="F46" s="61"/>
      <c r="G46" s="81" t="s">
        <v>491</v>
      </c>
      <c r="H46" s="120">
        <f>SUM(G43:G45)</f>
        <v>6831.9569904159325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34160</v>
      </c>
    </row>
  </sheetData>
  <mergeCells count="1">
    <mergeCell ref="A3:C4"/>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H48"/>
  <sheetViews>
    <sheetView workbookViewId="0">
      <selection activeCell="K15" sqref="K1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758</v>
      </c>
      <c r="H7" s="61"/>
    </row>
    <row r="8" spans="1:8">
      <c r="A8" s="60" t="s">
        <v>708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3146.8407955855205</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3146.8407955855205</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0.19</v>
      </c>
      <c r="G34" s="105">
        <f>+E34*F34</f>
        <v>17342.143188809303</v>
      </c>
      <c r="H34" s="72"/>
    </row>
    <row r="35" spans="1:8">
      <c r="A35" s="83" t="s">
        <v>624</v>
      </c>
      <c r="B35" s="84"/>
      <c r="C35" s="103">
        <f>+SALARIOS!C50</f>
        <v>41660</v>
      </c>
      <c r="D35" s="104">
        <f>+SALARIOS!C48</f>
        <v>1.7846558312967005</v>
      </c>
      <c r="E35" s="69">
        <f>+C35*D35</f>
        <v>74348.76193182054</v>
      </c>
      <c r="F35" s="69">
        <v>0.19</v>
      </c>
      <c r="G35" s="105">
        <f>+E35*F35</f>
        <v>14126.264767045903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31468.407955855204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34615.248751440726</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5192.2873127161083</v>
      </c>
      <c r="H43" s="117"/>
    </row>
    <row r="44" spans="1:8">
      <c r="A44" s="83" t="s">
        <v>513</v>
      </c>
      <c r="B44" s="84"/>
      <c r="C44" s="84"/>
      <c r="D44" s="84"/>
      <c r="E44" s="85"/>
      <c r="F44" s="115">
        <f>+SALARIOS!C46</f>
        <v>0.05</v>
      </c>
      <c r="G44" s="116">
        <f>+F44*H40</f>
        <v>1730.7624375720363</v>
      </c>
      <c r="H44" s="117"/>
    </row>
    <row r="45" spans="1:8" ht="15.75" thickBot="1">
      <c r="A45" s="89" t="s">
        <v>514</v>
      </c>
      <c r="B45" s="90"/>
      <c r="C45" s="90"/>
      <c r="D45" s="90"/>
      <c r="E45" s="91"/>
      <c r="F45" s="118">
        <f>+SALARIOS!C47</f>
        <v>0.05</v>
      </c>
      <c r="G45" s="119">
        <f>+F45*H40</f>
        <v>1730.7624375720363</v>
      </c>
      <c r="H45" s="80"/>
    </row>
    <row r="46" spans="1:8" ht="15.75" thickBot="1">
      <c r="A46" s="61"/>
      <c r="B46" s="61"/>
      <c r="C46" s="61"/>
      <c r="D46" s="61"/>
      <c r="E46" s="61"/>
      <c r="F46" s="61"/>
      <c r="G46" s="81" t="s">
        <v>491</v>
      </c>
      <c r="H46" s="120">
        <f>SUM(G43:G45)</f>
        <v>8653.8121878601814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43269</v>
      </c>
    </row>
  </sheetData>
  <mergeCells count="1">
    <mergeCell ref="A3:C4"/>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H48"/>
  <sheetViews>
    <sheetView workbookViewId="0">
      <selection activeCell="K16" sqref="K1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759</v>
      </c>
      <c r="H7" s="61"/>
    </row>
    <row r="8" spans="1:8">
      <c r="A8" s="60" t="s">
        <v>711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3643.7103948884978</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3643.7103948884978</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0.22</v>
      </c>
      <c r="G34" s="105">
        <f>+E34*F34</f>
        <v>20080.376323884459</v>
      </c>
      <c r="H34" s="72"/>
    </row>
    <row r="35" spans="1:8">
      <c r="A35" s="83" t="s">
        <v>624</v>
      </c>
      <c r="B35" s="84"/>
      <c r="C35" s="103">
        <f>+SALARIOS!C50</f>
        <v>41660</v>
      </c>
      <c r="D35" s="104">
        <f>+SALARIOS!C48</f>
        <v>1.7846558312967005</v>
      </c>
      <c r="E35" s="69">
        <f>+C35*D35</f>
        <v>74348.76193182054</v>
      </c>
      <c r="F35" s="69">
        <v>0.22</v>
      </c>
      <c r="G35" s="105">
        <f>+E35*F35</f>
        <v>16356.727625000518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36437.103948884978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40080.814343773476</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6012.1221515660209</v>
      </c>
      <c r="H43" s="117"/>
    </row>
    <row r="44" spans="1:8">
      <c r="A44" s="83" t="s">
        <v>513</v>
      </c>
      <c r="B44" s="84"/>
      <c r="C44" s="84"/>
      <c r="D44" s="84"/>
      <c r="E44" s="85"/>
      <c r="F44" s="115">
        <f>+SALARIOS!C46</f>
        <v>0.05</v>
      </c>
      <c r="G44" s="116">
        <f>+F44*H40</f>
        <v>2004.0407171886739</v>
      </c>
      <c r="H44" s="117"/>
    </row>
    <row r="45" spans="1:8" ht="15.75" thickBot="1">
      <c r="A45" s="89" t="s">
        <v>514</v>
      </c>
      <c r="B45" s="90"/>
      <c r="C45" s="90"/>
      <c r="D45" s="90"/>
      <c r="E45" s="91"/>
      <c r="F45" s="118">
        <f>+SALARIOS!C47</f>
        <v>0.05</v>
      </c>
      <c r="G45" s="119">
        <f>+F45*H40</f>
        <v>2004.0407171886739</v>
      </c>
      <c r="H45" s="80"/>
    </row>
    <row r="46" spans="1:8" ht="15.75" thickBot="1">
      <c r="A46" s="61"/>
      <c r="B46" s="61"/>
      <c r="C46" s="61"/>
      <c r="D46" s="61"/>
      <c r="E46" s="61"/>
      <c r="F46" s="61"/>
      <c r="G46" s="81" t="s">
        <v>491</v>
      </c>
      <c r="H46" s="120">
        <f>SUM(G43:G45)</f>
        <v>10020.203585943369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50101</v>
      </c>
    </row>
  </sheetData>
  <mergeCells count="1">
    <mergeCell ref="A3:C4"/>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H48"/>
  <sheetViews>
    <sheetView workbookViewId="0">
      <selection activeCell="M14" sqref="M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760</v>
      </c>
      <c r="H7" s="61"/>
    </row>
    <row r="8" spans="1:8">
      <c r="A8" s="60" t="s">
        <v>714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3974.9567944238152</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3974.9567944238152</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0.24</v>
      </c>
      <c r="G34" s="105">
        <f>+E34*F34</f>
        <v>21905.865080601227</v>
      </c>
      <c r="H34" s="72"/>
    </row>
    <row r="35" spans="1:8">
      <c r="A35" s="83" t="s">
        <v>624</v>
      </c>
      <c r="B35" s="84"/>
      <c r="C35" s="103">
        <f>+SALARIOS!C50</f>
        <v>41660</v>
      </c>
      <c r="D35" s="104">
        <f>+SALARIOS!C48</f>
        <v>1.7846558312967005</v>
      </c>
      <c r="E35" s="69">
        <f>+C35*D35</f>
        <v>74348.76193182054</v>
      </c>
      <c r="F35" s="69">
        <v>0.24</v>
      </c>
      <c r="G35" s="105">
        <f>+E35*F35</f>
        <v>17843.702863636929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39749.567944238152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43724.524738661967</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6558.678710799295</v>
      </c>
      <c r="H43" s="117"/>
    </row>
    <row r="44" spans="1:8">
      <c r="A44" s="83" t="s">
        <v>513</v>
      </c>
      <c r="B44" s="84"/>
      <c r="C44" s="84"/>
      <c r="D44" s="84"/>
      <c r="E44" s="85"/>
      <c r="F44" s="115">
        <f>+SALARIOS!C46</f>
        <v>0.05</v>
      </c>
      <c r="G44" s="116">
        <f>+F44*H40</f>
        <v>2186.2262369330983</v>
      </c>
      <c r="H44" s="117"/>
    </row>
    <row r="45" spans="1:8" ht="15.75" thickBot="1">
      <c r="A45" s="89" t="s">
        <v>514</v>
      </c>
      <c r="B45" s="90"/>
      <c r="C45" s="90"/>
      <c r="D45" s="90"/>
      <c r="E45" s="91"/>
      <c r="F45" s="118">
        <f>+SALARIOS!C47</f>
        <v>0.05</v>
      </c>
      <c r="G45" s="119">
        <f>+F45*H40</f>
        <v>2186.2262369330983</v>
      </c>
      <c r="H45" s="80"/>
    </row>
    <row r="46" spans="1:8" ht="15.75" thickBot="1">
      <c r="A46" s="61"/>
      <c r="B46" s="61"/>
      <c r="C46" s="61"/>
      <c r="D46" s="61"/>
      <c r="E46" s="61"/>
      <c r="F46" s="61"/>
      <c r="G46" s="81" t="s">
        <v>491</v>
      </c>
      <c r="H46" s="120">
        <f>SUM(G43:G45)</f>
        <v>10931.131184665492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54656</v>
      </c>
    </row>
  </sheetData>
  <mergeCells count="1">
    <mergeCell ref="A3:C4"/>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H48"/>
  <sheetViews>
    <sheetView workbookViewId="0">
      <selection activeCell="K15" sqref="K1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761</v>
      </c>
      <c r="H7" s="61"/>
    </row>
    <row r="8" spans="1:8">
      <c r="A8" s="60" t="s">
        <v>717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4637.4495934944525</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4637.4495934944525</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0.28000000000000003</v>
      </c>
      <c r="G34" s="105">
        <f>+E34*F34</f>
        <v>25556.842594034766</v>
      </c>
      <c r="H34" s="72"/>
    </row>
    <row r="35" spans="1:8">
      <c r="A35" s="83" t="s">
        <v>624</v>
      </c>
      <c r="B35" s="84"/>
      <c r="C35" s="103">
        <f>+SALARIOS!C50</f>
        <v>41660</v>
      </c>
      <c r="D35" s="104">
        <f>+SALARIOS!C48</f>
        <v>1.7846558312967005</v>
      </c>
      <c r="E35" s="69">
        <f>+C35*D35</f>
        <v>74348.76193182054</v>
      </c>
      <c r="F35" s="69">
        <v>0.28000000000000003</v>
      </c>
      <c r="G35" s="105">
        <f>+E35*F35</f>
        <v>20817.653340909754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46374.49593494452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51011.94552843897</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7651.7918292658451</v>
      </c>
      <c r="H43" s="117"/>
    </row>
    <row r="44" spans="1:8">
      <c r="A44" s="83" t="s">
        <v>513</v>
      </c>
      <c r="B44" s="84"/>
      <c r="C44" s="84"/>
      <c r="D44" s="84"/>
      <c r="E44" s="85"/>
      <c r="F44" s="115">
        <f>+SALARIOS!C46</f>
        <v>0.05</v>
      </c>
      <c r="G44" s="116">
        <f>+F44*H40</f>
        <v>2550.5972764219487</v>
      </c>
      <c r="H44" s="117"/>
    </row>
    <row r="45" spans="1:8" ht="15.75" thickBot="1">
      <c r="A45" s="89" t="s">
        <v>514</v>
      </c>
      <c r="B45" s="90"/>
      <c r="C45" s="90"/>
      <c r="D45" s="90"/>
      <c r="E45" s="91"/>
      <c r="F45" s="118">
        <f>+SALARIOS!C47</f>
        <v>0.05</v>
      </c>
      <c r="G45" s="119">
        <f>+F45*H40</f>
        <v>2550.5972764219487</v>
      </c>
      <c r="H45" s="80"/>
    </row>
    <row r="46" spans="1:8" ht="15.75" thickBot="1">
      <c r="A46" s="61"/>
      <c r="B46" s="61"/>
      <c r="C46" s="61"/>
      <c r="D46" s="61"/>
      <c r="E46" s="61"/>
      <c r="F46" s="61"/>
      <c r="G46" s="81" t="s">
        <v>491</v>
      </c>
      <c r="H46" s="120">
        <f>SUM(G43:G45)</f>
        <v>12752.986382109742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63765</v>
      </c>
    </row>
  </sheetData>
  <mergeCells count="1">
    <mergeCell ref="A3:C4"/>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H48"/>
  <sheetViews>
    <sheetView workbookViewId="0">
      <selection activeCell="L17" sqref="L1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762</v>
      </c>
      <c r="H7" s="61"/>
    </row>
    <row r="8" spans="1:8">
      <c r="A8" s="60" t="s">
        <v>720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4968.6959930297699</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4968.6959930297699</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0.3</v>
      </c>
      <c r="G34" s="105">
        <f>+E34*F34</f>
        <v>27382.33135075153</v>
      </c>
      <c r="H34" s="72"/>
    </row>
    <row r="35" spans="1:8">
      <c r="A35" s="83" t="s">
        <v>624</v>
      </c>
      <c r="B35" s="84"/>
      <c r="C35" s="103">
        <f>+SALARIOS!C50</f>
        <v>41660</v>
      </c>
      <c r="D35" s="104">
        <f>+SALARIOS!C48</f>
        <v>1.7846558312967005</v>
      </c>
      <c r="E35" s="69">
        <f>+C35*D35</f>
        <v>74348.76193182054</v>
      </c>
      <c r="F35" s="69">
        <v>0.3</v>
      </c>
      <c r="G35" s="105">
        <f>+E35*F35</f>
        <v>22304.628579546163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49686.959930297693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54655.65592332746</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8198.3483884991183</v>
      </c>
      <c r="H43" s="117"/>
    </row>
    <row r="44" spans="1:8">
      <c r="A44" s="83" t="s">
        <v>513</v>
      </c>
      <c r="B44" s="84"/>
      <c r="C44" s="84"/>
      <c r="D44" s="84"/>
      <c r="E44" s="85"/>
      <c r="F44" s="115">
        <f>+SALARIOS!C46</f>
        <v>0.05</v>
      </c>
      <c r="G44" s="116">
        <f>+F44*H40</f>
        <v>2732.7827961663734</v>
      </c>
      <c r="H44" s="117"/>
    </row>
    <row r="45" spans="1:8" ht="15.75" thickBot="1">
      <c r="A45" s="89" t="s">
        <v>514</v>
      </c>
      <c r="B45" s="90"/>
      <c r="C45" s="90"/>
      <c r="D45" s="90"/>
      <c r="E45" s="91"/>
      <c r="F45" s="118">
        <f>+SALARIOS!C47</f>
        <v>0.05</v>
      </c>
      <c r="G45" s="119">
        <f>+F45*H40</f>
        <v>2732.7827961663734</v>
      </c>
      <c r="H45" s="80"/>
    </row>
    <row r="46" spans="1:8" ht="15.75" thickBot="1">
      <c r="A46" s="61"/>
      <c r="B46" s="61"/>
      <c r="C46" s="61"/>
      <c r="D46" s="61"/>
      <c r="E46" s="61"/>
      <c r="F46" s="61"/>
      <c r="G46" s="81" t="s">
        <v>491</v>
      </c>
      <c r="H46" s="120">
        <f>SUM(G43:G45)</f>
        <v>13663.913980831865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68320</v>
      </c>
    </row>
  </sheetData>
  <mergeCells count="1">
    <mergeCell ref="A3:C4"/>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H48"/>
  <sheetViews>
    <sheetView workbookViewId="0">
      <selection activeCell="M13" sqref="M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763</v>
      </c>
      <c r="H7" s="61"/>
    </row>
    <row r="8" spans="1:8">
      <c r="A8" s="60" t="s">
        <v>723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5299.9423925650881</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5299.9423925650881</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0.32</v>
      </c>
      <c r="G34" s="105">
        <f>+E34*F34</f>
        <v>29207.820107468302</v>
      </c>
      <c r="H34" s="72"/>
    </row>
    <row r="35" spans="1:8">
      <c r="A35" s="83" t="s">
        <v>624</v>
      </c>
      <c r="B35" s="84"/>
      <c r="C35" s="103">
        <f>+SALARIOS!C50</f>
        <v>41660</v>
      </c>
      <c r="D35" s="104">
        <f>+SALARIOS!C48</f>
        <v>1.7846558312967005</v>
      </c>
      <c r="E35" s="69">
        <f>+C35*D35</f>
        <v>74348.76193182054</v>
      </c>
      <c r="F35" s="69">
        <v>0.32</v>
      </c>
      <c r="G35" s="105">
        <f>+E35*F35</f>
        <v>23791.603818182572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52999.423925650874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58299.366318215965</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8744.9049477323952</v>
      </c>
      <c r="H43" s="117"/>
    </row>
    <row r="44" spans="1:8">
      <c r="A44" s="83" t="s">
        <v>513</v>
      </c>
      <c r="B44" s="84"/>
      <c r="C44" s="84"/>
      <c r="D44" s="84"/>
      <c r="E44" s="85"/>
      <c r="F44" s="115">
        <f>+SALARIOS!C46</f>
        <v>0.05</v>
      </c>
      <c r="G44" s="116">
        <f>+F44*H40</f>
        <v>2914.9683159107985</v>
      </c>
      <c r="H44" s="117"/>
    </row>
    <row r="45" spans="1:8" ht="15.75" thickBot="1">
      <c r="A45" s="89" t="s">
        <v>514</v>
      </c>
      <c r="B45" s="90"/>
      <c r="C45" s="90"/>
      <c r="D45" s="90"/>
      <c r="E45" s="91"/>
      <c r="F45" s="118">
        <f>+SALARIOS!C47</f>
        <v>0.05</v>
      </c>
      <c r="G45" s="119">
        <f>+F45*H40</f>
        <v>2914.9683159107985</v>
      </c>
      <c r="H45" s="80"/>
    </row>
    <row r="46" spans="1:8" ht="15.75" thickBot="1">
      <c r="A46" s="61"/>
      <c r="B46" s="61"/>
      <c r="C46" s="61"/>
      <c r="D46" s="61"/>
      <c r="E46" s="61"/>
      <c r="F46" s="61"/>
      <c r="G46" s="81" t="s">
        <v>491</v>
      </c>
      <c r="H46" s="120">
        <f>SUM(G43:G45)</f>
        <v>14574.841579553993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72874</v>
      </c>
    </row>
  </sheetData>
  <mergeCells count="1">
    <mergeCell ref="A3:C4"/>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H48"/>
  <sheetViews>
    <sheetView workbookViewId="0">
      <selection activeCell="J17" sqref="J1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764</v>
      </c>
      <c r="H7" s="61"/>
    </row>
    <row r="8" spans="1:8">
      <c r="A8" s="60" t="s">
        <v>726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6760.3333979385034</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6760.3333979385034</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659</v>
      </c>
      <c r="B34" s="84"/>
      <c r="C34" s="103">
        <f>+SALARIOS!C49*3</f>
        <v>76716</v>
      </c>
      <c r="D34" s="104">
        <f>+SALARIOS!C48</f>
        <v>1.7846558312967005</v>
      </c>
      <c r="E34" s="69">
        <f>+C34*D34</f>
        <v>136911.65675375768</v>
      </c>
      <c r="F34" s="69">
        <v>0.32</v>
      </c>
      <c r="G34" s="105">
        <f>+E34*F34</f>
        <v>43811.73016120246</v>
      </c>
      <c r="H34" s="72"/>
    </row>
    <row r="35" spans="1:8">
      <c r="A35" s="83" t="s">
        <v>624</v>
      </c>
      <c r="B35" s="84"/>
      <c r="C35" s="103">
        <f>+SALARIOS!C50</f>
        <v>41660</v>
      </c>
      <c r="D35" s="104">
        <f>+SALARIOS!C48</f>
        <v>1.7846558312967005</v>
      </c>
      <c r="E35" s="69">
        <f>+C35*D35</f>
        <v>74348.76193182054</v>
      </c>
      <c r="F35" s="69">
        <v>0.32</v>
      </c>
      <c r="G35" s="105">
        <f>+E35*F35</f>
        <v>23791.603818182572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67603.333979385032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74363.667377323538</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11154.55010659853</v>
      </c>
      <c r="H43" s="117"/>
    </row>
    <row r="44" spans="1:8">
      <c r="A44" s="83" t="s">
        <v>513</v>
      </c>
      <c r="B44" s="84"/>
      <c r="C44" s="84"/>
      <c r="D44" s="84"/>
      <c r="E44" s="85"/>
      <c r="F44" s="115">
        <f>+SALARIOS!C46</f>
        <v>0.05</v>
      </c>
      <c r="G44" s="116">
        <f>+F44*H40</f>
        <v>3718.1833688661773</v>
      </c>
      <c r="H44" s="117"/>
    </row>
    <row r="45" spans="1:8" ht="15.75" thickBot="1">
      <c r="A45" s="89" t="s">
        <v>514</v>
      </c>
      <c r="B45" s="90"/>
      <c r="C45" s="90"/>
      <c r="D45" s="90"/>
      <c r="E45" s="91"/>
      <c r="F45" s="118">
        <f>+SALARIOS!C47</f>
        <v>0.05</v>
      </c>
      <c r="G45" s="119">
        <f>+F45*H40</f>
        <v>3718.1833688661773</v>
      </c>
      <c r="H45" s="80"/>
    </row>
    <row r="46" spans="1:8" ht="15.75" thickBot="1">
      <c r="A46" s="61"/>
      <c r="B46" s="61"/>
      <c r="C46" s="61"/>
      <c r="D46" s="61"/>
      <c r="E46" s="61"/>
      <c r="F46" s="61"/>
      <c r="G46" s="81" t="s">
        <v>491</v>
      </c>
      <c r="H46" s="120">
        <f>SUM(G43:G45)</f>
        <v>18590.916844330884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92955</v>
      </c>
    </row>
  </sheetData>
  <mergeCells count="1">
    <mergeCell ref="A3:C4"/>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J48"/>
  <sheetViews>
    <sheetView topLeftCell="A7" workbookViewId="0">
      <selection activeCell="A13" sqref="A13:G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765</v>
      </c>
      <c r="H7" s="61"/>
    </row>
    <row r="8" spans="1:8">
      <c r="A8" s="60" t="s">
        <v>728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2471.9880562337162</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2471.9880562337162</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10">
      <c r="A33" s="193" t="s">
        <v>503</v>
      </c>
      <c r="B33" s="195"/>
      <c r="C33" s="195" t="s">
        <v>504</v>
      </c>
      <c r="D33" s="195" t="s">
        <v>505</v>
      </c>
      <c r="E33" s="124" t="s">
        <v>506</v>
      </c>
      <c r="F33" s="102" t="s">
        <v>488</v>
      </c>
      <c r="G33" s="194" t="s">
        <v>489</v>
      </c>
      <c r="H33" s="67"/>
    </row>
    <row r="34" spans="1:10">
      <c r="A34" s="83" t="s">
        <v>553</v>
      </c>
      <c r="B34" s="84"/>
      <c r="C34" s="103">
        <f>+SALARIOS!C49*2</f>
        <v>51144</v>
      </c>
      <c r="D34" s="104">
        <f>+SALARIOS!C48</f>
        <v>1.7846558312967005</v>
      </c>
      <c r="E34" s="69">
        <f>+C34*D34</f>
        <v>91274.437835838442</v>
      </c>
      <c r="F34" s="69">
        <v>6.7</v>
      </c>
      <c r="G34" s="105">
        <f>+E34/F34</f>
        <v>13623.050423259469</v>
      </c>
      <c r="H34" s="72"/>
    </row>
    <row r="35" spans="1:10">
      <c r="A35" s="83" t="s">
        <v>624</v>
      </c>
      <c r="B35" s="84"/>
      <c r="C35" s="103">
        <f>+SALARIOS!C50</f>
        <v>41660</v>
      </c>
      <c r="D35" s="104">
        <f>+SALARIOS!C48</f>
        <v>1.7846558312967005</v>
      </c>
      <c r="E35" s="69">
        <f>+C35*D35</f>
        <v>74348.76193182054</v>
      </c>
      <c r="F35" s="69">
        <v>6.7</v>
      </c>
      <c r="G35" s="105">
        <f>+E35/F35</f>
        <v>11096.830139077692</v>
      </c>
      <c r="H35" s="72"/>
    </row>
    <row r="36" spans="1:10">
      <c r="A36" s="83"/>
      <c r="B36" s="84"/>
      <c r="C36" s="103"/>
      <c r="D36" s="104"/>
      <c r="E36" s="69"/>
      <c r="F36" s="69"/>
      <c r="G36" s="105"/>
      <c r="H36" s="72"/>
    </row>
    <row r="37" spans="1:10" ht="15.75" thickBot="1">
      <c r="A37" s="100"/>
      <c r="B37" s="106"/>
      <c r="C37" s="77"/>
      <c r="D37" s="91"/>
      <c r="E37" s="143"/>
      <c r="F37" s="91"/>
      <c r="G37" s="90"/>
      <c r="H37" s="80"/>
    </row>
    <row r="38" spans="1:10" ht="15.75" thickBot="1">
      <c r="A38" s="61"/>
      <c r="B38" s="61"/>
      <c r="C38" s="61"/>
      <c r="D38" s="61"/>
      <c r="E38" s="61"/>
      <c r="F38" s="61"/>
      <c r="G38" s="81" t="s">
        <v>491</v>
      </c>
      <c r="H38" s="82">
        <f>SUM(G34:G37)</f>
        <v>24719.880562337159</v>
      </c>
      <c r="J38" s="82">
        <v>24218.328755567392</v>
      </c>
    </row>
    <row r="39" spans="1:10" ht="15.75" thickBot="1">
      <c r="A39" s="61"/>
      <c r="B39" s="61"/>
      <c r="C39" s="61"/>
      <c r="D39" s="61"/>
      <c r="E39" s="61"/>
      <c r="F39" s="61"/>
      <c r="G39" s="107"/>
      <c r="H39" s="58"/>
    </row>
    <row r="40" spans="1:10" ht="15.75" thickBot="1">
      <c r="A40" s="61"/>
      <c r="B40" s="61"/>
      <c r="C40" s="61"/>
      <c r="D40" s="61"/>
      <c r="E40" s="81" t="s">
        <v>508</v>
      </c>
      <c r="F40" s="107"/>
      <c r="G40" s="107"/>
      <c r="H40" s="82">
        <f>H18+H25+H31+H38</f>
        <v>27191.868618570876</v>
      </c>
    </row>
    <row r="41" spans="1:10" ht="15.75" thickBot="1">
      <c r="A41" s="63" t="s">
        <v>509</v>
      </c>
      <c r="B41" s="63"/>
      <c r="C41" s="61"/>
      <c r="D41" s="61"/>
      <c r="E41" s="61"/>
      <c r="F41" s="61"/>
      <c r="G41" s="61"/>
      <c r="H41" s="61"/>
    </row>
    <row r="42" spans="1:10">
      <c r="A42" s="233" t="s">
        <v>485</v>
      </c>
      <c r="B42" s="206"/>
      <c r="C42" s="206"/>
      <c r="D42" s="206"/>
      <c r="E42" s="207"/>
      <c r="F42" s="207" t="s">
        <v>510</v>
      </c>
      <c r="G42" s="206" t="s">
        <v>511</v>
      </c>
      <c r="H42" s="67"/>
    </row>
    <row r="43" spans="1:10">
      <c r="A43" s="83" t="s">
        <v>512</v>
      </c>
      <c r="B43" s="84"/>
      <c r="C43" s="84"/>
      <c r="D43" s="84"/>
      <c r="E43" s="85"/>
      <c r="F43" s="115">
        <f>+SALARIOS!C45</f>
        <v>0.15</v>
      </c>
      <c r="G43" s="116">
        <f>++F43*H40</f>
        <v>4078.780292785631</v>
      </c>
      <c r="H43" s="117"/>
    </row>
    <row r="44" spans="1:10">
      <c r="A44" s="83" t="s">
        <v>513</v>
      </c>
      <c r="B44" s="84"/>
      <c r="C44" s="84"/>
      <c r="D44" s="84"/>
      <c r="E44" s="85"/>
      <c r="F44" s="115">
        <f>+SALARIOS!C46</f>
        <v>0.05</v>
      </c>
      <c r="G44" s="116">
        <f>+F44*H40</f>
        <v>1359.593430928544</v>
      </c>
      <c r="H44" s="117"/>
    </row>
    <row r="45" spans="1:10" ht="15.75" thickBot="1">
      <c r="A45" s="89" t="s">
        <v>514</v>
      </c>
      <c r="B45" s="90"/>
      <c r="C45" s="90"/>
      <c r="D45" s="90"/>
      <c r="E45" s="91"/>
      <c r="F45" s="118">
        <f>+SALARIOS!C47</f>
        <v>0.05</v>
      </c>
      <c r="G45" s="119">
        <f>+F45*H40</f>
        <v>1359.593430928544</v>
      </c>
      <c r="H45" s="80"/>
    </row>
    <row r="46" spans="1:10" ht="15.75" thickBot="1">
      <c r="A46" s="61"/>
      <c r="B46" s="61"/>
      <c r="C46" s="61"/>
      <c r="D46" s="61"/>
      <c r="E46" s="61"/>
      <c r="F46" s="61"/>
      <c r="G46" s="81" t="s">
        <v>491</v>
      </c>
      <c r="H46" s="120">
        <f>SUM(G43:G45)</f>
        <v>6797.9671546427189</v>
      </c>
    </row>
    <row r="47" spans="1:10" ht="15.75" thickBot="1">
      <c r="A47" s="61"/>
      <c r="B47" s="61"/>
      <c r="C47" s="61"/>
      <c r="D47" s="61"/>
      <c r="E47" s="61"/>
      <c r="F47" s="61"/>
      <c r="G47" s="61"/>
      <c r="H47" s="61"/>
    </row>
    <row r="48" spans="1:10" ht="15.75" thickBot="1">
      <c r="A48" s="16"/>
      <c r="B48" s="16"/>
      <c r="C48" s="61"/>
      <c r="D48" s="81" t="s">
        <v>515</v>
      </c>
      <c r="E48" s="107"/>
      <c r="F48" s="107"/>
      <c r="G48" s="107"/>
      <c r="H48" s="82">
        <f>ROUND((H40+H46),0)</f>
        <v>33990</v>
      </c>
    </row>
  </sheetData>
  <mergeCells count="1">
    <mergeCell ref="A3:C4"/>
  </mergeCell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H48"/>
  <sheetViews>
    <sheetView workbookViewId="0">
      <selection activeCell="J14" sqref="J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766</v>
      </c>
      <c r="H7" s="61"/>
    </row>
    <row r="8" spans="1:8">
      <c r="A8" s="60" t="s">
        <v>731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2760.3866627943166</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2760.3866627943166</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6</v>
      </c>
      <c r="G34" s="105">
        <f>+E34/F34</f>
        <v>15212.406305973074</v>
      </c>
      <c r="H34" s="72"/>
    </row>
    <row r="35" spans="1:8">
      <c r="A35" s="83" t="s">
        <v>624</v>
      </c>
      <c r="B35" s="84"/>
      <c r="C35" s="103">
        <f>+SALARIOS!C50</f>
        <v>41660</v>
      </c>
      <c r="D35" s="104">
        <f>+SALARIOS!C48</f>
        <v>1.7846558312967005</v>
      </c>
      <c r="E35" s="69">
        <f>+C35*D35</f>
        <v>74348.76193182054</v>
      </c>
      <c r="F35" s="69">
        <v>6</v>
      </c>
      <c r="G35" s="105">
        <f>+E35/F35</f>
        <v>12391.460321970089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27603.866627943164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30364.253290737481</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4554.6379936106223</v>
      </c>
      <c r="H43" s="117"/>
    </row>
    <row r="44" spans="1:8">
      <c r="A44" s="83" t="s">
        <v>513</v>
      </c>
      <c r="B44" s="84"/>
      <c r="C44" s="84"/>
      <c r="D44" s="84"/>
      <c r="E44" s="85"/>
      <c r="F44" s="115">
        <f>+SALARIOS!C46</f>
        <v>0.05</v>
      </c>
      <c r="G44" s="116">
        <f>+F44*H40</f>
        <v>1518.2126645368742</v>
      </c>
      <c r="H44" s="117"/>
    </row>
    <row r="45" spans="1:8" ht="15.75" thickBot="1">
      <c r="A45" s="89" t="s">
        <v>514</v>
      </c>
      <c r="B45" s="90"/>
      <c r="C45" s="90"/>
      <c r="D45" s="90"/>
      <c r="E45" s="91"/>
      <c r="F45" s="118">
        <f>+SALARIOS!C47</f>
        <v>0.05</v>
      </c>
      <c r="G45" s="119">
        <f>+F45*H40</f>
        <v>1518.2126645368742</v>
      </c>
      <c r="H45" s="80"/>
    </row>
    <row r="46" spans="1:8" ht="15.75" thickBot="1">
      <c r="A46" s="61"/>
      <c r="B46" s="61"/>
      <c r="C46" s="61"/>
      <c r="D46" s="61"/>
      <c r="E46" s="61"/>
      <c r="F46" s="61"/>
      <c r="G46" s="81" t="s">
        <v>491</v>
      </c>
      <c r="H46" s="120">
        <f>SUM(G43:G45)</f>
        <v>7591.0633226843711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37955</v>
      </c>
    </row>
  </sheetData>
  <mergeCells count="1">
    <mergeCell ref="A3:C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0"/>
  <sheetViews>
    <sheetView topLeftCell="A28" workbookViewId="0">
      <selection activeCell="J18" sqref="J18"/>
    </sheetView>
  </sheetViews>
  <sheetFormatPr baseColWidth="10" defaultRowHeight="15"/>
  <cols>
    <col min="1" max="1" width="11.5703125" customWidth="1"/>
    <col min="2" max="2" width="10.42578125" customWidth="1"/>
    <col min="3" max="3" width="15.85546875" bestFit="1" customWidth="1"/>
  </cols>
  <sheetData>
    <row r="1" spans="1:8">
      <c r="A1" s="16"/>
      <c r="B1" s="16"/>
      <c r="C1" s="16"/>
      <c r="D1" s="16"/>
      <c r="E1" s="16"/>
      <c r="F1" s="16"/>
      <c r="G1" s="16"/>
      <c r="H1" s="16"/>
    </row>
    <row r="2" spans="1:8" ht="15.75" thickBot="1">
      <c r="A2" s="16"/>
      <c r="B2" s="16"/>
      <c r="C2" s="16"/>
      <c r="D2" s="16"/>
      <c r="E2" s="16"/>
      <c r="F2" s="16"/>
      <c r="G2" s="16"/>
      <c r="H2" s="16"/>
    </row>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521</v>
      </c>
      <c r="B7" s="62"/>
      <c r="C7" s="61"/>
      <c r="D7" s="16"/>
      <c r="E7" s="62"/>
      <c r="F7" s="16"/>
      <c r="G7" s="62" t="s">
        <v>531</v>
      </c>
      <c r="H7" s="61"/>
    </row>
    <row r="8" spans="1:8">
      <c r="A8" s="60" t="s">
        <v>1849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776" t="s">
        <v>486</v>
      </c>
      <c r="E11" s="65" t="s">
        <v>487</v>
      </c>
      <c r="F11" s="776" t="s">
        <v>488</v>
      </c>
      <c r="G11" s="775" t="s">
        <v>489</v>
      </c>
      <c r="H11" s="67"/>
    </row>
    <row r="12" spans="1:8">
      <c r="A12" s="1460" t="s">
        <v>14</v>
      </c>
      <c r="B12" s="1461"/>
      <c r="C12" s="1462"/>
      <c r="D12" s="68"/>
      <c r="E12" s="69">
        <f>'EQUIPOS '!D10</f>
        <v>87000</v>
      </c>
      <c r="F12" s="69">
        <v>3.3333333333333333E-2</v>
      </c>
      <c r="G12" s="708">
        <f>E12*F12</f>
        <v>2900</v>
      </c>
      <c r="H12" s="72"/>
    </row>
    <row r="13" spans="1:8">
      <c r="A13" s="1463"/>
      <c r="B13" s="1464"/>
      <c r="C13" s="1465"/>
      <c r="D13" s="73"/>
      <c r="E13" s="74"/>
      <c r="F13" s="75"/>
      <c r="G13" s="71"/>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2900</v>
      </c>
    </row>
    <row r="19" spans="1:8" ht="15.75" thickBot="1">
      <c r="A19" s="63" t="s">
        <v>492</v>
      </c>
      <c r="B19" s="63"/>
      <c r="C19" s="61"/>
      <c r="D19" s="61"/>
      <c r="E19" s="61"/>
      <c r="F19" s="61"/>
      <c r="G19" s="61"/>
      <c r="H19" s="61"/>
    </row>
    <row r="20" spans="1:8">
      <c r="A20" s="1454" t="s">
        <v>485</v>
      </c>
      <c r="B20" s="1455"/>
      <c r="C20" s="1456"/>
      <c r="D20" s="776" t="s">
        <v>493</v>
      </c>
      <c r="E20" s="776" t="s">
        <v>494</v>
      </c>
      <c r="F20" s="776" t="s">
        <v>495</v>
      </c>
      <c r="G20" s="775" t="s">
        <v>489</v>
      </c>
      <c r="H20" s="67"/>
    </row>
    <row r="21" spans="1:8">
      <c r="A21" s="83"/>
      <c r="B21" s="84"/>
      <c r="C21" s="85"/>
      <c r="D21" s="68"/>
      <c r="E21" s="86"/>
      <c r="F21" s="70"/>
      <c r="G21" s="71"/>
      <c r="H21" s="72"/>
    </row>
    <row r="22" spans="1:8">
      <c r="A22" s="83"/>
      <c r="B22" s="84"/>
      <c r="C22" s="85"/>
      <c r="D22" s="68"/>
      <c r="E22" s="86"/>
      <c r="F22" s="70"/>
      <c r="G22" s="71"/>
      <c r="H22" s="72"/>
    </row>
    <row r="23" spans="1:8">
      <c r="A23" s="83"/>
      <c r="B23" s="84"/>
      <c r="C23" s="85"/>
      <c r="D23" s="73"/>
      <c r="E23" s="74"/>
      <c r="F23" s="87"/>
      <c r="G23" s="88"/>
      <c r="H23" s="72"/>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776" t="s">
        <v>499</v>
      </c>
      <c r="E27" s="776" t="s">
        <v>500</v>
      </c>
      <c r="F27" s="776"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776" t="s">
        <v>504</v>
      </c>
      <c r="D33" s="776" t="s">
        <v>505</v>
      </c>
      <c r="E33" s="124" t="s">
        <v>506</v>
      </c>
      <c r="F33" s="102" t="s">
        <v>488</v>
      </c>
      <c r="G33" s="775"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91"/>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2900</v>
      </c>
    </row>
    <row r="41" spans="1:8" ht="15.75" thickBot="1">
      <c r="A41" s="63" t="s">
        <v>509</v>
      </c>
      <c r="B41" s="63"/>
      <c r="C41" s="61"/>
      <c r="D41" s="61"/>
      <c r="E41" s="61"/>
      <c r="F41" s="61"/>
      <c r="G41" s="61"/>
      <c r="H41" s="61"/>
    </row>
    <row r="42" spans="1:8">
      <c r="A42" s="110" t="s">
        <v>485</v>
      </c>
      <c r="B42" s="111"/>
      <c r="C42" s="111"/>
      <c r="D42" s="111"/>
      <c r="E42" s="112"/>
      <c r="F42" s="788" t="s">
        <v>510</v>
      </c>
      <c r="G42" s="787" t="s">
        <v>511</v>
      </c>
      <c r="H42" s="67"/>
    </row>
    <row r="43" spans="1:8">
      <c r="A43" s="83" t="s">
        <v>512</v>
      </c>
      <c r="B43" s="84"/>
      <c r="C43" s="84"/>
      <c r="D43" s="84"/>
      <c r="E43" s="85"/>
      <c r="F43" s="115">
        <f>SALARIOS!C45</f>
        <v>0.15</v>
      </c>
      <c r="G43" s="116">
        <f>++F43*H40</f>
        <v>435</v>
      </c>
      <c r="H43" s="117"/>
    </row>
    <row r="44" spans="1:8">
      <c r="A44" s="83" t="s">
        <v>513</v>
      </c>
      <c r="B44" s="84"/>
      <c r="C44" s="84"/>
      <c r="D44" s="84"/>
      <c r="E44" s="85"/>
      <c r="F44" s="115">
        <f>SALARIOS!C46</f>
        <v>0.05</v>
      </c>
      <c r="G44" s="116">
        <f>+F44*H40</f>
        <v>145</v>
      </c>
      <c r="H44" s="117"/>
    </row>
    <row r="45" spans="1:8" ht="15.75" thickBot="1">
      <c r="A45" s="89" t="s">
        <v>514</v>
      </c>
      <c r="B45" s="90"/>
      <c r="C45" s="90"/>
      <c r="D45" s="90"/>
      <c r="E45" s="91"/>
      <c r="F45" s="118">
        <f>SALARIOS!C47</f>
        <v>0.05</v>
      </c>
      <c r="G45" s="119">
        <f>+F45*H40</f>
        <v>145</v>
      </c>
      <c r="H45" s="80"/>
    </row>
    <row r="46" spans="1:8" ht="15.75" thickBot="1">
      <c r="A46" s="61"/>
      <c r="B46" s="61"/>
      <c r="C46" s="61"/>
      <c r="D46" s="61"/>
      <c r="E46" s="61"/>
      <c r="F46" s="61"/>
      <c r="G46" s="81" t="s">
        <v>491</v>
      </c>
      <c r="H46" s="120">
        <f>SUM(G43:G45)</f>
        <v>725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3625</v>
      </c>
    </row>
    <row r="49" spans="1:8">
      <c r="A49" s="16"/>
      <c r="B49" s="16"/>
      <c r="C49" s="16"/>
      <c r="D49" s="16"/>
      <c r="E49" s="16"/>
      <c r="F49" s="16"/>
      <c r="G49" s="16"/>
      <c r="H49" s="16"/>
    </row>
    <row r="50" spans="1:8">
      <c r="A50" s="16"/>
      <c r="B50" s="16"/>
      <c r="C50" s="16"/>
      <c r="D50" s="16"/>
      <c r="E50" s="16"/>
      <c r="F50" s="16"/>
      <c r="G50" s="16"/>
      <c r="H50" s="16"/>
    </row>
  </sheetData>
  <mergeCells count="13">
    <mergeCell ref="A33:B33"/>
    <mergeCell ref="A14:C14"/>
    <mergeCell ref="A15:C15"/>
    <mergeCell ref="A16:C16"/>
    <mergeCell ref="A17:C17"/>
    <mergeCell ref="A20:C20"/>
    <mergeCell ref="A27:B27"/>
    <mergeCell ref="A13:C13"/>
    <mergeCell ref="A3:C4"/>
    <mergeCell ref="A5:C5"/>
    <mergeCell ref="D5:H5"/>
    <mergeCell ref="A11:C11"/>
    <mergeCell ref="A12:C12"/>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H48"/>
  <sheetViews>
    <sheetView workbookViewId="0">
      <selection activeCell="K16" sqref="K1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767</v>
      </c>
      <c r="H7" s="61"/>
    </row>
    <row r="8" spans="1:8">
      <c r="A8" s="60" t="s">
        <v>734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3450.4833284928959</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3450.4833284928959</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4.8</v>
      </c>
      <c r="G34" s="105">
        <f>+E34/F34</f>
        <v>19015.507882466343</v>
      </c>
      <c r="H34" s="72"/>
    </row>
    <row r="35" spans="1:8">
      <c r="A35" s="83" t="s">
        <v>624</v>
      </c>
      <c r="B35" s="84"/>
      <c r="C35" s="103">
        <f>+SALARIOS!C50</f>
        <v>41660</v>
      </c>
      <c r="D35" s="104">
        <f>+SALARIOS!C48</f>
        <v>1.7846558312967005</v>
      </c>
      <c r="E35" s="69">
        <f>+C35*D35</f>
        <v>74348.76193182054</v>
      </c>
      <c r="F35" s="69">
        <v>4.8</v>
      </c>
      <c r="G35" s="105">
        <f>+E35/F35</f>
        <v>15489.325402462613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34504.833284928958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37955.316613421855</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5693.2974920132783</v>
      </c>
      <c r="H43" s="117"/>
    </row>
    <row r="44" spans="1:8">
      <c r="A44" s="83" t="s">
        <v>513</v>
      </c>
      <c r="B44" s="84"/>
      <c r="C44" s="84"/>
      <c r="D44" s="84"/>
      <c r="E44" s="85"/>
      <c r="F44" s="115">
        <f>+SALARIOS!C46</f>
        <v>0.05</v>
      </c>
      <c r="G44" s="116">
        <f>+F44*H40</f>
        <v>1897.7658306710928</v>
      </c>
      <c r="H44" s="117"/>
    </row>
    <row r="45" spans="1:8" ht="15.75" thickBot="1">
      <c r="A45" s="89" t="s">
        <v>514</v>
      </c>
      <c r="B45" s="90"/>
      <c r="C45" s="90"/>
      <c r="D45" s="90"/>
      <c r="E45" s="91"/>
      <c r="F45" s="118">
        <f>+SALARIOS!C47</f>
        <v>0.05</v>
      </c>
      <c r="G45" s="119">
        <f>+F45*H40</f>
        <v>1897.7658306710928</v>
      </c>
      <c r="H45" s="80"/>
    </row>
    <row r="46" spans="1:8" ht="15.75" thickBot="1">
      <c r="A46" s="61"/>
      <c r="B46" s="61"/>
      <c r="C46" s="61"/>
      <c r="D46" s="61"/>
      <c r="E46" s="61"/>
      <c r="F46" s="61"/>
      <c r="G46" s="81" t="s">
        <v>491</v>
      </c>
      <c r="H46" s="120">
        <f>SUM(G43:G45)</f>
        <v>9488.8291533554639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47444</v>
      </c>
    </row>
  </sheetData>
  <mergeCells count="1">
    <mergeCell ref="A3:C4"/>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H48"/>
  <sheetViews>
    <sheetView workbookViewId="0">
      <selection activeCell="K17" sqref="K1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768</v>
      </c>
      <c r="H7" s="61"/>
    </row>
    <row r="8" spans="1:8">
      <c r="A8" s="60" t="s">
        <v>738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4039.5902382355853</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4039.5902382355853</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4.0999999999999996</v>
      </c>
      <c r="G34" s="105">
        <f>+E34/F34</f>
        <v>22262.058008741085</v>
      </c>
      <c r="H34" s="72"/>
    </row>
    <row r="35" spans="1:8">
      <c r="A35" s="83" t="s">
        <v>624</v>
      </c>
      <c r="B35" s="84"/>
      <c r="C35" s="103">
        <f>+SALARIOS!C50</f>
        <v>41660</v>
      </c>
      <c r="D35" s="104">
        <f>+SALARIOS!C48</f>
        <v>1.7846558312967005</v>
      </c>
      <c r="E35" s="69">
        <f>+C35*D35</f>
        <v>74348.76193182054</v>
      </c>
      <c r="F35" s="69">
        <v>4.0999999999999996</v>
      </c>
      <c r="G35" s="105">
        <f>+E35/F35</f>
        <v>18133.844373614767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40395.902382355853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44435.492620591438</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6665.3238930887155</v>
      </c>
      <c r="H43" s="117"/>
    </row>
    <row r="44" spans="1:8">
      <c r="A44" s="83" t="s">
        <v>513</v>
      </c>
      <c r="B44" s="84"/>
      <c r="C44" s="84"/>
      <c r="D44" s="84"/>
      <c r="E44" s="85"/>
      <c r="F44" s="115">
        <f>+SALARIOS!C46</f>
        <v>0.05</v>
      </c>
      <c r="G44" s="116">
        <f>+F44*H40</f>
        <v>2221.774631029572</v>
      </c>
      <c r="H44" s="117"/>
    </row>
    <row r="45" spans="1:8" ht="15.75" thickBot="1">
      <c r="A45" s="89" t="s">
        <v>514</v>
      </c>
      <c r="B45" s="90"/>
      <c r="C45" s="90"/>
      <c r="D45" s="90"/>
      <c r="E45" s="91"/>
      <c r="F45" s="118">
        <f>+SALARIOS!C47</f>
        <v>0.05</v>
      </c>
      <c r="G45" s="119">
        <f>+F45*H40</f>
        <v>2221.774631029572</v>
      </c>
      <c r="H45" s="80"/>
    </row>
    <row r="46" spans="1:8" ht="15.75" thickBot="1">
      <c r="A46" s="61"/>
      <c r="B46" s="61"/>
      <c r="C46" s="61"/>
      <c r="D46" s="61"/>
      <c r="E46" s="61"/>
      <c r="F46" s="61"/>
      <c r="G46" s="81" t="s">
        <v>491</v>
      </c>
      <c r="H46" s="120">
        <f>SUM(G43:G45)</f>
        <v>11108.87315514786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55544</v>
      </c>
    </row>
  </sheetData>
  <mergeCells count="1">
    <mergeCell ref="A3:C4"/>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H48"/>
  <sheetViews>
    <sheetView workbookViewId="0">
      <selection activeCell="L18" sqref="L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769</v>
      </c>
      <c r="H7" s="61"/>
    </row>
    <row r="8" spans="1:8">
      <c r="A8" s="60" t="s">
        <v>741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4476.3026964232149</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4476.3026964232149</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3.7</v>
      </c>
      <c r="G34" s="105">
        <f>+E34/F34</f>
        <v>24668.766982659035</v>
      </c>
      <c r="H34" s="72"/>
    </row>
    <row r="35" spans="1:8">
      <c r="A35" s="83" t="s">
        <v>624</v>
      </c>
      <c r="B35" s="84"/>
      <c r="C35" s="103">
        <f>+SALARIOS!C50</f>
        <v>41660</v>
      </c>
      <c r="D35" s="104">
        <f>+SALARIOS!C48</f>
        <v>1.7846558312967005</v>
      </c>
      <c r="E35" s="69">
        <f>+C35*D35</f>
        <v>74348.76193182054</v>
      </c>
      <c r="F35" s="69">
        <v>3.7</v>
      </c>
      <c r="G35" s="105">
        <f>+E35/F35</f>
        <v>20094.259981573119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44763.026964232151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49239.329660655363</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7385.8994490983041</v>
      </c>
      <c r="H43" s="117"/>
    </row>
    <row r="44" spans="1:8">
      <c r="A44" s="83" t="s">
        <v>513</v>
      </c>
      <c r="B44" s="84"/>
      <c r="C44" s="84"/>
      <c r="D44" s="84"/>
      <c r="E44" s="85"/>
      <c r="F44" s="115">
        <f>+SALARIOS!C46</f>
        <v>0.05</v>
      </c>
      <c r="G44" s="116">
        <f>+F44*H40</f>
        <v>2461.9664830327683</v>
      </c>
      <c r="H44" s="117"/>
    </row>
    <row r="45" spans="1:8" ht="15.75" thickBot="1">
      <c r="A45" s="89" t="s">
        <v>514</v>
      </c>
      <c r="B45" s="90"/>
      <c r="C45" s="90"/>
      <c r="D45" s="90"/>
      <c r="E45" s="91"/>
      <c r="F45" s="118">
        <f>+SALARIOS!C47</f>
        <v>0.05</v>
      </c>
      <c r="G45" s="119">
        <f>+F45*H40</f>
        <v>2461.9664830327683</v>
      </c>
      <c r="H45" s="80"/>
    </row>
    <row r="46" spans="1:8" ht="15.75" thickBot="1">
      <c r="A46" s="61"/>
      <c r="B46" s="61"/>
      <c r="C46" s="61"/>
      <c r="D46" s="61"/>
      <c r="E46" s="61"/>
      <c r="F46" s="61"/>
      <c r="G46" s="81" t="s">
        <v>491</v>
      </c>
      <c r="H46" s="120">
        <f>SUM(G43:G45)</f>
        <v>12309.832415163841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61549</v>
      </c>
    </row>
  </sheetData>
  <mergeCells count="1">
    <mergeCell ref="A3:C4"/>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H48"/>
  <sheetViews>
    <sheetView workbookViewId="0">
      <selection activeCell="J17" sqref="J1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770</v>
      </c>
      <c r="H7" s="61"/>
    </row>
    <row r="8" spans="1:8">
      <c r="A8" s="60" t="s">
        <v>745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H38*10%</f>
        <v>4871.2705814017345</v>
      </c>
      <c r="H12" s="72"/>
    </row>
    <row r="13" spans="1:8">
      <c r="A13" s="175"/>
      <c r="B13" s="165"/>
      <c r="C13" s="166"/>
      <c r="D13" s="167"/>
      <c r="E13" s="167"/>
      <c r="F13" s="167"/>
      <c r="G13" s="173"/>
      <c r="H13" s="72"/>
    </row>
    <row r="14" spans="1:8">
      <c r="A14" s="196"/>
      <c r="B14" s="197"/>
      <c r="C14" s="198"/>
      <c r="D14" s="73"/>
      <c r="E14" s="74"/>
      <c r="F14" s="69"/>
      <c r="G14" s="71"/>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4871.2705814017345</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553</v>
      </c>
      <c r="B34" s="84"/>
      <c r="C34" s="103">
        <f>+SALARIOS!C49*2</f>
        <v>51144</v>
      </c>
      <c r="D34" s="104">
        <f>+SALARIOS!C48</f>
        <v>1.7846558312967005</v>
      </c>
      <c r="E34" s="69">
        <f>+C34*D34</f>
        <v>91274.437835838442</v>
      </c>
      <c r="F34" s="69">
        <v>3.4</v>
      </c>
      <c r="G34" s="105">
        <f>+E34/F34</f>
        <v>26845.422892893661</v>
      </c>
      <c r="H34" s="72"/>
    </row>
    <row r="35" spans="1:8">
      <c r="A35" s="83" t="s">
        <v>624</v>
      </c>
      <c r="B35" s="84"/>
      <c r="C35" s="103">
        <f>+SALARIOS!C50</f>
        <v>41660</v>
      </c>
      <c r="D35" s="104">
        <f>+SALARIOS!C48</f>
        <v>1.7846558312967005</v>
      </c>
      <c r="E35" s="69">
        <f>+C35*D35</f>
        <v>74348.76193182054</v>
      </c>
      <c r="F35" s="69">
        <v>3.4</v>
      </c>
      <c r="G35" s="105">
        <f>+E35/F35</f>
        <v>21867.282921123689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48712.705814017347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53583.976395419078</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8037.596459312861</v>
      </c>
      <c r="H43" s="117"/>
    </row>
    <row r="44" spans="1:8">
      <c r="A44" s="83" t="s">
        <v>513</v>
      </c>
      <c r="B44" s="84"/>
      <c r="C44" s="84"/>
      <c r="D44" s="84"/>
      <c r="E44" s="85"/>
      <c r="F44" s="115">
        <f>+SALARIOS!C46</f>
        <v>0.05</v>
      </c>
      <c r="G44" s="116">
        <f>+F44*H40</f>
        <v>2679.1988197709543</v>
      </c>
      <c r="H44" s="117"/>
    </row>
    <row r="45" spans="1:8" ht="15.75" thickBot="1">
      <c r="A45" s="89" t="s">
        <v>514</v>
      </c>
      <c r="B45" s="90"/>
      <c r="C45" s="90"/>
      <c r="D45" s="90"/>
      <c r="E45" s="91"/>
      <c r="F45" s="118">
        <f>+SALARIOS!C47</f>
        <v>0.05</v>
      </c>
      <c r="G45" s="119">
        <f>+F45*H40</f>
        <v>2679.1988197709543</v>
      </c>
      <c r="H45" s="80"/>
    </row>
    <row r="46" spans="1:8" ht="15.75" thickBot="1">
      <c r="A46" s="61"/>
      <c r="B46" s="61"/>
      <c r="C46" s="61"/>
      <c r="D46" s="61"/>
      <c r="E46" s="61"/>
      <c r="F46" s="61"/>
      <c r="G46" s="81" t="s">
        <v>491</v>
      </c>
      <c r="H46" s="120">
        <f>SUM(G43:G45)</f>
        <v>13395.99409885477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66980</v>
      </c>
    </row>
  </sheetData>
  <mergeCells count="1">
    <mergeCell ref="A3:C4"/>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H47"/>
  <sheetViews>
    <sheetView workbookViewId="0">
      <selection activeCell="K17" sqref="K1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771</v>
      </c>
      <c r="H7" s="61"/>
    </row>
    <row r="8" spans="1:8">
      <c r="A8" s="60" t="s">
        <v>744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H37*10%</f>
        <v>4871.2705814017345</v>
      </c>
      <c r="H12" s="72"/>
    </row>
    <row r="13" spans="1:8">
      <c r="A13" s="196" t="s">
        <v>255</v>
      </c>
      <c r="B13" s="197"/>
      <c r="C13" s="198"/>
      <c r="D13" s="73" t="s">
        <v>17</v>
      </c>
      <c r="E13" s="74">
        <f>+'EQUIPOS '!D26</f>
        <v>23200</v>
      </c>
      <c r="F13" s="69">
        <v>10</v>
      </c>
      <c r="G13" s="71">
        <f>+E13/F13</f>
        <v>2320</v>
      </c>
      <c r="H13" s="72"/>
    </row>
    <row r="14" spans="1:8">
      <c r="A14" s="196"/>
      <c r="B14" s="197"/>
      <c r="C14" s="198"/>
      <c r="D14" s="73"/>
      <c r="E14" s="74"/>
      <c r="F14" s="69"/>
      <c r="G14" s="71"/>
      <c r="H14" s="72"/>
    </row>
    <row r="15" spans="1:8">
      <c r="A15" s="196"/>
      <c r="B15" s="197"/>
      <c r="C15" s="198"/>
      <c r="D15" s="73"/>
      <c r="E15" s="74"/>
      <c r="F15" s="69"/>
      <c r="G15" s="71"/>
      <c r="H15" s="72"/>
    </row>
    <row r="16" spans="1:8" ht="15.75" thickBot="1">
      <c r="A16" s="199"/>
      <c r="B16" s="200"/>
      <c r="C16" s="201"/>
      <c r="D16" s="76"/>
      <c r="E16" s="77"/>
      <c r="F16" s="78"/>
      <c r="G16" s="79"/>
      <c r="H16" s="80"/>
    </row>
    <row r="17" spans="1:8" ht="15.75" thickBot="1">
      <c r="A17" s="61"/>
      <c r="B17" s="61"/>
      <c r="C17" s="61"/>
      <c r="D17" s="61"/>
      <c r="E17" s="61"/>
      <c r="F17" s="61"/>
      <c r="G17" s="81" t="s">
        <v>491</v>
      </c>
      <c r="H17" s="82">
        <f>SUM(G12:G16)</f>
        <v>7191.2705814017345</v>
      </c>
    </row>
    <row r="18" spans="1:8" ht="15.75" thickBot="1">
      <c r="A18" s="63" t="s">
        <v>492</v>
      </c>
      <c r="B18" s="63"/>
      <c r="C18" s="61"/>
      <c r="D18" s="61"/>
      <c r="E18" s="61"/>
      <c r="F18" s="61"/>
      <c r="G18" s="61"/>
      <c r="H18" s="61"/>
    </row>
    <row r="19" spans="1:8">
      <c r="A19" s="205" t="s">
        <v>485</v>
      </c>
      <c r="B19" s="206"/>
      <c r="C19" s="207"/>
      <c r="D19" s="207" t="s">
        <v>493</v>
      </c>
      <c r="E19" s="207" t="s">
        <v>494</v>
      </c>
      <c r="F19" s="207" t="s">
        <v>495</v>
      </c>
      <c r="G19" s="206" t="s">
        <v>489</v>
      </c>
      <c r="H19" s="67"/>
    </row>
    <row r="20" spans="1:8">
      <c r="A20" s="127"/>
      <c r="B20" s="84"/>
      <c r="C20" s="85"/>
      <c r="D20" s="141"/>
      <c r="E20" s="139"/>
      <c r="F20" s="163"/>
      <c r="G20" s="137"/>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193" t="s">
        <v>497</v>
      </c>
      <c r="B26" s="195"/>
      <c r="C26" s="93" t="s">
        <v>498</v>
      </c>
      <c r="D26" s="195" t="s">
        <v>499</v>
      </c>
      <c r="E26" s="195" t="s">
        <v>500</v>
      </c>
      <c r="F26" s="195"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93" t="s">
        <v>503</v>
      </c>
      <c r="B32" s="195"/>
      <c r="C32" s="195" t="s">
        <v>504</v>
      </c>
      <c r="D32" s="195" t="s">
        <v>505</v>
      </c>
      <c r="E32" s="124" t="s">
        <v>506</v>
      </c>
      <c r="F32" s="102" t="s">
        <v>488</v>
      </c>
      <c r="G32" s="194" t="s">
        <v>489</v>
      </c>
      <c r="H32" s="67"/>
    </row>
    <row r="33" spans="1:8">
      <c r="A33" s="83" t="s">
        <v>553</v>
      </c>
      <c r="B33" s="84"/>
      <c r="C33" s="103">
        <f>+SALARIOS!C49*2</f>
        <v>51144</v>
      </c>
      <c r="D33" s="104">
        <f>+SALARIOS!C48</f>
        <v>1.7846558312967005</v>
      </c>
      <c r="E33" s="69">
        <f>+C33*D33</f>
        <v>91274.437835838442</v>
      </c>
      <c r="F33" s="69">
        <v>3.4</v>
      </c>
      <c r="G33" s="105">
        <f>+E33/F33</f>
        <v>26845.422892893661</v>
      </c>
      <c r="H33" s="72"/>
    </row>
    <row r="34" spans="1:8">
      <c r="A34" s="83" t="s">
        <v>624</v>
      </c>
      <c r="B34" s="84"/>
      <c r="C34" s="103">
        <f>+SALARIOS!C50</f>
        <v>41660</v>
      </c>
      <c r="D34" s="104">
        <f>+SALARIOS!C48</f>
        <v>1.7846558312967005</v>
      </c>
      <c r="E34" s="69">
        <f>+C34*D34</f>
        <v>74348.76193182054</v>
      </c>
      <c r="F34" s="69">
        <v>3.4</v>
      </c>
      <c r="G34" s="105">
        <f>+E34/F34</f>
        <v>21867.282921123689</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48712.705814017347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55903.976395419078</v>
      </c>
    </row>
    <row r="40" spans="1:8" ht="15.75" thickBot="1">
      <c r="A40" s="63" t="s">
        <v>509</v>
      </c>
      <c r="B40" s="63"/>
      <c r="C40" s="61"/>
      <c r="D40" s="61"/>
      <c r="E40" s="61"/>
      <c r="F40" s="61"/>
      <c r="G40" s="61"/>
      <c r="H40" s="61"/>
    </row>
    <row r="41" spans="1:8">
      <c r="A41" s="233" t="s">
        <v>485</v>
      </c>
      <c r="B41" s="206"/>
      <c r="C41" s="206"/>
      <c r="D41" s="206"/>
      <c r="E41" s="207"/>
      <c r="F41" s="207" t="s">
        <v>510</v>
      </c>
      <c r="G41" s="206" t="s">
        <v>511</v>
      </c>
      <c r="H41" s="67"/>
    </row>
    <row r="42" spans="1:8">
      <c r="A42" s="83" t="s">
        <v>512</v>
      </c>
      <c r="B42" s="84"/>
      <c r="C42" s="84"/>
      <c r="D42" s="84"/>
      <c r="E42" s="85"/>
      <c r="F42" s="115">
        <f>+SALARIOS!C45</f>
        <v>0.15</v>
      </c>
      <c r="G42" s="116">
        <f>++F42*H39</f>
        <v>8385.596459312861</v>
      </c>
      <c r="H42" s="117"/>
    </row>
    <row r="43" spans="1:8">
      <c r="A43" s="83" t="s">
        <v>513</v>
      </c>
      <c r="B43" s="84"/>
      <c r="C43" s="84"/>
      <c r="D43" s="84"/>
      <c r="E43" s="85"/>
      <c r="F43" s="115">
        <f>+SALARIOS!C46</f>
        <v>0.05</v>
      </c>
      <c r="G43" s="116">
        <f>+F43*H39</f>
        <v>2795.1988197709543</v>
      </c>
      <c r="H43" s="117"/>
    </row>
    <row r="44" spans="1:8" ht="15.75" thickBot="1">
      <c r="A44" s="89" t="s">
        <v>514</v>
      </c>
      <c r="B44" s="90"/>
      <c r="C44" s="90"/>
      <c r="D44" s="90"/>
      <c r="E44" s="91"/>
      <c r="F44" s="118">
        <f>+SALARIOS!C47</f>
        <v>0.05</v>
      </c>
      <c r="G44" s="119">
        <f>+F44*H39</f>
        <v>2795.1988197709543</v>
      </c>
      <c r="H44" s="80"/>
    </row>
    <row r="45" spans="1:8" ht="15.75" thickBot="1">
      <c r="A45" s="61"/>
      <c r="B45" s="61"/>
      <c r="C45" s="61"/>
      <c r="D45" s="61"/>
      <c r="E45" s="61"/>
      <c r="F45" s="61"/>
      <c r="G45" s="81" t="s">
        <v>491</v>
      </c>
      <c r="H45" s="120">
        <f>SUM(G42:G44)</f>
        <v>13975.99409885477</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69880</v>
      </c>
    </row>
  </sheetData>
  <mergeCells count="1">
    <mergeCell ref="A3:C4"/>
  </mergeCell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H47"/>
  <sheetViews>
    <sheetView workbookViewId="0">
      <selection activeCell="J18" sqref="J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772</v>
      </c>
      <c r="H7" s="61"/>
    </row>
    <row r="8" spans="1:8">
      <c r="A8" s="60" t="s">
        <v>750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H37*10%</f>
        <v>5175.7249927393432</v>
      </c>
      <c r="H12" s="72"/>
    </row>
    <row r="13" spans="1:8">
      <c r="A13" s="196" t="s">
        <v>255</v>
      </c>
      <c r="B13" s="197"/>
      <c r="C13" s="198"/>
      <c r="D13" s="73" t="s">
        <v>17</v>
      </c>
      <c r="E13" s="74">
        <f>+'EQUIPOS '!D26</f>
        <v>23200</v>
      </c>
      <c r="F13" s="69">
        <v>10</v>
      </c>
      <c r="G13" s="71">
        <f>+E13/F13</f>
        <v>2320</v>
      </c>
      <c r="H13" s="72"/>
    </row>
    <row r="14" spans="1:8">
      <c r="A14" s="196"/>
      <c r="B14" s="197"/>
      <c r="C14" s="198"/>
      <c r="D14" s="73"/>
      <c r="E14" s="74"/>
      <c r="F14" s="69"/>
      <c r="G14" s="71"/>
      <c r="H14" s="72"/>
    </row>
    <row r="15" spans="1:8">
      <c r="A15" s="196"/>
      <c r="B15" s="197"/>
      <c r="C15" s="198"/>
      <c r="D15" s="73"/>
      <c r="E15" s="74"/>
      <c r="F15" s="69"/>
      <c r="G15" s="71"/>
      <c r="H15" s="72"/>
    </row>
    <row r="16" spans="1:8" ht="15.75" thickBot="1">
      <c r="A16" s="199"/>
      <c r="B16" s="200"/>
      <c r="C16" s="201"/>
      <c r="D16" s="76"/>
      <c r="E16" s="77"/>
      <c r="F16" s="78"/>
      <c r="G16" s="79"/>
      <c r="H16" s="80"/>
    </row>
    <row r="17" spans="1:8" ht="15.75" thickBot="1">
      <c r="A17" s="61"/>
      <c r="B17" s="61"/>
      <c r="C17" s="61"/>
      <c r="D17" s="61"/>
      <c r="E17" s="61"/>
      <c r="F17" s="61"/>
      <c r="G17" s="81" t="s">
        <v>491</v>
      </c>
      <c r="H17" s="82">
        <f>SUM(G12:G16)</f>
        <v>7495.7249927393432</v>
      </c>
    </row>
    <row r="18" spans="1:8" ht="15.75" thickBot="1">
      <c r="A18" s="63" t="s">
        <v>492</v>
      </c>
      <c r="B18" s="63"/>
      <c r="C18" s="61"/>
      <c r="D18" s="61"/>
      <c r="E18" s="61"/>
      <c r="F18" s="61"/>
      <c r="G18" s="61"/>
      <c r="H18" s="61"/>
    </row>
    <row r="19" spans="1:8">
      <c r="A19" s="205" t="s">
        <v>485</v>
      </c>
      <c r="B19" s="206"/>
      <c r="C19" s="207"/>
      <c r="D19" s="207" t="s">
        <v>493</v>
      </c>
      <c r="E19" s="207" t="s">
        <v>494</v>
      </c>
      <c r="F19" s="207" t="s">
        <v>495</v>
      </c>
      <c r="G19" s="206" t="s">
        <v>489</v>
      </c>
      <c r="H19" s="67"/>
    </row>
    <row r="20" spans="1:8">
      <c r="A20" s="127"/>
      <c r="B20" s="84"/>
      <c r="C20" s="85"/>
      <c r="D20" s="141"/>
      <c r="E20" s="139"/>
      <c r="F20" s="163"/>
      <c r="G20" s="137"/>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193" t="s">
        <v>497</v>
      </c>
      <c r="B26" s="195"/>
      <c r="C26" s="93" t="s">
        <v>498</v>
      </c>
      <c r="D26" s="195" t="s">
        <v>499</v>
      </c>
      <c r="E26" s="195" t="s">
        <v>500</v>
      </c>
      <c r="F26" s="195"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93" t="s">
        <v>503</v>
      </c>
      <c r="B32" s="195"/>
      <c r="C32" s="195" t="s">
        <v>504</v>
      </c>
      <c r="D32" s="195" t="s">
        <v>505</v>
      </c>
      <c r="E32" s="124" t="s">
        <v>506</v>
      </c>
      <c r="F32" s="102" t="s">
        <v>488</v>
      </c>
      <c r="G32" s="194" t="s">
        <v>489</v>
      </c>
      <c r="H32" s="67"/>
    </row>
    <row r="33" spans="1:8">
      <c r="A33" s="83" t="s">
        <v>553</v>
      </c>
      <c r="B33" s="84"/>
      <c r="C33" s="103">
        <f>+SALARIOS!C49*2</f>
        <v>51144</v>
      </c>
      <c r="D33" s="104">
        <f>+SALARIOS!C48</f>
        <v>1.7846558312967005</v>
      </c>
      <c r="E33" s="69">
        <f>+C33*D33</f>
        <v>91274.437835838442</v>
      </c>
      <c r="F33" s="69">
        <v>3.2</v>
      </c>
      <c r="G33" s="105">
        <f>+E33/F33</f>
        <v>28523.261823699511</v>
      </c>
      <c r="H33" s="72"/>
    </row>
    <row r="34" spans="1:8">
      <c r="A34" s="83" t="s">
        <v>624</v>
      </c>
      <c r="B34" s="84"/>
      <c r="C34" s="103">
        <f>+SALARIOS!C50</f>
        <v>41660</v>
      </c>
      <c r="D34" s="104">
        <f>+SALARIOS!C48</f>
        <v>1.7846558312967005</v>
      </c>
      <c r="E34" s="69">
        <f>+C34*D34</f>
        <v>74348.76193182054</v>
      </c>
      <c r="F34" s="69">
        <v>3.2</v>
      </c>
      <c r="G34" s="105">
        <f>+E34/F34</f>
        <v>23233.988103693919</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51757.24992739343</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59252.974920132772</v>
      </c>
    </row>
    <row r="40" spans="1:8" ht="15.75" thickBot="1">
      <c r="A40" s="63" t="s">
        <v>509</v>
      </c>
      <c r="B40" s="63"/>
      <c r="C40" s="61"/>
      <c r="D40" s="61"/>
      <c r="E40" s="61"/>
      <c r="F40" s="61"/>
      <c r="G40" s="61"/>
      <c r="H40" s="61"/>
    </row>
    <row r="41" spans="1:8">
      <c r="A41" s="233" t="s">
        <v>485</v>
      </c>
      <c r="B41" s="206"/>
      <c r="C41" s="206"/>
      <c r="D41" s="206"/>
      <c r="E41" s="207"/>
      <c r="F41" s="207" t="s">
        <v>510</v>
      </c>
      <c r="G41" s="206" t="s">
        <v>511</v>
      </c>
      <c r="H41" s="67"/>
    </row>
    <row r="42" spans="1:8">
      <c r="A42" s="83" t="s">
        <v>512</v>
      </c>
      <c r="B42" s="84"/>
      <c r="C42" s="84"/>
      <c r="D42" s="84"/>
      <c r="E42" s="85"/>
      <c r="F42" s="115">
        <f>+SALARIOS!C45</f>
        <v>0.15</v>
      </c>
      <c r="G42" s="116">
        <f>++F42*H39</f>
        <v>8887.9462380199147</v>
      </c>
      <c r="H42" s="117"/>
    </row>
    <row r="43" spans="1:8">
      <c r="A43" s="83" t="s">
        <v>513</v>
      </c>
      <c r="B43" s="84"/>
      <c r="C43" s="84"/>
      <c r="D43" s="84"/>
      <c r="E43" s="85"/>
      <c r="F43" s="115">
        <f>+SALARIOS!C46</f>
        <v>0.05</v>
      </c>
      <c r="G43" s="116">
        <f>+F43*H39</f>
        <v>2962.6487460066387</v>
      </c>
      <c r="H43" s="117"/>
    </row>
    <row r="44" spans="1:8" ht="15.75" thickBot="1">
      <c r="A44" s="89" t="s">
        <v>514</v>
      </c>
      <c r="B44" s="90"/>
      <c r="C44" s="90"/>
      <c r="D44" s="90"/>
      <c r="E44" s="91"/>
      <c r="F44" s="118">
        <f>+SALARIOS!C47</f>
        <v>0.05</v>
      </c>
      <c r="G44" s="119">
        <f>+F44*H39</f>
        <v>2962.6487460066387</v>
      </c>
      <c r="H44" s="80"/>
    </row>
    <row r="45" spans="1:8" ht="15.75" thickBot="1">
      <c r="A45" s="61"/>
      <c r="B45" s="61"/>
      <c r="C45" s="61"/>
      <c r="D45" s="61"/>
      <c r="E45" s="61"/>
      <c r="F45" s="61"/>
      <c r="G45" s="81" t="s">
        <v>491</v>
      </c>
      <c r="H45" s="120">
        <f>SUM(G42:G44)</f>
        <v>14813.243730033191</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74066</v>
      </c>
    </row>
  </sheetData>
  <mergeCells count="1">
    <mergeCell ref="A3:C4"/>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H47"/>
  <sheetViews>
    <sheetView workbookViewId="0">
      <selection activeCell="K18" sqref="K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755</v>
      </c>
      <c r="B7" s="62"/>
      <c r="C7" s="61"/>
      <c r="D7" s="16"/>
      <c r="E7" s="62"/>
      <c r="F7" s="16"/>
      <c r="G7" s="62" t="s">
        <v>773</v>
      </c>
      <c r="H7" s="61"/>
    </row>
    <row r="8" spans="1:8">
      <c r="A8" s="60" t="s">
        <v>753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H37*10%</f>
        <v>5974.3636651976158</v>
      </c>
      <c r="H12" s="72"/>
    </row>
    <row r="13" spans="1:8">
      <c r="A13" s="196" t="s">
        <v>255</v>
      </c>
      <c r="B13" s="197"/>
      <c r="C13" s="198"/>
      <c r="D13" s="73" t="s">
        <v>17</v>
      </c>
      <c r="E13" s="74">
        <f>+'EQUIPOS '!D26</f>
        <v>23200</v>
      </c>
      <c r="F13" s="69">
        <v>10</v>
      </c>
      <c r="G13" s="71">
        <f>+E13/F13</f>
        <v>2320</v>
      </c>
      <c r="H13" s="72"/>
    </row>
    <row r="14" spans="1:8">
      <c r="A14" s="196"/>
      <c r="B14" s="197"/>
      <c r="C14" s="198"/>
      <c r="D14" s="73"/>
      <c r="E14" s="74"/>
      <c r="F14" s="69"/>
      <c r="G14" s="71"/>
      <c r="H14" s="72"/>
    </row>
    <row r="15" spans="1:8">
      <c r="A15" s="196"/>
      <c r="B15" s="197"/>
      <c r="C15" s="198"/>
      <c r="D15" s="73"/>
      <c r="E15" s="74"/>
      <c r="F15" s="69"/>
      <c r="G15" s="71"/>
      <c r="H15" s="72"/>
    </row>
    <row r="16" spans="1:8" ht="15.75" thickBot="1">
      <c r="A16" s="199"/>
      <c r="B16" s="200"/>
      <c r="C16" s="201"/>
      <c r="D16" s="76"/>
      <c r="E16" s="77"/>
      <c r="F16" s="78"/>
      <c r="G16" s="79"/>
      <c r="H16" s="80"/>
    </row>
    <row r="17" spans="1:8" ht="15.75" thickBot="1">
      <c r="A17" s="61"/>
      <c r="B17" s="61"/>
      <c r="C17" s="61"/>
      <c r="D17" s="61"/>
      <c r="E17" s="61"/>
      <c r="F17" s="61"/>
      <c r="G17" s="81" t="s">
        <v>491</v>
      </c>
      <c r="H17" s="82">
        <f>SUM(G12:G16)</f>
        <v>8294.3636651976158</v>
      </c>
    </row>
    <row r="18" spans="1:8" ht="15.75" thickBot="1">
      <c r="A18" s="63" t="s">
        <v>492</v>
      </c>
      <c r="B18" s="63"/>
      <c r="C18" s="61"/>
      <c r="D18" s="61"/>
      <c r="E18" s="61"/>
      <c r="F18" s="61"/>
      <c r="G18" s="61"/>
      <c r="H18" s="61"/>
    </row>
    <row r="19" spans="1:8">
      <c r="A19" s="205" t="s">
        <v>485</v>
      </c>
      <c r="B19" s="206"/>
      <c r="C19" s="207"/>
      <c r="D19" s="207" t="s">
        <v>493</v>
      </c>
      <c r="E19" s="207" t="s">
        <v>494</v>
      </c>
      <c r="F19" s="207" t="s">
        <v>495</v>
      </c>
      <c r="G19" s="206" t="s">
        <v>489</v>
      </c>
      <c r="H19" s="67"/>
    </row>
    <row r="20" spans="1:8">
      <c r="A20" s="127"/>
      <c r="B20" s="84"/>
      <c r="C20" s="85"/>
      <c r="D20" s="141"/>
      <c r="E20" s="139"/>
      <c r="F20" s="163"/>
      <c r="G20" s="137"/>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193" t="s">
        <v>497</v>
      </c>
      <c r="B26" s="195"/>
      <c r="C26" s="93" t="s">
        <v>498</v>
      </c>
      <c r="D26" s="195" t="s">
        <v>499</v>
      </c>
      <c r="E26" s="195" t="s">
        <v>500</v>
      </c>
      <c r="F26" s="195"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93" t="s">
        <v>503</v>
      </c>
      <c r="B32" s="195"/>
      <c r="C32" s="195" t="s">
        <v>504</v>
      </c>
      <c r="D32" s="195" t="s">
        <v>505</v>
      </c>
      <c r="E32" s="124" t="s">
        <v>506</v>
      </c>
      <c r="F32" s="102" t="s">
        <v>488</v>
      </c>
      <c r="G32" s="194" t="s">
        <v>489</v>
      </c>
      <c r="H32" s="67"/>
    </row>
    <row r="33" spans="1:8">
      <c r="A33" s="83" t="s">
        <v>656</v>
      </c>
      <c r="B33" s="84"/>
      <c r="C33" s="103">
        <f>+SALARIOS!C49*4</f>
        <v>102288</v>
      </c>
      <c r="D33" s="104">
        <f>+SALARIOS!C48</f>
        <v>1.7846558312967005</v>
      </c>
      <c r="E33" s="69">
        <f>+C33*D33</f>
        <v>182548.87567167688</v>
      </c>
      <c r="F33" s="69">
        <v>4.3</v>
      </c>
      <c r="G33" s="105">
        <f>+E33/F33</f>
        <v>42453.226900389978</v>
      </c>
      <c r="H33" s="72"/>
    </row>
    <row r="34" spans="1:8">
      <c r="A34" s="83" t="s">
        <v>624</v>
      </c>
      <c r="B34" s="84"/>
      <c r="C34" s="103">
        <f>+SALARIOS!C50</f>
        <v>41660</v>
      </c>
      <c r="D34" s="104">
        <f>+SALARIOS!C48</f>
        <v>1.7846558312967005</v>
      </c>
      <c r="E34" s="69">
        <f>+C34*D34</f>
        <v>74348.76193182054</v>
      </c>
      <c r="F34" s="69">
        <v>4.3</v>
      </c>
      <c r="G34" s="105">
        <f>+E34/F34</f>
        <v>17290.409751586172</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59743.63665197615</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68038.000317173763</v>
      </c>
    </row>
    <row r="40" spans="1:8" ht="15.75" thickBot="1">
      <c r="A40" s="63" t="s">
        <v>509</v>
      </c>
      <c r="B40" s="63"/>
      <c r="C40" s="61"/>
      <c r="D40" s="61"/>
      <c r="E40" s="61"/>
      <c r="F40" s="61"/>
      <c r="G40" s="61"/>
      <c r="H40" s="61"/>
    </row>
    <row r="41" spans="1:8">
      <c r="A41" s="233" t="s">
        <v>485</v>
      </c>
      <c r="B41" s="206"/>
      <c r="C41" s="206"/>
      <c r="D41" s="206"/>
      <c r="E41" s="207"/>
      <c r="F41" s="207" t="s">
        <v>510</v>
      </c>
      <c r="G41" s="206" t="s">
        <v>511</v>
      </c>
      <c r="H41" s="67"/>
    </row>
    <row r="42" spans="1:8">
      <c r="A42" s="83" t="s">
        <v>512</v>
      </c>
      <c r="B42" s="84"/>
      <c r="C42" s="84"/>
      <c r="D42" s="84"/>
      <c r="E42" s="85"/>
      <c r="F42" s="115">
        <f>+SALARIOS!C45</f>
        <v>0.15</v>
      </c>
      <c r="G42" s="116">
        <f>++F42*H39</f>
        <v>10205.700047576063</v>
      </c>
      <c r="H42" s="117"/>
    </row>
    <row r="43" spans="1:8">
      <c r="A43" s="83" t="s">
        <v>513</v>
      </c>
      <c r="B43" s="84"/>
      <c r="C43" s="84"/>
      <c r="D43" s="84"/>
      <c r="E43" s="85"/>
      <c r="F43" s="115">
        <f>+SALARIOS!C46</f>
        <v>0.05</v>
      </c>
      <c r="G43" s="116">
        <f>+F43*H39</f>
        <v>3401.9000158586882</v>
      </c>
      <c r="H43" s="117"/>
    </row>
    <row r="44" spans="1:8" ht="15.75" thickBot="1">
      <c r="A44" s="89" t="s">
        <v>514</v>
      </c>
      <c r="B44" s="90"/>
      <c r="C44" s="90"/>
      <c r="D44" s="90"/>
      <c r="E44" s="91"/>
      <c r="F44" s="118">
        <f>+SALARIOS!C47</f>
        <v>0.05</v>
      </c>
      <c r="G44" s="119">
        <f>+F44*H39</f>
        <v>3401.9000158586882</v>
      </c>
      <c r="H44" s="80"/>
    </row>
    <row r="45" spans="1:8" ht="15.75" thickBot="1">
      <c r="A45" s="61"/>
      <c r="B45" s="61"/>
      <c r="C45" s="61"/>
      <c r="D45" s="61"/>
      <c r="E45" s="61"/>
      <c r="F45" s="61"/>
      <c r="G45" s="81" t="s">
        <v>491</v>
      </c>
      <c r="H45" s="120">
        <f>SUM(G42:G44)</f>
        <v>17009.500079293441</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85048</v>
      </c>
    </row>
  </sheetData>
  <mergeCells count="1">
    <mergeCell ref="A3:C4"/>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H48"/>
  <sheetViews>
    <sheetView topLeftCell="A4" workbookViewId="0">
      <selection activeCell="A14" sqref="A14:G1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774</v>
      </c>
      <c r="H7" s="61"/>
    </row>
    <row r="8" spans="1:8">
      <c r="A8" s="60" t="s">
        <v>775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14</v>
      </c>
      <c r="B12" s="209"/>
      <c r="C12" s="210"/>
      <c r="D12" s="68" t="s">
        <v>6</v>
      </c>
      <c r="E12" s="86">
        <f>+'EQUIPOS '!D10</f>
        <v>87000</v>
      </c>
      <c r="F12" s="161">
        <v>3</v>
      </c>
      <c r="G12" s="71">
        <f>+E12/F12</f>
        <v>29000</v>
      </c>
      <c r="H12" s="72"/>
    </row>
    <row r="13" spans="1:8">
      <c r="A13" s="175" t="s">
        <v>1327</v>
      </c>
      <c r="B13" s="176"/>
      <c r="C13" s="174"/>
      <c r="D13" s="174"/>
      <c r="E13" s="173"/>
      <c r="F13" s="69"/>
      <c r="G13" s="173">
        <f>H38*10%</f>
        <v>8028.0511751092945</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37028.051175109293</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t="s">
        <v>776</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3.2</v>
      </c>
      <c r="G34" s="105">
        <f>+E34/F34</f>
        <v>57046.523647399023</v>
      </c>
      <c r="H34" s="72"/>
    </row>
    <row r="35" spans="1:8">
      <c r="A35" s="83" t="s">
        <v>624</v>
      </c>
      <c r="B35" s="84"/>
      <c r="C35" s="103">
        <f>+SALARIOS!C50</f>
        <v>41660</v>
      </c>
      <c r="D35" s="104">
        <f>+SALARIOS!C48</f>
        <v>1.7846558312967005</v>
      </c>
      <c r="E35" s="69">
        <f>+C35*D35</f>
        <v>74348.76193182054</v>
      </c>
      <c r="F35" s="69">
        <v>3.2</v>
      </c>
      <c r="G35" s="105">
        <f>+E35/F35</f>
        <v>23233.988103693919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80280.511751092941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117308.56292620223</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17596.284438930332</v>
      </c>
      <c r="H43" s="117"/>
    </row>
    <row r="44" spans="1:8">
      <c r="A44" s="83" t="s">
        <v>513</v>
      </c>
      <c r="B44" s="84"/>
      <c r="C44" s="84"/>
      <c r="D44" s="84"/>
      <c r="E44" s="85"/>
      <c r="F44" s="115">
        <f>+SALARIOS!C46</f>
        <v>0.05</v>
      </c>
      <c r="G44" s="116">
        <f>+F44*H40</f>
        <v>5865.4281463101115</v>
      </c>
      <c r="H44" s="117"/>
    </row>
    <row r="45" spans="1:8" ht="15.75" thickBot="1">
      <c r="A45" s="89" t="s">
        <v>514</v>
      </c>
      <c r="B45" s="90"/>
      <c r="C45" s="90"/>
      <c r="D45" s="90"/>
      <c r="E45" s="91"/>
      <c r="F45" s="118">
        <f>+SALARIOS!C47</f>
        <v>0.05</v>
      </c>
      <c r="G45" s="119">
        <f>+F45*H40</f>
        <v>5865.4281463101115</v>
      </c>
      <c r="H45" s="80"/>
    </row>
    <row r="46" spans="1:8" ht="15.75" thickBot="1">
      <c r="A46" s="61"/>
      <c r="B46" s="61"/>
      <c r="C46" s="61"/>
      <c r="D46" s="61"/>
      <c r="E46" s="61"/>
      <c r="F46" s="61"/>
      <c r="G46" s="81" t="s">
        <v>491</v>
      </c>
      <c r="H46" s="120">
        <f>SUM(G43:G45)</f>
        <v>29327.140731550553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146636</v>
      </c>
    </row>
  </sheetData>
  <mergeCells count="1">
    <mergeCell ref="A3:C4"/>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H48"/>
  <sheetViews>
    <sheetView topLeftCell="A7" workbookViewId="0">
      <selection activeCell="A14" sqref="A14:G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777</v>
      </c>
      <c r="H7" s="61"/>
    </row>
    <row r="8" spans="1:8">
      <c r="A8" s="60" t="s">
        <v>778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14</v>
      </c>
      <c r="B12" s="209"/>
      <c r="C12" s="210"/>
      <c r="D12" s="68" t="s">
        <v>6</v>
      </c>
      <c r="E12" s="86">
        <f>+'EQUIPOS '!D10</f>
        <v>87000</v>
      </c>
      <c r="F12" s="161">
        <v>3</v>
      </c>
      <c r="G12" s="71">
        <f>+E12/F12</f>
        <v>29000</v>
      </c>
      <c r="H12" s="72"/>
    </row>
    <row r="13" spans="1:8">
      <c r="A13" s="175" t="s">
        <v>1327</v>
      </c>
      <c r="B13" s="176"/>
      <c r="C13" s="174"/>
      <c r="D13" s="174"/>
      <c r="E13" s="173"/>
      <c r="F13" s="69"/>
      <c r="G13" s="173">
        <f>H38*10%</f>
        <v>9174.9156286963389</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38174.915628696341</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2.8</v>
      </c>
      <c r="G34" s="105">
        <f>+E34/F34</f>
        <v>65196.027025598894</v>
      </c>
      <c r="H34" s="72"/>
    </row>
    <row r="35" spans="1:8">
      <c r="A35" s="83" t="s">
        <v>624</v>
      </c>
      <c r="B35" s="84"/>
      <c r="C35" s="103">
        <f>+SALARIOS!C50</f>
        <v>41660</v>
      </c>
      <c r="D35" s="104">
        <f>+SALARIOS!C48</f>
        <v>1.7846558312967005</v>
      </c>
      <c r="E35" s="69">
        <f>+C35*D35</f>
        <v>74348.76193182054</v>
      </c>
      <c r="F35" s="69">
        <v>2.8</v>
      </c>
      <c r="G35" s="105">
        <f>+E35/F35</f>
        <v>26553.12926136448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91749.156286963378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129924.07191565972</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19488.610787348956</v>
      </c>
      <c r="H43" s="117"/>
    </row>
    <row r="44" spans="1:8">
      <c r="A44" s="83" t="s">
        <v>513</v>
      </c>
      <c r="B44" s="84"/>
      <c r="C44" s="84"/>
      <c r="D44" s="84"/>
      <c r="E44" s="85"/>
      <c r="F44" s="115">
        <f>+SALARIOS!C46</f>
        <v>0.05</v>
      </c>
      <c r="G44" s="116">
        <f>+F44*H40</f>
        <v>6496.2035957829867</v>
      </c>
      <c r="H44" s="117"/>
    </row>
    <row r="45" spans="1:8" ht="15.75" thickBot="1">
      <c r="A45" s="89" t="s">
        <v>514</v>
      </c>
      <c r="B45" s="90"/>
      <c r="C45" s="90"/>
      <c r="D45" s="90"/>
      <c r="E45" s="91"/>
      <c r="F45" s="118">
        <f>+SALARIOS!C47</f>
        <v>0.05</v>
      </c>
      <c r="G45" s="119">
        <f>+F45*H40</f>
        <v>6496.2035957829867</v>
      </c>
      <c r="H45" s="80"/>
    </row>
    <row r="46" spans="1:8" ht="15.75" thickBot="1">
      <c r="A46" s="61"/>
      <c r="B46" s="61"/>
      <c r="C46" s="61"/>
      <c r="D46" s="61"/>
      <c r="E46" s="61"/>
      <c r="F46" s="61"/>
      <c r="G46" s="81" t="s">
        <v>491</v>
      </c>
      <c r="H46" s="120">
        <f>SUM(G43:G45)</f>
        <v>32481.01797891493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162405</v>
      </c>
    </row>
  </sheetData>
  <mergeCells count="1">
    <mergeCell ref="A3:C4"/>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H48"/>
  <sheetViews>
    <sheetView topLeftCell="A7" workbookViewId="0">
      <selection activeCell="A14" sqref="A14:G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779</v>
      </c>
      <c r="H7" s="61"/>
    </row>
    <row r="8" spans="1:8">
      <c r="A8" s="60" t="s">
        <v>780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14</v>
      </c>
      <c r="B12" s="209"/>
      <c r="C12" s="210"/>
      <c r="D12" s="68" t="s">
        <v>6</v>
      </c>
      <c r="E12" s="86">
        <f>+'EQUIPOS '!D10</f>
        <v>87000</v>
      </c>
      <c r="F12" s="161">
        <v>3</v>
      </c>
      <c r="G12" s="71">
        <f>+E12/F12</f>
        <v>29000</v>
      </c>
      <c r="H12" s="72"/>
    </row>
    <row r="13" spans="1:8">
      <c r="A13" s="175" t="s">
        <v>1327</v>
      </c>
      <c r="B13" s="176"/>
      <c r="C13" s="174"/>
      <c r="D13" s="174"/>
      <c r="E13" s="173"/>
      <c r="F13" s="69"/>
      <c r="G13" s="173">
        <f>H38*10%</f>
        <v>10704.068233479062</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39704.068233479062</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2.4</v>
      </c>
      <c r="G34" s="105">
        <f>+E34/F34</f>
        <v>76062.031529865373</v>
      </c>
      <c r="H34" s="72"/>
    </row>
    <row r="35" spans="1:8">
      <c r="A35" s="83" t="s">
        <v>624</v>
      </c>
      <c r="B35" s="84"/>
      <c r="C35" s="103">
        <f>+SALARIOS!C50</f>
        <v>41660</v>
      </c>
      <c r="D35" s="104">
        <f>+SALARIOS!C48</f>
        <v>1.7846558312967005</v>
      </c>
      <c r="E35" s="69">
        <f>+C35*D35</f>
        <v>74348.76193182054</v>
      </c>
      <c r="F35" s="69">
        <v>2.4</v>
      </c>
      <c r="G35" s="105">
        <f>+E35/F35</f>
        <v>30978.650804925226</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107040.6823347906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146744.75056826966</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22011.71258524045</v>
      </c>
      <c r="H43" s="117"/>
    </row>
    <row r="44" spans="1:8">
      <c r="A44" s="83" t="s">
        <v>513</v>
      </c>
      <c r="B44" s="84"/>
      <c r="C44" s="84"/>
      <c r="D44" s="84"/>
      <c r="E44" s="85"/>
      <c r="F44" s="115">
        <f>+SALARIOS!C46</f>
        <v>0.05</v>
      </c>
      <c r="G44" s="116">
        <f>+F44*H40</f>
        <v>7337.2375284134832</v>
      </c>
      <c r="H44" s="117"/>
    </row>
    <row r="45" spans="1:8" ht="15.75" thickBot="1">
      <c r="A45" s="89" t="s">
        <v>514</v>
      </c>
      <c r="B45" s="90"/>
      <c r="C45" s="90"/>
      <c r="D45" s="90"/>
      <c r="E45" s="91"/>
      <c r="F45" s="118">
        <f>+SALARIOS!C47</f>
        <v>0.05</v>
      </c>
      <c r="G45" s="119">
        <f>+F45*H40</f>
        <v>7337.2375284134832</v>
      </c>
      <c r="H45" s="80"/>
    </row>
    <row r="46" spans="1:8" ht="15.75" thickBot="1">
      <c r="A46" s="61"/>
      <c r="B46" s="61"/>
      <c r="C46" s="61"/>
      <c r="D46" s="61"/>
      <c r="E46" s="61"/>
      <c r="F46" s="61"/>
      <c r="G46" s="81" t="s">
        <v>491</v>
      </c>
      <c r="H46" s="120">
        <f>SUM(G43:G45)</f>
        <v>36686.187642067416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183431</v>
      </c>
    </row>
  </sheetData>
  <mergeCells count="1">
    <mergeCell ref="A3:C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50"/>
  <sheetViews>
    <sheetView topLeftCell="A31" workbookViewId="0">
      <selection activeCell="H40" sqref="H40"/>
    </sheetView>
  </sheetViews>
  <sheetFormatPr baseColWidth="10" defaultRowHeight="15"/>
  <cols>
    <col min="1" max="1" width="11.5703125" customWidth="1"/>
    <col min="2" max="2" width="10.42578125" customWidth="1"/>
    <col min="3" max="3" width="15.85546875" bestFit="1" customWidth="1"/>
  </cols>
  <sheetData>
    <row r="1" spans="1:8">
      <c r="A1" s="16"/>
      <c r="B1" s="16"/>
      <c r="C1" s="16"/>
      <c r="D1" s="16"/>
      <c r="E1" s="16"/>
      <c r="F1" s="16"/>
      <c r="G1" s="16"/>
      <c r="H1" s="16"/>
    </row>
    <row r="2" spans="1:8" ht="15.75" thickBot="1">
      <c r="A2" s="16"/>
      <c r="B2" s="16"/>
      <c r="C2" s="16"/>
      <c r="D2" s="16"/>
      <c r="E2" s="16"/>
      <c r="F2" s="16"/>
      <c r="G2" s="16"/>
      <c r="H2" s="16"/>
    </row>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521</v>
      </c>
      <c r="B7" s="62"/>
      <c r="C7" s="61"/>
      <c r="D7" s="16"/>
      <c r="E7" s="62"/>
      <c r="F7" s="16"/>
      <c r="G7" s="62" t="s">
        <v>531</v>
      </c>
      <c r="H7" s="61"/>
    </row>
    <row r="8" spans="1:8">
      <c r="A8" s="60" t="s">
        <v>1851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776" t="s">
        <v>486</v>
      </c>
      <c r="E11" s="65" t="s">
        <v>487</v>
      </c>
      <c r="F11" s="776" t="s">
        <v>488</v>
      </c>
      <c r="G11" s="775" t="s">
        <v>489</v>
      </c>
      <c r="H11" s="67"/>
    </row>
    <row r="12" spans="1:8">
      <c r="A12" s="1460"/>
      <c r="B12" s="1461"/>
      <c r="C12" s="1462"/>
      <c r="D12" s="68"/>
      <c r="E12" s="69"/>
      <c r="F12" s="814"/>
      <c r="G12" s="71"/>
      <c r="H12" s="72"/>
    </row>
    <row r="13" spans="1:8">
      <c r="A13" s="1463"/>
      <c r="B13" s="1464"/>
      <c r="C13" s="1465"/>
      <c r="D13" s="73"/>
      <c r="E13" s="74"/>
      <c r="F13" s="75"/>
      <c r="G13" s="71"/>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0</v>
      </c>
    </row>
    <row r="19" spans="1:8" ht="15.75" thickBot="1">
      <c r="A19" s="63" t="s">
        <v>492</v>
      </c>
      <c r="B19" s="63"/>
      <c r="C19" s="61"/>
      <c r="D19" s="61"/>
      <c r="E19" s="61"/>
      <c r="F19" s="61"/>
      <c r="G19" s="61"/>
      <c r="H19" s="61"/>
    </row>
    <row r="20" spans="1:8">
      <c r="A20" s="1454" t="s">
        <v>485</v>
      </c>
      <c r="B20" s="1455"/>
      <c r="C20" s="1456"/>
      <c r="D20" s="776" t="s">
        <v>493</v>
      </c>
      <c r="E20" s="776" t="s">
        <v>494</v>
      </c>
      <c r="F20" s="776" t="s">
        <v>495</v>
      </c>
      <c r="G20" s="775" t="s">
        <v>489</v>
      </c>
      <c r="H20" s="67"/>
    </row>
    <row r="21" spans="1:8" ht="24" customHeight="1">
      <c r="A21" s="1469" t="s">
        <v>374</v>
      </c>
      <c r="B21" s="1470"/>
      <c r="C21" s="1471"/>
      <c r="D21" s="68"/>
      <c r="E21" s="86">
        <f>MATERIALES!D67</f>
        <v>3000</v>
      </c>
      <c r="F21" s="161">
        <v>1</v>
      </c>
      <c r="G21" s="71">
        <f>E21*F21</f>
        <v>3000</v>
      </c>
      <c r="H21" s="72"/>
    </row>
    <row r="22" spans="1:8">
      <c r="A22" s="83"/>
      <c r="B22" s="84"/>
      <c r="C22" s="85"/>
      <c r="D22" s="68"/>
      <c r="E22" s="86"/>
      <c r="F22" s="70"/>
      <c r="G22" s="71"/>
      <c r="H22" s="72"/>
    </row>
    <row r="23" spans="1:8">
      <c r="A23" s="83"/>
      <c r="B23" s="84"/>
      <c r="C23" s="85"/>
      <c r="D23" s="73"/>
      <c r="E23" s="74"/>
      <c r="F23" s="87"/>
      <c r="G23" s="88"/>
      <c r="H23" s="72"/>
    </row>
    <row r="24" spans="1:8" ht="15.75" thickBot="1">
      <c r="A24" s="89"/>
      <c r="B24" s="90"/>
      <c r="C24" s="91"/>
      <c r="D24" s="76"/>
      <c r="E24" s="77"/>
      <c r="F24" s="78"/>
      <c r="G24" s="79"/>
      <c r="H24" s="80"/>
    </row>
    <row r="25" spans="1:8" ht="15.75" thickBot="1">
      <c r="A25" s="61"/>
      <c r="B25" s="61"/>
      <c r="C25" s="61"/>
      <c r="D25" s="61"/>
      <c r="E25" s="61"/>
      <c r="F25" s="61"/>
      <c r="G25" s="81" t="s">
        <v>491</v>
      </c>
      <c r="H25" s="82">
        <f>SUM(G21:G24)</f>
        <v>3000</v>
      </c>
    </row>
    <row r="26" spans="1:8" ht="15.75" thickBot="1">
      <c r="A26" s="92" t="s">
        <v>496</v>
      </c>
      <c r="B26" s="92"/>
      <c r="C26" s="90"/>
      <c r="D26" s="61"/>
      <c r="E26" s="61"/>
      <c r="F26" s="61"/>
      <c r="G26" s="61"/>
      <c r="H26" s="61"/>
    </row>
    <row r="27" spans="1:8">
      <c r="A27" s="1454" t="s">
        <v>497</v>
      </c>
      <c r="B27" s="1456"/>
      <c r="C27" s="93" t="s">
        <v>498</v>
      </c>
      <c r="D27" s="776" t="s">
        <v>499</v>
      </c>
      <c r="E27" s="776" t="s">
        <v>500</v>
      </c>
      <c r="F27" s="776"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10">
      <c r="A33" s="1454" t="s">
        <v>503</v>
      </c>
      <c r="B33" s="1456"/>
      <c r="C33" s="776" t="s">
        <v>504</v>
      </c>
      <c r="D33" s="776" t="s">
        <v>505</v>
      </c>
      <c r="E33" s="124" t="s">
        <v>506</v>
      </c>
      <c r="F33" s="102" t="s">
        <v>488</v>
      </c>
      <c r="G33" s="775" t="s">
        <v>489</v>
      </c>
      <c r="H33" s="67"/>
    </row>
    <row r="34" spans="1:10">
      <c r="A34" s="83"/>
      <c r="B34" s="84"/>
      <c r="C34" s="103"/>
      <c r="D34" s="104"/>
      <c r="E34" s="69"/>
      <c r="F34" s="69"/>
      <c r="G34" s="105"/>
      <c r="H34" s="72"/>
    </row>
    <row r="35" spans="1:10">
      <c r="A35" s="83"/>
      <c r="B35" s="84"/>
      <c r="C35" s="103"/>
      <c r="D35" s="104"/>
      <c r="E35" s="69"/>
      <c r="F35" s="69"/>
      <c r="G35" s="105"/>
      <c r="H35" s="72"/>
    </row>
    <row r="36" spans="1:10">
      <c r="A36" s="83"/>
      <c r="B36" s="84"/>
      <c r="C36" s="103"/>
      <c r="D36" s="104"/>
      <c r="E36" s="69"/>
      <c r="F36" s="69"/>
      <c r="G36" s="105"/>
      <c r="H36" s="72"/>
    </row>
    <row r="37" spans="1:10" ht="15.75" thickBot="1">
      <c r="A37" s="100"/>
      <c r="B37" s="106"/>
      <c r="C37" s="77"/>
      <c r="D37" s="91"/>
      <c r="E37" s="91"/>
      <c r="F37" s="91"/>
      <c r="G37" s="90"/>
      <c r="H37" s="80"/>
    </row>
    <row r="38" spans="1:10" ht="15.75" thickBot="1">
      <c r="A38" s="61"/>
      <c r="B38" s="61"/>
      <c r="C38" s="61"/>
      <c r="D38" s="61"/>
      <c r="E38" s="61"/>
      <c r="F38" s="61"/>
      <c r="G38" s="81" t="s">
        <v>491</v>
      </c>
      <c r="H38" s="82">
        <f>SUM(G34:G37)</f>
        <v>0</v>
      </c>
    </row>
    <row r="39" spans="1:10" ht="15.75" thickBot="1">
      <c r="A39" s="61"/>
      <c r="B39" s="61"/>
      <c r="C39" s="61"/>
      <c r="D39" s="61"/>
      <c r="E39" s="61"/>
      <c r="F39" s="61"/>
      <c r="G39" s="107"/>
      <c r="H39" s="58"/>
    </row>
    <row r="40" spans="1:10" ht="15.75" thickBot="1">
      <c r="A40" s="61"/>
      <c r="B40" s="61"/>
      <c r="C40" s="61"/>
      <c r="D40" s="61"/>
      <c r="E40" s="108" t="s">
        <v>508</v>
      </c>
      <c r="F40" s="109"/>
      <c r="G40" s="109"/>
      <c r="H40" s="82">
        <f>H18+H25+H31+H38</f>
        <v>3000</v>
      </c>
    </row>
    <row r="41" spans="1:10" ht="15.75" thickBot="1">
      <c r="A41" s="63" t="s">
        <v>509</v>
      </c>
      <c r="B41" s="63"/>
      <c r="C41" s="61"/>
      <c r="D41" s="61"/>
      <c r="E41" s="61"/>
      <c r="F41" s="61"/>
      <c r="G41" s="61"/>
      <c r="H41" s="61"/>
    </row>
    <row r="42" spans="1:10">
      <c r="A42" s="110" t="s">
        <v>485</v>
      </c>
      <c r="B42" s="111"/>
      <c r="C42" s="111"/>
      <c r="D42" s="111"/>
      <c r="E42" s="112"/>
      <c r="F42" s="788" t="s">
        <v>510</v>
      </c>
      <c r="G42" s="787" t="s">
        <v>511</v>
      </c>
      <c r="H42" s="67"/>
    </row>
    <row r="43" spans="1:10">
      <c r="A43" s="83" t="s">
        <v>512</v>
      </c>
      <c r="B43" s="84"/>
      <c r="C43" s="84"/>
      <c r="D43" s="84"/>
      <c r="E43" s="85"/>
      <c r="F43" s="115">
        <f>SALARIOS!C45</f>
        <v>0.15</v>
      </c>
      <c r="G43" s="116">
        <f>++F43*H40</f>
        <v>450</v>
      </c>
      <c r="H43" s="117"/>
    </row>
    <row r="44" spans="1:10">
      <c r="A44" s="83" t="s">
        <v>513</v>
      </c>
      <c r="B44" s="84"/>
      <c r="C44" s="84"/>
      <c r="D44" s="84"/>
      <c r="E44" s="85"/>
      <c r="F44" s="115">
        <f>SALARIOS!C46</f>
        <v>0.05</v>
      </c>
      <c r="G44" s="116">
        <f>+F44*H40</f>
        <v>150</v>
      </c>
      <c r="H44" s="117"/>
    </row>
    <row r="45" spans="1:10" ht="15.75" thickBot="1">
      <c r="A45" s="89" t="s">
        <v>514</v>
      </c>
      <c r="B45" s="90"/>
      <c r="C45" s="90"/>
      <c r="D45" s="90"/>
      <c r="E45" s="91"/>
      <c r="F45" s="118">
        <f>SALARIOS!C47</f>
        <v>0.05</v>
      </c>
      <c r="G45" s="119">
        <f>+F45*H40</f>
        <v>150</v>
      </c>
      <c r="H45" s="80"/>
    </row>
    <row r="46" spans="1:10" ht="15.75" thickBot="1">
      <c r="A46" s="61"/>
      <c r="B46" s="61"/>
      <c r="C46" s="61"/>
      <c r="D46" s="61"/>
      <c r="E46" s="61"/>
      <c r="F46" s="61"/>
      <c r="G46" s="81" t="s">
        <v>491</v>
      </c>
      <c r="H46" s="120">
        <f>SUM(G43:G45)</f>
        <v>750</v>
      </c>
    </row>
    <row r="47" spans="1:10" ht="15.75" thickBot="1">
      <c r="A47" s="61"/>
      <c r="B47" s="61"/>
      <c r="C47" s="61"/>
      <c r="D47" s="61"/>
      <c r="E47" s="61"/>
      <c r="F47" s="61"/>
      <c r="G47" s="61"/>
      <c r="H47" s="61"/>
    </row>
    <row r="48" spans="1:10" ht="15.75" thickBot="1">
      <c r="A48" s="16"/>
      <c r="B48" s="16"/>
      <c r="C48" s="61"/>
      <c r="D48" s="108" t="s">
        <v>515</v>
      </c>
      <c r="E48" s="109"/>
      <c r="F48" s="109"/>
      <c r="G48" s="109"/>
      <c r="H48" s="82">
        <f>ROUND((H40+H46),0)</f>
        <v>3750</v>
      </c>
      <c r="J48" s="189"/>
    </row>
    <row r="49" spans="1:8">
      <c r="A49" s="16"/>
      <c r="B49" s="16"/>
      <c r="C49" s="16"/>
      <c r="D49" s="16"/>
      <c r="E49" s="16"/>
      <c r="F49" s="16"/>
      <c r="G49" s="16"/>
      <c r="H49" s="16"/>
    </row>
    <row r="50" spans="1:8">
      <c r="A50" s="16"/>
      <c r="B50" s="16"/>
      <c r="C50" s="16"/>
      <c r="D50" s="16"/>
      <c r="E50" s="16"/>
      <c r="F50" s="16"/>
      <c r="G50" s="16"/>
      <c r="H50" s="16"/>
    </row>
  </sheetData>
  <mergeCells count="14">
    <mergeCell ref="A33:B33"/>
    <mergeCell ref="A21:C21"/>
    <mergeCell ref="A14:C14"/>
    <mergeCell ref="A15:C15"/>
    <mergeCell ref="A16:C16"/>
    <mergeCell ref="A17:C17"/>
    <mergeCell ref="A20:C20"/>
    <mergeCell ref="A27:B27"/>
    <mergeCell ref="A13:C13"/>
    <mergeCell ref="A3:C4"/>
    <mergeCell ref="A5:C5"/>
    <mergeCell ref="D5:H5"/>
    <mergeCell ref="A11:C11"/>
    <mergeCell ref="A12:C12"/>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H48"/>
  <sheetViews>
    <sheetView topLeftCell="A10" workbookViewId="0">
      <selection activeCell="A14" sqref="A14:G14"/>
    </sheetView>
  </sheetViews>
  <sheetFormatPr baseColWidth="10" defaultRowHeight="15"/>
  <sheetData>
    <row r="2" spans="1:8" ht="15.75" thickBot="1"/>
    <row r="3" spans="1:8" ht="15" customHeight="1">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781</v>
      </c>
      <c r="H7" s="61"/>
    </row>
    <row r="8" spans="1:8">
      <c r="A8" s="60" t="s">
        <v>782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14</v>
      </c>
      <c r="B12" s="209"/>
      <c r="C12" s="210"/>
      <c r="D12" s="68" t="s">
        <v>6</v>
      </c>
      <c r="E12" s="86">
        <f>+'EQUIPOS '!D10</f>
        <v>87000</v>
      </c>
      <c r="F12" s="161">
        <v>3</v>
      </c>
      <c r="G12" s="71">
        <f>+E12/F12</f>
        <v>29000</v>
      </c>
      <c r="H12" s="72"/>
    </row>
    <row r="13" spans="1:8">
      <c r="A13" s="175" t="s">
        <v>1327</v>
      </c>
      <c r="B13" s="176"/>
      <c r="C13" s="174"/>
      <c r="D13" s="174"/>
      <c r="E13" s="173"/>
      <c r="F13" s="69"/>
      <c r="G13" s="173">
        <f>H38*10%</f>
        <v>11417.672782377664</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40417.67278237766</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2.25</v>
      </c>
      <c r="G34" s="105">
        <f>+E34/F34</f>
        <v>81132.833631856396</v>
      </c>
      <c r="H34" s="72"/>
    </row>
    <row r="35" spans="1:8">
      <c r="A35" s="83" t="s">
        <v>624</v>
      </c>
      <c r="B35" s="84"/>
      <c r="C35" s="103">
        <f>+SALARIOS!C50</f>
        <v>41660</v>
      </c>
      <c r="D35" s="104">
        <f>+SALARIOS!C48</f>
        <v>1.7846558312967005</v>
      </c>
      <c r="E35" s="69">
        <f>+C35*D35</f>
        <v>74348.76193182054</v>
      </c>
      <c r="F35" s="69">
        <v>2.25</v>
      </c>
      <c r="G35" s="105">
        <f>+E35/F35</f>
        <v>33043.894191920241</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114176.72782377663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154594.40060615429</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23189.160090923142</v>
      </c>
      <c r="H43" s="117"/>
    </row>
    <row r="44" spans="1:8">
      <c r="A44" s="83" t="s">
        <v>513</v>
      </c>
      <c r="B44" s="84"/>
      <c r="C44" s="84"/>
      <c r="D44" s="84"/>
      <c r="E44" s="85"/>
      <c r="F44" s="115">
        <f>+SALARIOS!C46</f>
        <v>0.05</v>
      </c>
      <c r="G44" s="116">
        <f>+F44*H40</f>
        <v>7729.7200303077152</v>
      </c>
      <c r="H44" s="117"/>
    </row>
    <row r="45" spans="1:8" ht="15.75" thickBot="1">
      <c r="A45" s="89" t="s">
        <v>514</v>
      </c>
      <c r="B45" s="90"/>
      <c r="C45" s="90"/>
      <c r="D45" s="90"/>
      <c r="E45" s="91"/>
      <c r="F45" s="118">
        <f>+SALARIOS!C47</f>
        <v>0.05</v>
      </c>
      <c r="G45" s="119">
        <f>+F45*H40</f>
        <v>7729.7200303077152</v>
      </c>
      <c r="H45" s="80"/>
    </row>
    <row r="46" spans="1:8" ht="15.75" thickBot="1">
      <c r="A46" s="61"/>
      <c r="B46" s="61"/>
      <c r="C46" s="61"/>
      <c r="D46" s="61"/>
      <c r="E46" s="61"/>
      <c r="F46" s="61"/>
      <c r="G46" s="81" t="s">
        <v>491</v>
      </c>
      <c r="H46" s="120">
        <f>SUM(G43:G45)</f>
        <v>38648.600151538572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193243</v>
      </c>
    </row>
  </sheetData>
  <mergeCells count="1">
    <mergeCell ref="A3:C4"/>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H48"/>
  <sheetViews>
    <sheetView topLeftCell="A4" workbookViewId="0">
      <selection activeCell="A14" sqref="A14:G14"/>
    </sheetView>
  </sheetViews>
  <sheetFormatPr baseColWidth="10" defaultRowHeight="15"/>
  <sheetData>
    <row r="2" spans="1:8" ht="15.75" thickBot="1"/>
    <row r="3" spans="1:8" ht="15" customHeight="1">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783</v>
      </c>
      <c r="H7" s="61"/>
    </row>
    <row r="8" spans="1:8">
      <c r="A8" s="60" t="s">
        <v>784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218</v>
      </c>
      <c r="B12" s="209"/>
      <c r="C12" s="210"/>
      <c r="D12" s="68" t="s">
        <v>6</v>
      </c>
      <c r="E12" s="86">
        <f>+'EQUIPOS '!D10</f>
        <v>87000</v>
      </c>
      <c r="F12" s="161">
        <v>3</v>
      </c>
      <c r="G12" s="71">
        <f>+E12/F12</f>
        <v>29000</v>
      </c>
      <c r="H12" s="72"/>
    </row>
    <row r="13" spans="1:8">
      <c r="A13" s="175" t="s">
        <v>1327</v>
      </c>
      <c r="B13" s="176"/>
      <c r="C13" s="174"/>
      <c r="D13" s="174"/>
      <c r="E13" s="173"/>
      <c r="F13" s="69"/>
      <c r="G13" s="173">
        <f>H38*10%</f>
        <v>16056.102350218589</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45056.102350218585</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1.6</v>
      </c>
      <c r="G34" s="105">
        <f>+E34/F34</f>
        <v>114093.04729479805</v>
      </c>
      <c r="H34" s="72"/>
    </row>
    <row r="35" spans="1:8">
      <c r="A35" s="83" t="s">
        <v>624</v>
      </c>
      <c r="B35" s="84"/>
      <c r="C35" s="103">
        <f>+SALARIOS!C50</f>
        <v>41660</v>
      </c>
      <c r="D35" s="104">
        <f>+SALARIOS!C48</f>
        <v>1.7846558312967005</v>
      </c>
      <c r="E35" s="69">
        <f>+C35*D35</f>
        <v>74348.76193182054</v>
      </c>
      <c r="F35" s="69">
        <v>1.6</v>
      </c>
      <c r="G35" s="105">
        <f>+E35/F35</f>
        <v>46467.976207387837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160561.02350218588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205617.12585240445</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30842.568877860667</v>
      </c>
      <c r="H43" s="117"/>
    </row>
    <row r="44" spans="1:8">
      <c r="A44" s="83" t="s">
        <v>513</v>
      </c>
      <c r="B44" s="84"/>
      <c r="C44" s="84"/>
      <c r="D44" s="84"/>
      <c r="E44" s="85"/>
      <c r="F44" s="115">
        <f>+SALARIOS!C46</f>
        <v>0.05</v>
      </c>
      <c r="G44" s="116">
        <f>+F44*H40</f>
        <v>10280.856292620223</v>
      </c>
      <c r="H44" s="117"/>
    </row>
    <row r="45" spans="1:8" ht="15.75" thickBot="1">
      <c r="A45" s="89" t="s">
        <v>514</v>
      </c>
      <c r="B45" s="90"/>
      <c r="C45" s="90"/>
      <c r="D45" s="90"/>
      <c r="E45" s="91"/>
      <c r="F45" s="118">
        <f>+SALARIOS!C47</f>
        <v>0.05</v>
      </c>
      <c r="G45" s="119">
        <f>+F45*H40</f>
        <v>10280.856292620223</v>
      </c>
      <c r="H45" s="80"/>
    </row>
    <row r="46" spans="1:8" ht="15.75" thickBot="1">
      <c r="A46" s="61"/>
      <c r="B46" s="61"/>
      <c r="C46" s="61"/>
      <c r="D46" s="61"/>
      <c r="E46" s="61"/>
      <c r="F46" s="61"/>
      <c r="G46" s="81" t="s">
        <v>491</v>
      </c>
      <c r="H46" s="120">
        <f>SUM(G43:G45)</f>
        <v>51404.281463101113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257021</v>
      </c>
    </row>
  </sheetData>
  <mergeCells count="1">
    <mergeCell ref="A3:C4"/>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H48"/>
  <sheetViews>
    <sheetView workbookViewId="0">
      <selection activeCell="A14" sqref="A14:G14"/>
    </sheetView>
  </sheetViews>
  <sheetFormatPr baseColWidth="10" defaultRowHeight="15"/>
  <sheetData>
    <row r="2" spans="1:8" ht="15.75" thickBot="1"/>
    <row r="3" spans="1:8" ht="15" customHeight="1">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785</v>
      </c>
      <c r="H7" s="61"/>
    </row>
    <row r="8" spans="1:8">
      <c r="A8" s="60" t="s">
        <v>787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218</v>
      </c>
      <c r="B12" s="209"/>
      <c r="C12" s="210"/>
      <c r="D12" s="68" t="s">
        <v>6</v>
      </c>
      <c r="E12" s="86">
        <f>+'EQUIPOS '!D10</f>
        <v>87000</v>
      </c>
      <c r="F12" s="161">
        <v>3</v>
      </c>
      <c r="G12" s="71">
        <f>+E12/F12</f>
        <v>29000</v>
      </c>
      <c r="H12" s="72"/>
    </row>
    <row r="13" spans="1:8">
      <c r="A13" s="175" t="s">
        <v>1327</v>
      </c>
      <c r="B13" s="176"/>
      <c r="C13" s="174"/>
      <c r="D13" s="174"/>
      <c r="E13" s="173"/>
      <c r="F13" s="69"/>
      <c r="G13" s="173">
        <f>H38*10%</f>
        <v>17126.509173566497</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46126.509173566497</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1.5</v>
      </c>
      <c r="G34" s="105">
        <f>+E34/F34</f>
        <v>121699.25044778459</v>
      </c>
      <c r="H34" s="72"/>
    </row>
    <row r="35" spans="1:8">
      <c r="A35" s="83" t="s">
        <v>624</v>
      </c>
      <c r="B35" s="84"/>
      <c r="C35" s="103">
        <f>+SALARIOS!C50</f>
        <v>41660</v>
      </c>
      <c r="D35" s="104">
        <f>+SALARIOS!C48</f>
        <v>1.7846558312967005</v>
      </c>
      <c r="E35" s="69">
        <f>+C35*D35</f>
        <v>74348.76193182054</v>
      </c>
      <c r="F35" s="69">
        <v>1.5</v>
      </c>
      <c r="G35" s="105">
        <f>+E35/F35</f>
        <v>49565.841287880357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171265.09173566496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217391.60090923146</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32608.740136384717</v>
      </c>
      <c r="H43" s="117"/>
    </row>
    <row r="44" spans="1:8">
      <c r="A44" s="83" t="s">
        <v>513</v>
      </c>
      <c r="B44" s="84"/>
      <c r="C44" s="84"/>
      <c r="D44" s="84"/>
      <c r="E44" s="85"/>
      <c r="F44" s="115">
        <f>+SALARIOS!C46</f>
        <v>0.05</v>
      </c>
      <c r="G44" s="116">
        <f>+F44*H40</f>
        <v>10869.580045461575</v>
      </c>
      <c r="H44" s="117"/>
    </row>
    <row r="45" spans="1:8" ht="15.75" thickBot="1">
      <c r="A45" s="89" t="s">
        <v>514</v>
      </c>
      <c r="B45" s="90"/>
      <c r="C45" s="90"/>
      <c r="D45" s="90"/>
      <c r="E45" s="91"/>
      <c r="F45" s="118">
        <f>+SALARIOS!C47</f>
        <v>0.05</v>
      </c>
      <c r="G45" s="119">
        <f>+F45*H40</f>
        <v>10869.580045461575</v>
      </c>
      <c r="H45" s="80"/>
    </row>
    <row r="46" spans="1:8" ht="15.75" thickBot="1">
      <c r="A46" s="61"/>
      <c r="B46" s="61"/>
      <c r="C46" s="61"/>
      <c r="D46" s="61"/>
      <c r="E46" s="61"/>
      <c r="F46" s="61"/>
      <c r="G46" s="81" t="s">
        <v>491</v>
      </c>
      <c r="H46" s="120">
        <f>SUM(G43:G45)</f>
        <v>54347.900227307866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271740</v>
      </c>
    </row>
  </sheetData>
  <mergeCells count="1">
    <mergeCell ref="A3:C4"/>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H48"/>
  <sheetViews>
    <sheetView topLeftCell="A4" workbookViewId="0">
      <selection activeCell="A14" sqref="A14:G14"/>
    </sheetView>
  </sheetViews>
  <sheetFormatPr baseColWidth="10" defaultRowHeight="15"/>
  <sheetData>
    <row r="2" spans="1:8" ht="15.75" thickBot="1"/>
    <row r="3" spans="1:8" ht="15" customHeight="1">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788</v>
      </c>
      <c r="H7" s="61"/>
    </row>
    <row r="8" spans="1:8">
      <c r="A8" s="60" t="s">
        <v>786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218</v>
      </c>
      <c r="B12" s="209"/>
      <c r="C12" s="210"/>
      <c r="D12" s="68" t="s">
        <v>6</v>
      </c>
      <c r="E12" s="86">
        <f>+'EQUIPOS '!D10</f>
        <v>87000</v>
      </c>
      <c r="F12" s="161">
        <v>3</v>
      </c>
      <c r="G12" s="71">
        <f>+E12/F12</f>
        <v>29000</v>
      </c>
      <c r="H12" s="72"/>
    </row>
    <row r="13" spans="1:8">
      <c r="A13" s="175" t="s">
        <v>1327</v>
      </c>
      <c r="B13" s="176"/>
      <c r="C13" s="174"/>
      <c r="D13" s="174"/>
      <c r="E13" s="173"/>
      <c r="F13" s="69"/>
      <c r="G13" s="173">
        <f>H38*10%</f>
        <v>18349.831257392678</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47349.831257392681</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1.4</v>
      </c>
      <c r="G34" s="105">
        <f>+E34/F34</f>
        <v>130392.05405119779</v>
      </c>
      <c r="H34" s="72"/>
    </row>
    <row r="35" spans="1:8">
      <c r="A35" s="83" t="s">
        <v>624</v>
      </c>
      <c r="B35" s="84"/>
      <c r="C35" s="103">
        <f>+SALARIOS!C50</f>
        <v>41660</v>
      </c>
      <c r="D35" s="104">
        <f>+SALARIOS!C48</f>
        <v>1.7846558312967005</v>
      </c>
      <c r="E35" s="69">
        <f>+C35*D35</f>
        <v>74348.76193182054</v>
      </c>
      <c r="F35" s="69">
        <v>1.4</v>
      </c>
      <c r="G35" s="105">
        <f>+E35/F35</f>
        <v>53106.25852272896</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183498.31257392676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230848.14383131944</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34627.221574697913</v>
      </c>
      <c r="H43" s="117"/>
    </row>
    <row r="44" spans="1:8">
      <c r="A44" s="83" t="s">
        <v>513</v>
      </c>
      <c r="B44" s="84"/>
      <c r="C44" s="84"/>
      <c r="D44" s="84"/>
      <c r="E44" s="85"/>
      <c r="F44" s="115">
        <f>+SALARIOS!C46</f>
        <v>0.05</v>
      </c>
      <c r="G44" s="116">
        <f>+F44*H40</f>
        <v>11542.407191565973</v>
      </c>
      <c r="H44" s="117"/>
    </row>
    <row r="45" spans="1:8" ht="15.75" thickBot="1">
      <c r="A45" s="89" t="s">
        <v>514</v>
      </c>
      <c r="B45" s="90"/>
      <c r="C45" s="90"/>
      <c r="D45" s="90"/>
      <c r="E45" s="91"/>
      <c r="F45" s="118">
        <f>+SALARIOS!C47</f>
        <v>0.05</v>
      </c>
      <c r="G45" s="119">
        <f>+F45*H40</f>
        <v>11542.407191565973</v>
      </c>
      <c r="H45" s="80"/>
    </row>
    <row r="46" spans="1:8" ht="15.75" thickBot="1">
      <c r="A46" s="61"/>
      <c r="B46" s="61"/>
      <c r="C46" s="61"/>
      <c r="D46" s="61"/>
      <c r="E46" s="61"/>
      <c r="F46" s="61"/>
      <c r="G46" s="81" t="s">
        <v>491</v>
      </c>
      <c r="H46" s="120">
        <f>SUM(G43:G45)</f>
        <v>57712.035957829859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288560</v>
      </c>
    </row>
  </sheetData>
  <mergeCells count="1">
    <mergeCell ref="A3:C4"/>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H48"/>
  <sheetViews>
    <sheetView workbookViewId="0">
      <selection activeCell="A14" sqref="A14:G15"/>
    </sheetView>
  </sheetViews>
  <sheetFormatPr baseColWidth="10" defaultRowHeight="15"/>
  <sheetData>
    <row r="2" spans="1:8" ht="15.75" thickBot="1"/>
    <row r="3" spans="1:8" ht="15" customHeight="1">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789</v>
      </c>
      <c r="H7" s="61"/>
    </row>
    <row r="8" spans="1:8">
      <c r="A8" s="60" t="s">
        <v>791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14</v>
      </c>
      <c r="B12" s="209"/>
      <c r="C12" s="210"/>
      <c r="D12" s="68" t="s">
        <v>6</v>
      </c>
      <c r="E12" s="86">
        <f>+'EQUIPOS '!D10</f>
        <v>87000</v>
      </c>
      <c r="F12" s="161">
        <v>3</v>
      </c>
      <c r="G12" s="71">
        <f>+E12/F12</f>
        <v>29000</v>
      </c>
      <c r="H12" s="72"/>
    </row>
    <row r="13" spans="1:8">
      <c r="A13" s="175" t="s">
        <v>1327</v>
      </c>
      <c r="B13" s="176"/>
      <c r="C13" s="174"/>
      <c r="D13" s="174"/>
      <c r="E13" s="173"/>
      <c r="F13" s="69"/>
      <c r="G13" s="173">
        <f>H38*10%</f>
        <v>9514.7273186480525</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38514.727318648052</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t="s">
        <v>776</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2.7</v>
      </c>
      <c r="G34" s="105">
        <f>+E34/F34</f>
        <v>67610.694693213663</v>
      </c>
      <c r="H34" s="72"/>
    </row>
    <row r="35" spans="1:8">
      <c r="A35" s="83" t="s">
        <v>624</v>
      </c>
      <c r="B35" s="84"/>
      <c r="C35" s="103">
        <f>+SALARIOS!C50</f>
        <v>41660</v>
      </c>
      <c r="D35" s="104">
        <f>+SALARIOS!C48</f>
        <v>1.7846558312967005</v>
      </c>
      <c r="E35" s="69">
        <f>+C35*D35</f>
        <v>74348.76193182054</v>
      </c>
      <c r="F35" s="69">
        <v>2.7</v>
      </c>
      <c r="G35" s="105">
        <f>+E35/F35</f>
        <v>27536.578493266865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95147.273186480525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133662.00050512858</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20049.300075769286</v>
      </c>
      <c r="H43" s="117"/>
    </row>
    <row r="44" spans="1:8">
      <c r="A44" s="83" t="s">
        <v>513</v>
      </c>
      <c r="B44" s="84"/>
      <c r="C44" s="84"/>
      <c r="D44" s="84"/>
      <c r="E44" s="85"/>
      <c r="F44" s="115">
        <f>+SALARIOS!C46</f>
        <v>0.05</v>
      </c>
      <c r="G44" s="116">
        <f>+F44*H40</f>
        <v>6683.1000252564299</v>
      </c>
      <c r="H44" s="117"/>
    </row>
    <row r="45" spans="1:8" ht="15.75" thickBot="1">
      <c r="A45" s="89" t="s">
        <v>514</v>
      </c>
      <c r="B45" s="90"/>
      <c r="C45" s="90"/>
      <c r="D45" s="90"/>
      <c r="E45" s="91"/>
      <c r="F45" s="118">
        <f>+SALARIOS!C47</f>
        <v>0.05</v>
      </c>
      <c r="G45" s="119">
        <f>+F45*H40</f>
        <v>6683.1000252564299</v>
      </c>
      <c r="H45" s="80"/>
    </row>
    <row r="46" spans="1:8" ht="15.75" thickBot="1">
      <c r="A46" s="61"/>
      <c r="B46" s="61"/>
      <c r="C46" s="61"/>
      <c r="D46" s="61"/>
      <c r="E46" s="61"/>
      <c r="F46" s="61"/>
      <c r="G46" s="81" t="s">
        <v>491</v>
      </c>
      <c r="H46" s="120">
        <f>SUM(G43:G45)</f>
        <v>33415.500126282146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167078</v>
      </c>
    </row>
  </sheetData>
  <mergeCells count="1">
    <mergeCell ref="A3:C4"/>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H48"/>
  <sheetViews>
    <sheetView workbookViewId="0">
      <selection activeCell="A14" sqref="A14:G14"/>
    </sheetView>
  </sheetViews>
  <sheetFormatPr baseColWidth="10" defaultRowHeight="15"/>
  <sheetData>
    <row r="2" spans="1:8" ht="15.75" thickBot="1"/>
    <row r="3" spans="1:8" ht="15" customHeight="1">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790</v>
      </c>
      <c r="H7" s="61"/>
    </row>
    <row r="8" spans="1:8">
      <c r="A8" s="60" t="s">
        <v>794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14</v>
      </c>
      <c r="B12" s="209"/>
      <c r="C12" s="210"/>
      <c r="D12" s="68" t="s">
        <v>6</v>
      </c>
      <c r="E12" s="86">
        <f>+'EQUIPOS '!D10</f>
        <v>87000</v>
      </c>
      <c r="F12" s="161">
        <v>3</v>
      </c>
      <c r="G12" s="71">
        <f>+E12/F12</f>
        <v>29000</v>
      </c>
      <c r="H12" s="72"/>
    </row>
    <row r="13" spans="1:8">
      <c r="A13" s="175" t="s">
        <v>1327</v>
      </c>
      <c r="B13" s="176"/>
      <c r="C13" s="174"/>
      <c r="D13" s="174"/>
      <c r="E13" s="173"/>
      <c r="F13" s="69"/>
      <c r="G13" s="173">
        <f>H38*10%</f>
        <v>10275.905504139897</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39275.905504139897</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t="s">
        <v>776</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2.5</v>
      </c>
      <c r="G34" s="105">
        <f>+E34/F34</f>
        <v>73019.550268670748</v>
      </c>
      <c r="H34" s="72"/>
    </row>
    <row r="35" spans="1:8">
      <c r="A35" s="83" t="s">
        <v>624</v>
      </c>
      <c r="B35" s="84"/>
      <c r="C35" s="103">
        <f>+SALARIOS!C50</f>
        <v>41660</v>
      </c>
      <c r="D35" s="104">
        <f>+SALARIOS!C48</f>
        <v>1.7846558312967005</v>
      </c>
      <c r="E35" s="69">
        <f>+C35*D35</f>
        <v>74348.76193182054</v>
      </c>
      <c r="F35" s="69">
        <v>2.5</v>
      </c>
      <c r="G35" s="105">
        <f>+E35/F35</f>
        <v>29739.504772728214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102759.05504139897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142034.96054553887</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21305.244081830828</v>
      </c>
      <c r="H43" s="117"/>
    </row>
    <row r="44" spans="1:8">
      <c r="A44" s="83" t="s">
        <v>513</v>
      </c>
      <c r="B44" s="84"/>
      <c r="C44" s="84"/>
      <c r="D44" s="84"/>
      <c r="E44" s="85"/>
      <c r="F44" s="115">
        <f>+SALARIOS!C46</f>
        <v>0.05</v>
      </c>
      <c r="G44" s="116">
        <f>+F44*H40</f>
        <v>7101.7480272769435</v>
      </c>
      <c r="H44" s="117"/>
    </row>
    <row r="45" spans="1:8" ht="15.75" thickBot="1">
      <c r="A45" s="89" t="s">
        <v>514</v>
      </c>
      <c r="B45" s="90"/>
      <c r="C45" s="90"/>
      <c r="D45" s="90"/>
      <c r="E45" s="91"/>
      <c r="F45" s="118">
        <f>+SALARIOS!C47</f>
        <v>0.05</v>
      </c>
      <c r="G45" s="119">
        <f>+F45*H40</f>
        <v>7101.7480272769435</v>
      </c>
      <c r="H45" s="80"/>
    </row>
    <row r="46" spans="1:8" ht="15.75" thickBot="1">
      <c r="A46" s="61"/>
      <c r="B46" s="61"/>
      <c r="C46" s="61"/>
      <c r="D46" s="61"/>
      <c r="E46" s="61"/>
      <c r="F46" s="61"/>
      <c r="G46" s="81" t="s">
        <v>491</v>
      </c>
      <c r="H46" s="120">
        <f>SUM(G43:G45)</f>
        <v>35508.740136384717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177544</v>
      </c>
    </row>
  </sheetData>
  <mergeCells count="1">
    <mergeCell ref="A3:C4"/>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H48"/>
  <sheetViews>
    <sheetView workbookViewId="0">
      <selection activeCell="A14" sqref="A14:G1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792</v>
      </c>
      <c r="H7" s="61"/>
    </row>
    <row r="8" spans="1:8">
      <c r="A8" s="60" t="s">
        <v>793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14</v>
      </c>
      <c r="B12" s="209"/>
      <c r="C12" s="210"/>
      <c r="D12" s="68" t="s">
        <v>6</v>
      </c>
      <c r="E12" s="86">
        <f>+'EQUIPOS '!D10</f>
        <v>87000</v>
      </c>
      <c r="F12" s="161">
        <v>3</v>
      </c>
      <c r="G12" s="71">
        <f>+E12/F12</f>
        <v>29000</v>
      </c>
      <c r="H12" s="72"/>
    </row>
    <row r="13" spans="1:8">
      <c r="A13" s="175" t="s">
        <v>1327</v>
      </c>
      <c r="B13" s="176"/>
      <c r="C13" s="174"/>
      <c r="D13" s="174"/>
      <c r="E13" s="173"/>
      <c r="F13" s="69"/>
      <c r="G13" s="173">
        <f>H38*10%</f>
        <v>11677.165345613519</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40677.165345613517</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t="s">
        <v>776</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2.2000000000000002</v>
      </c>
      <c r="G34" s="105">
        <f>+E34/F34</f>
        <v>82976.761668944033</v>
      </c>
      <c r="H34" s="72"/>
    </row>
    <row r="35" spans="1:8">
      <c r="A35" s="83" t="s">
        <v>624</v>
      </c>
      <c r="B35" s="84"/>
      <c r="C35" s="103">
        <f>+SALARIOS!C50</f>
        <v>41660</v>
      </c>
      <c r="D35" s="104">
        <f>+SALARIOS!C48</f>
        <v>1.7846558312967005</v>
      </c>
      <c r="E35" s="69">
        <f>+C35*D35</f>
        <v>74348.76193182054</v>
      </c>
      <c r="F35" s="69">
        <v>2.2000000000000002</v>
      </c>
      <c r="G35" s="105">
        <f>+E35/F35</f>
        <v>33794.891787191154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116771.65345613519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157448.81880174871</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23617.322820262307</v>
      </c>
      <c r="H43" s="117"/>
    </row>
    <row r="44" spans="1:8">
      <c r="A44" s="83" t="s">
        <v>513</v>
      </c>
      <c r="B44" s="84"/>
      <c r="C44" s="84"/>
      <c r="D44" s="84"/>
      <c r="E44" s="85"/>
      <c r="F44" s="115">
        <f>+SALARIOS!C46</f>
        <v>0.05</v>
      </c>
      <c r="G44" s="116">
        <f>+F44*H40</f>
        <v>7872.4409400874356</v>
      </c>
      <c r="H44" s="117"/>
    </row>
    <row r="45" spans="1:8" ht="15.75" thickBot="1">
      <c r="A45" s="89" t="s">
        <v>514</v>
      </c>
      <c r="B45" s="90"/>
      <c r="C45" s="90"/>
      <c r="D45" s="90"/>
      <c r="E45" s="91"/>
      <c r="F45" s="118">
        <f>+SALARIOS!C47</f>
        <v>0.05</v>
      </c>
      <c r="G45" s="119">
        <f>+F45*H40</f>
        <v>7872.4409400874356</v>
      </c>
      <c r="H45" s="80"/>
    </row>
    <row r="46" spans="1:8" ht="15.75" thickBot="1">
      <c r="A46" s="61"/>
      <c r="B46" s="61"/>
      <c r="C46" s="61"/>
      <c r="D46" s="61"/>
      <c r="E46" s="61"/>
      <c r="F46" s="61"/>
      <c r="G46" s="81" t="s">
        <v>491</v>
      </c>
      <c r="H46" s="120">
        <f>SUM(G43:G45)</f>
        <v>39362.204700437178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196811</v>
      </c>
    </row>
  </sheetData>
  <mergeCells count="1">
    <mergeCell ref="A3:C4"/>
  </mergeCell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795</v>
      </c>
      <c r="H7" s="61"/>
    </row>
    <row r="8" spans="1:8">
      <c r="A8" s="60" t="s">
        <v>796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08" t="s">
        <v>14</v>
      </c>
      <c r="B12" s="209"/>
      <c r="C12" s="210"/>
      <c r="D12" s="68" t="s">
        <v>6</v>
      </c>
      <c r="E12" s="86">
        <f>+'EQUIPOS '!D10</f>
        <v>87000</v>
      </c>
      <c r="F12" s="161">
        <v>3</v>
      </c>
      <c r="G12" s="71">
        <f>+E12/F12</f>
        <v>29000</v>
      </c>
      <c r="H12" s="72"/>
    </row>
    <row r="13" spans="1:8">
      <c r="A13" s="175" t="s">
        <v>1327</v>
      </c>
      <c r="B13" s="176"/>
      <c r="C13" s="174"/>
      <c r="D13" s="174"/>
      <c r="E13" s="173"/>
      <c r="F13" s="69"/>
      <c r="G13" s="173">
        <f>H38*10%</f>
        <v>12844.881880174871</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41844.881880174871</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t="s">
        <v>776</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2</v>
      </c>
      <c r="G34" s="105">
        <f>+E34/F34</f>
        <v>91274.437835838442</v>
      </c>
      <c r="H34" s="72"/>
    </row>
    <row r="35" spans="1:8">
      <c r="A35" s="83" t="s">
        <v>624</v>
      </c>
      <c r="B35" s="84"/>
      <c r="C35" s="103">
        <f>+SALARIOS!C50</f>
        <v>41660</v>
      </c>
      <c r="D35" s="104">
        <f>+SALARIOS!C48</f>
        <v>1.7846558312967005</v>
      </c>
      <c r="E35" s="69">
        <f>+C35*D35</f>
        <v>74348.76193182054</v>
      </c>
      <c r="F35" s="69">
        <v>2</v>
      </c>
      <c r="G35" s="105">
        <f>+E35/F35</f>
        <v>37174.38096591027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128448.81880174871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170293.7006819236</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25544.055102288537</v>
      </c>
      <c r="H43" s="117"/>
    </row>
    <row r="44" spans="1:8">
      <c r="A44" s="83" t="s">
        <v>513</v>
      </c>
      <c r="B44" s="84"/>
      <c r="C44" s="84"/>
      <c r="D44" s="84"/>
      <c r="E44" s="85"/>
      <c r="F44" s="115">
        <f>+SALARIOS!C46</f>
        <v>0.05</v>
      </c>
      <c r="G44" s="116">
        <f>+F44*H40</f>
        <v>8514.685034096181</v>
      </c>
      <c r="H44" s="117"/>
    </row>
    <row r="45" spans="1:8" ht="15.75" thickBot="1">
      <c r="A45" s="89" t="s">
        <v>514</v>
      </c>
      <c r="B45" s="90"/>
      <c r="C45" s="90"/>
      <c r="D45" s="90"/>
      <c r="E45" s="91"/>
      <c r="F45" s="118">
        <f>+SALARIOS!C47</f>
        <v>0.05</v>
      </c>
      <c r="G45" s="119">
        <f>+F45*H40</f>
        <v>8514.685034096181</v>
      </c>
      <c r="H45" s="80"/>
    </row>
    <row r="46" spans="1:8" ht="15.75" thickBot="1">
      <c r="A46" s="61"/>
      <c r="B46" s="61"/>
      <c r="C46" s="61"/>
      <c r="D46" s="61"/>
      <c r="E46" s="61"/>
      <c r="F46" s="61"/>
      <c r="G46" s="81" t="s">
        <v>491</v>
      </c>
      <c r="H46" s="120">
        <f>SUM(G43:G45)</f>
        <v>42573.425170480899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212867</v>
      </c>
    </row>
  </sheetData>
  <mergeCells count="1">
    <mergeCell ref="A3:C4"/>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H48"/>
  <sheetViews>
    <sheetView topLeftCell="A7" workbookViewId="0">
      <selection activeCell="A14" sqref="A14:G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797</v>
      </c>
      <c r="H7" s="61"/>
    </row>
    <row r="8" spans="1:8">
      <c r="A8" s="60" t="s">
        <v>798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34" t="s">
        <v>218</v>
      </c>
      <c r="B12" s="209"/>
      <c r="C12" s="210"/>
      <c r="D12" s="68" t="s">
        <v>6</v>
      </c>
      <c r="E12" s="86">
        <f>+'EQUIPOS '!D10</f>
        <v>87000</v>
      </c>
      <c r="F12" s="161">
        <v>3</v>
      </c>
      <c r="G12" s="71">
        <f>+E12/F12</f>
        <v>29000</v>
      </c>
      <c r="H12" s="72"/>
    </row>
    <row r="13" spans="1:8">
      <c r="A13" s="175" t="s">
        <v>1327</v>
      </c>
      <c r="B13" s="176"/>
      <c r="C13" s="174"/>
      <c r="D13" s="174"/>
      <c r="E13" s="173"/>
      <c r="F13" s="69"/>
      <c r="G13" s="173">
        <f>H38*10%</f>
        <v>14272.090977972081</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43272.090977972082</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t="s">
        <v>776</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1.8</v>
      </c>
      <c r="G34" s="105">
        <f>+E34/F34</f>
        <v>101416.04203982049</v>
      </c>
      <c r="H34" s="72"/>
    </row>
    <row r="35" spans="1:8">
      <c r="A35" s="83" t="s">
        <v>624</v>
      </c>
      <c r="B35" s="84"/>
      <c r="C35" s="103">
        <f>+SALARIOS!C50</f>
        <v>41660</v>
      </c>
      <c r="D35" s="104">
        <f>+SALARIOS!C48</f>
        <v>1.7846558312967005</v>
      </c>
      <c r="E35" s="69">
        <f>+C35*D35</f>
        <v>74348.76193182054</v>
      </c>
      <c r="F35" s="69">
        <v>1.8</v>
      </c>
      <c r="G35" s="105">
        <f>+E35/F35</f>
        <v>41304.867739900299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142720.90977972079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185993.00075769288</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27898.950113653929</v>
      </c>
      <c r="H43" s="117"/>
    </row>
    <row r="44" spans="1:8">
      <c r="A44" s="83" t="s">
        <v>513</v>
      </c>
      <c r="B44" s="84"/>
      <c r="C44" s="84"/>
      <c r="D44" s="84"/>
      <c r="E44" s="85"/>
      <c r="F44" s="115">
        <f>+SALARIOS!C46</f>
        <v>0.05</v>
      </c>
      <c r="G44" s="116">
        <f>+F44*H40</f>
        <v>9299.6500378846449</v>
      </c>
      <c r="H44" s="117"/>
    </row>
    <row r="45" spans="1:8" ht="15.75" thickBot="1">
      <c r="A45" s="89" t="s">
        <v>514</v>
      </c>
      <c r="B45" s="90"/>
      <c r="C45" s="90"/>
      <c r="D45" s="90"/>
      <c r="E45" s="91"/>
      <c r="F45" s="118">
        <f>+SALARIOS!C47</f>
        <v>0.05</v>
      </c>
      <c r="G45" s="119">
        <f>+F45*H40</f>
        <v>9299.6500378846449</v>
      </c>
      <c r="H45" s="80"/>
    </row>
    <row r="46" spans="1:8" ht="15.75" thickBot="1">
      <c r="A46" s="61"/>
      <c r="B46" s="61"/>
      <c r="C46" s="61"/>
      <c r="D46" s="61"/>
      <c r="E46" s="61"/>
      <c r="F46" s="61"/>
      <c r="G46" s="81" t="s">
        <v>491</v>
      </c>
      <c r="H46" s="120">
        <f>SUM(G43:G45)</f>
        <v>46498.250189423219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232491</v>
      </c>
    </row>
  </sheetData>
  <mergeCells count="1">
    <mergeCell ref="A3:C4"/>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H48"/>
  <sheetViews>
    <sheetView workbookViewId="0">
      <selection activeCell="A14" sqref="A14:G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799</v>
      </c>
      <c r="H7" s="61"/>
    </row>
    <row r="8" spans="1:8">
      <c r="A8" s="60" t="s">
        <v>800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34" t="s">
        <v>218</v>
      </c>
      <c r="B12" s="209"/>
      <c r="C12" s="210"/>
      <c r="D12" s="68" t="s">
        <v>6</v>
      </c>
      <c r="E12" s="86">
        <f>+'EQUIPOS '!D10</f>
        <v>87000</v>
      </c>
      <c r="F12" s="161">
        <v>3</v>
      </c>
      <c r="G12" s="71">
        <f>+E12/F12</f>
        <v>29000</v>
      </c>
      <c r="H12" s="72"/>
    </row>
    <row r="13" spans="1:8">
      <c r="A13" s="175" t="s">
        <v>1327</v>
      </c>
      <c r="B13" s="176"/>
      <c r="C13" s="174"/>
      <c r="D13" s="174"/>
      <c r="E13" s="173"/>
      <c r="F13" s="69"/>
      <c r="G13" s="173">
        <f>H38*10%</f>
        <v>16056.102350218589</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45056.102350218585</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t="s">
        <v>776</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1.6</v>
      </c>
      <c r="G34" s="105">
        <f>+E34/F34</f>
        <v>114093.04729479805</v>
      </c>
      <c r="H34" s="72"/>
    </row>
    <row r="35" spans="1:8">
      <c r="A35" s="83" t="s">
        <v>624</v>
      </c>
      <c r="B35" s="84"/>
      <c r="C35" s="103">
        <f>+SALARIOS!C50</f>
        <v>41660</v>
      </c>
      <c r="D35" s="104">
        <f>+SALARIOS!C48</f>
        <v>1.7846558312967005</v>
      </c>
      <c r="E35" s="69">
        <f>+C35*D35</f>
        <v>74348.76193182054</v>
      </c>
      <c r="F35" s="69">
        <v>1.6</v>
      </c>
      <c r="G35" s="105">
        <f>+E35/F35</f>
        <v>46467.976207387837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160561.02350218588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205617.12585240445</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30842.568877860667</v>
      </c>
      <c r="H43" s="117"/>
    </row>
    <row r="44" spans="1:8">
      <c r="A44" s="83" t="s">
        <v>513</v>
      </c>
      <c r="B44" s="84"/>
      <c r="C44" s="84"/>
      <c r="D44" s="84"/>
      <c r="E44" s="85"/>
      <c r="F44" s="115">
        <f>+SALARIOS!C46</f>
        <v>0.05</v>
      </c>
      <c r="G44" s="116">
        <f>+F44*H40</f>
        <v>10280.856292620223</v>
      </c>
      <c r="H44" s="117"/>
    </row>
    <row r="45" spans="1:8" ht="15.75" thickBot="1">
      <c r="A45" s="89" t="s">
        <v>514</v>
      </c>
      <c r="B45" s="90"/>
      <c r="C45" s="90"/>
      <c r="D45" s="90"/>
      <c r="E45" s="91"/>
      <c r="F45" s="118">
        <f>+SALARIOS!C47</f>
        <v>0.05</v>
      </c>
      <c r="G45" s="119">
        <f>+F45*H40</f>
        <v>10280.856292620223</v>
      </c>
      <c r="H45" s="80"/>
    </row>
    <row r="46" spans="1:8" ht="15.75" thickBot="1">
      <c r="A46" s="61"/>
      <c r="B46" s="61"/>
      <c r="C46" s="61"/>
      <c r="D46" s="61"/>
      <c r="E46" s="61"/>
      <c r="F46" s="61"/>
      <c r="G46" s="81" t="s">
        <v>491</v>
      </c>
      <c r="H46" s="120">
        <f>SUM(G43:G45)</f>
        <v>51404.281463101113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257021</v>
      </c>
    </row>
  </sheetData>
  <mergeCells count="1">
    <mergeCell ref="A3:C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7"/>
  <sheetViews>
    <sheetView workbookViewId="0">
      <selection activeCell="G55" sqref="G55"/>
    </sheetView>
  </sheetViews>
  <sheetFormatPr baseColWidth="10" defaultRowHeight="15"/>
  <sheetData>
    <row r="1" spans="1:8" ht="15.75" thickBot="1">
      <c r="A1" s="16"/>
      <c r="B1" s="16"/>
      <c r="C1" s="16"/>
      <c r="D1" s="16"/>
      <c r="E1" s="16"/>
      <c r="F1" s="16"/>
      <c r="G1" s="16"/>
      <c r="H1" s="16"/>
    </row>
    <row r="2" spans="1:8">
      <c r="A2" s="1445" t="s">
        <v>519</v>
      </c>
      <c r="B2" s="1446"/>
      <c r="C2" s="1447"/>
      <c r="D2" s="55"/>
      <c r="E2" s="56"/>
      <c r="F2" s="55"/>
      <c r="G2" s="55"/>
      <c r="H2" s="57"/>
    </row>
    <row r="3" spans="1:8">
      <c r="A3" s="1448"/>
      <c r="B3" s="1449"/>
      <c r="C3" s="1450"/>
      <c r="D3" s="58"/>
      <c r="E3" s="51" t="s">
        <v>483</v>
      </c>
      <c r="F3" s="58"/>
      <c r="G3" s="58"/>
      <c r="H3" s="59"/>
    </row>
    <row r="4" spans="1:8" ht="15.75" thickBot="1">
      <c r="A4" s="1451" t="s">
        <v>520</v>
      </c>
      <c r="B4" s="1452"/>
      <c r="C4" s="1453"/>
      <c r="D4" s="1457"/>
      <c r="E4" s="1458"/>
      <c r="F4" s="1458"/>
      <c r="G4" s="1458"/>
      <c r="H4" s="1459"/>
    </row>
    <row r="5" spans="1:8">
      <c r="A5" s="60"/>
      <c r="B5" s="61"/>
      <c r="C5" s="61"/>
      <c r="D5" s="61"/>
      <c r="E5" s="61"/>
      <c r="F5" s="61"/>
      <c r="G5" s="61"/>
      <c r="H5" s="61"/>
    </row>
    <row r="6" spans="1:8">
      <c r="A6" s="60" t="s">
        <v>521</v>
      </c>
      <c r="B6" s="62"/>
      <c r="C6" s="61"/>
      <c r="D6" s="16"/>
      <c r="E6" s="62"/>
      <c r="F6" s="16"/>
      <c r="G6" s="62" t="s">
        <v>536</v>
      </c>
      <c r="H6" s="61"/>
    </row>
    <row r="7" spans="1:8">
      <c r="A7" s="60" t="s">
        <v>1844</v>
      </c>
      <c r="B7" s="62"/>
      <c r="C7" s="61"/>
      <c r="D7" s="62"/>
      <c r="E7" s="62"/>
      <c r="F7" s="62"/>
      <c r="G7" s="62" t="s">
        <v>537</v>
      </c>
      <c r="H7" s="61"/>
    </row>
    <row r="8" spans="1:8">
      <c r="A8" s="62"/>
      <c r="B8" s="62"/>
      <c r="C8" s="61"/>
      <c r="D8" s="62"/>
      <c r="E8" s="62"/>
      <c r="F8" s="62"/>
      <c r="G8" s="62"/>
      <c r="H8" s="61"/>
    </row>
    <row r="9" spans="1:8" ht="15.75" thickBot="1">
      <c r="A9" s="63" t="s">
        <v>484</v>
      </c>
      <c r="B9" s="63"/>
      <c r="C9" s="61"/>
      <c r="D9" s="61"/>
      <c r="E9" s="61"/>
      <c r="F9" s="61"/>
      <c r="G9" s="61"/>
      <c r="H9" s="61"/>
    </row>
    <row r="10" spans="1:8">
      <c r="A10" s="1454" t="s">
        <v>485</v>
      </c>
      <c r="B10" s="1455"/>
      <c r="C10" s="1456"/>
      <c r="D10" s="64" t="s">
        <v>486</v>
      </c>
      <c r="E10" s="65" t="s">
        <v>487</v>
      </c>
      <c r="F10" s="64" t="s">
        <v>488</v>
      </c>
      <c r="G10" s="66" t="s">
        <v>489</v>
      </c>
      <c r="H10" s="67"/>
    </row>
    <row r="11" spans="1:8">
      <c r="A11" s="1460" t="s">
        <v>1631</v>
      </c>
      <c r="B11" s="1461"/>
      <c r="C11" s="1462"/>
      <c r="D11" s="68"/>
      <c r="E11" s="69"/>
      <c r="F11" s="70"/>
      <c r="G11" s="71">
        <f>H37*10%</f>
        <v>760.62031529865374</v>
      </c>
      <c r="H11" s="72"/>
    </row>
    <row r="12" spans="1:8">
      <c r="A12" s="1463"/>
      <c r="B12" s="1464"/>
      <c r="C12" s="1465"/>
      <c r="D12" s="73"/>
      <c r="E12" s="74"/>
      <c r="F12" s="75"/>
      <c r="G12" s="71"/>
      <c r="H12" s="72"/>
    </row>
    <row r="13" spans="1:8">
      <c r="A13" s="1463"/>
      <c r="B13" s="1464"/>
      <c r="C13" s="1465"/>
      <c r="D13" s="73"/>
      <c r="E13" s="74"/>
      <c r="F13" s="69"/>
      <c r="G13" s="71"/>
      <c r="H13" s="72"/>
    </row>
    <row r="14" spans="1:8">
      <c r="A14" s="1463"/>
      <c r="B14" s="1464"/>
      <c r="C14" s="1465"/>
      <c r="D14" s="73"/>
      <c r="E14" s="74"/>
      <c r="F14" s="69"/>
      <c r="G14" s="71"/>
      <c r="H14" s="72"/>
    </row>
    <row r="15" spans="1:8">
      <c r="A15" s="1463"/>
      <c r="B15" s="1464"/>
      <c r="C15" s="1465"/>
      <c r="D15" s="73"/>
      <c r="E15" s="74"/>
      <c r="F15" s="69"/>
      <c r="G15" s="71"/>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SUM(G11:G16)</f>
        <v>760.62031529865374</v>
      </c>
    </row>
    <row r="18" spans="1:8" ht="15.75" thickBot="1">
      <c r="A18" s="63" t="s">
        <v>492</v>
      </c>
      <c r="B18" s="63"/>
      <c r="C18" s="61"/>
      <c r="D18" s="61"/>
      <c r="E18" s="61"/>
      <c r="F18" s="61"/>
      <c r="G18" s="61"/>
      <c r="H18" s="61"/>
    </row>
    <row r="19" spans="1:8">
      <c r="A19" s="1472" t="s">
        <v>485</v>
      </c>
      <c r="B19" s="1473"/>
      <c r="C19" s="1474"/>
      <c r="D19" s="113" t="s">
        <v>493</v>
      </c>
      <c r="E19" s="113" t="s">
        <v>494</v>
      </c>
      <c r="F19" s="113" t="s">
        <v>495</v>
      </c>
      <c r="G19" s="114" t="s">
        <v>489</v>
      </c>
      <c r="H19" s="67"/>
    </row>
    <row r="20" spans="1:8" ht="27" customHeight="1">
      <c r="A20" s="1475" t="s">
        <v>374</v>
      </c>
      <c r="B20" s="1476"/>
      <c r="C20" s="1477"/>
      <c r="D20" s="73" t="s">
        <v>19</v>
      </c>
      <c r="E20" s="139">
        <f>MATERIALES!D67</f>
        <v>3000</v>
      </c>
      <c r="F20" s="154">
        <v>1</v>
      </c>
      <c r="G20" s="88">
        <f>E20*F20</f>
        <v>3000</v>
      </c>
      <c r="H20" s="72"/>
    </row>
    <row r="21" spans="1:8">
      <c r="A21" s="127"/>
      <c r="B21" s="84"/>
      <c r="C21" s="85"/>
      <c r="D21" s="68"/>
      <c r="E21" s="142"/>
      <c r="F21" s="70"/>
      <c r="G21" s="69"/>
      <c r="H21" s="59"/>
    </row>
    <row r="22" spans="1:8">
      <c r="A22" s="128"/>
      <c r="B22" s="129"/>
      <c r="C22" s="130"/>
      <c r="D22" s="131"/>
      <c r="E22" s="132"/>
      <c r="F22" s="133"/>
      <c r="G22" s="155"/>
      <c r="H22" s="72"/>
    </row>
    <row r="23" spans="1:8" ht="15.75" thickBot="1">
      <c r="A23" s="89"/>
      <c r="B23" s="90"/>
      <c r="C23" s="91"/>
      <c r="D23" s="76"/>
      <c r="E23" s="77"/>
      <c r="F23" s="78"/>
      <c r="G23" s="79"/>
      <c r="H23" s="80"/>
    </row>
    <row r="24" spans="1:8" ht="15.75" thickBot="1">
      <c r="A24" s="61"/>
      <c r="B24" s="61"/>
      <c r="C24" s="61"/>
      <c r="D24" s="61"/>
      <c r="E24" s="61"/>
      <c r="F24" s="61"/>
      <c r="G24" s="81" t="s">
        <v>491</v>
      </c>
      <c r="H24" s="82">
        <f>SUM(G20:G23)</f>
        <v>3000</v>
      </c>
    </row>
    <row r="25" spans="1:8" ht="15.75" thickBot="1">
      <c r="A25" s="92" t="s">
        <v>496</v>
      </c>
      <c r="B25" s="92"/>
      <c r="C25" s="90"/>
      <c r="D25" s="61"/>
      <c r="E25" s="61"/>
      <c r="F25" s="61"/>
      <c r="G25" s="61"/>
      <c r="H25" s="61"/>
    </row>
    <row r="26" spans="1:8">
      <c r="A26" s="1454" t="s">
        <v>497</v>
      </c>
      <c r="B26" s="1456"/>
      <c r="C26" s="93" t="s">
        <v>498</v>
      </c>
      <c r="D26" s="64" t="s">
        <v>499</v>
      </c>
      <c r="E26" s="64" t="s">
        <v>500</v>
      </c>
      <c r="F26" s="64" t="s">
        <v>501</v>
      </c>
      <c r="G26" s="94" t="s">
        <v>489</v>
      </c>
      <c r="H26" s="67"/>
    </row>
    <row r="27" spans="1:8">
      <c r="A27" s="83" t="s">
        <v>15</v>
      </c>
      <c r="B27" s="84"/>
      <c r="C27" s="95"/>
      <c r="D27" s="96">
        <v>8</v>
      </c>
      <c r="E27" s="96">
        <v>1</v>
      </c>
      <c r="F27" s="97">
        <f>'EQUIPOS '!D31</f>
        <v>1060</v>
      </c>
      <c r="G27" s="69">
        <f>(D27*E27*F27)</f>
        <v>8480</v>
      </c>
      <c r="H27" s="72"/>
    </row>
    <row r="28" spans="1:8">
      <c r="A28" s="83"/>
      <c r="B28" s="84"/>
      <c r="C28" s="98"/>
      <c r="D28" s="68"/>
      <c r="E28" s="99"/>
      <c r="F28" s="69"/>
      <c r="G28" s="69"/>
      <c r="H28" s="72"/>
    </row>
    <row r="29" spans="1:8" ht="15.75" thickBot="1">
      <c r="A29" s="100"/>
      <c r="B29" s="101"/>
      <c r="C29" s="76"/>
      <c r="D29" s="77"/>
      <c r="E29" s="78"/>
      <c r="F29" s="79"/>
      <c r="G29" s="76"/>
      <c r="H29" s="72"/>
    </row>
    <row r="30" spans="1:8" ht="15.75" thickBot="1">
      <c r="A30" s="61"/>
      <c r="B30" s="61"/>
      <c r="C30" s="61"/>
      <c r="D30" s="61"/>
      <c r="E30" s="61"/>
      <c r="F30" s="61"/>
      <c r="G30" s="81" t="s">
        <v>491</v>
      </c>
      <c r="H30" s="82">
        <f>SUM(G27:G29)</f>
        <v>8480</v>
      </c>
    </row>
    <row r="31" spans="1:8" ht="15.75" thickBot="1">
      <c r="A31" s="92" t="s">
        <v>502</v>
      </c>
      <c r="B31" s="92"/>
      <c r="C31" s="61"/>
      <c r="D31" s="61"/>
      <c r="E31" s="61"/>
      <c r="F31" s="61"/>
      <c r="G31" s="61"/>
      <c r="H31" s="61"/>
    </row>
    <row r="32" spans="1:8">
      <c r="A32" s="1454" t="s">
        <v>503</v>
      </c>
      <c r="B32" s="1456"/>
      <c r="C32" s="149" t="s">
        <v>504</v>
      </c>
      <c r="D32" s="149" t="s">
        <v>505</v>
      </c>
      <c r="E32" s="124" t="s">
        <v>506</v>
      </c>
      <c r="F32" s="102" t="s">
        <v>488</v>
      </c>
      <c r="G32" s="148" t="s">
        <v>489</v>
      </c>
      <c r="H32" s="67"/>
    </row>
    <row r="33" spans="1:8">
      <c r="A33" s="83" t="s">
        <v>656</v>
      </c>
      <c r="B33" s="84"/>
      <c r="C33" s="103">
        <f>+SALARIOS!C49*4</f>
        <v>102288</v>
      </c>
      <c r="D33" s="104">
        <f>SALARIOS!C48</f>
        <v>1.7846558312967005</v>
      </c>
      <c r="E33" s="69">
        <f>+C33*D33</f>
        <v>182548.87567167688</v>
      </c>
      <c r="F33" s="1177">
        <v>24</v>
      </c>
      <c r="G33" s="105">
        <f>+E33/F33</f>
        <v>7606.2031529865371</v>
      </c>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7606.2031529865371</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19846.823468285191</v>
      </c>
    </row>
    <row r="40" spans="1:8" ht="15.75" thickBot="1">
      <c r="A40" s="63" t="s">
        <v>509</v>
      </c>
      <c r="B40" s="63"/>
      <c r="C40" s="61"/>
      <c r="D40" s="61"/>
      <c r="E40" s="61"/>
      <c r="F40" s="61"/>
      <c r="G40" s="61"/>
      <c r="H40" s="61"/>
    </row>
    <row r="41" spans="1:8">
      <c r="A41" s="110" t="s">
        <v>485</v>
      </c>
      <c r="B41" s="111"/>
      <c r="C41" s="111"/>
      <c r="D41" s="111"/>
      <c r="E41" s="112"/>
      <c r="F41" s="113" t="s">
        <v>510</v>
      </c>
      <c r="G41" s="114" t="s">
        <v>511</v>
      </c>
      <c r="H41" s="67"/>
    </row>
    <row r="42" spans="1:8">
      <c r="A42" s="83" t="s">
        <v>512</v>
      </c>
      <c r="B42" s="84"/>
      <c r="C42" s="84"/>
      <c r="D42" s="84"/>
      <c r="E42" s="85"/>
      <c r="F42" s="115">
        <f>(SALARIOS!C45)</f>
        <v>0.15</v>
      </c>
      <c r="G42" s="116">
        <f>++F42*H39</f>
        <v>2977.0235202427784</v>
      </c>
      <c r="H42" s="117"/>
    </row>
    <row r="43" spans="1:8">
      <c r="A43" s="83" t="s">
        <v>513</v>
      </c>
      <c r="B43" s="84"/>
      <c r="C43" s="84"/>
      <c r="D43" s="84"/>
      <c r="E43" s="85"/>
      <c r="F43" s="115">
        <f>(SALARIOS!C46)</f>
        <v>0.05</v>
      </c>
      <c r="G43" s="116">
        <f>+F43*H39</f>
        <v>992.34117341425963</v>
      </c>
      <c r="H43" s="117"/>
    </row>
    <row r="44" spans="1:8" ht="15.75" thickBot="1">
      <c r="A44" s="89" t="s">
        <v>514</v>
      </c>
      <c r="B44" s="90"/>
      <c r="C44" s="90"/>
      <c r="D44" s="90"/>
      <c r="E44" s="91"/>
      <c r="F44" s="118">
        <f>(SALARIOS!C47)</f>
        <v>0.05</v>
      </c>
      <c r="G44" s="119">
        <f>+F44*H39</f>
        <v>992.34117341425963</v>
      </c>
      <c r="H44" s="80"/>
    </row>
    <row r="45" spans="1:8" ht="15.75" thickBot="1">
      <c r="A45" s="61"/>
      <c r="B45" s="61"/>
      <c r="C45" s="61"/>
      <c r="D45" s="61"/>
      <c r="E45" s="61"/>
      <c r="F45" s="61"/>
      <c r="G45" s="81" t="s">
        <v>491</v>
      </c>
      <c r="H45" s="120">
        <f>SUM(G42:G44)</f>
        <v>4961.7058670712977</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24809</v>
      </c>
    </row>
  </sheetData>
  <mergeCells count="14">
    <mergeCell ref="A12:C12"/>
    <mergeCell ref="A2:C3"/>
    <mergeCell ref="A4:C4"/>
    <mergeCell ref="D4:H4"/>
    <mergeCell ref="A10:C10"/>
    <mergeCell ref="A11:C11"/>
    <mergeCell ref="A32:B32"/>
    <mergeCell ref="A13:C13"/>
    <mergeCell ref="A14:C14"/>
    <mergeCell ref="A15:C15"/>
    <mergeCell ref="A16:C16"/>
    <mergeCell ref="A19:C19"/>
    <mergeCell ref="A26:B26"/>
    <mergeCell ref="A20:C20"/>
  </mergeCells>
  <pageMargins left="0.7" right="0.7" top="0.75" bottom="0.75" header="0.3" footer="0.3"/>
  <pageSetup scale="95"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c r="A7" s="60" t="s">
        <v>256</v>
      </c>
      <c r="B7" s="62"/>
      <c r="C7" s="61"/>
      <c r="D7" s="16"/>
      <c r="E7" s="62"/>
      <c r="F7" s="16"/>
      <c r="G7" s="62" t="s">
        <v>801</v>
      </c>
      <c r="H7" s="61"/>
    </row>
    <row r="8" spans="1:8">
      <c r="A8" s="60" t="s">
        <v>802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234" t="s">
        <v>218</v>
      </c>
      <c r="B12" s="209"/>
      <c r="C12" s="210"/>
      <c r="D12" s="68" t="s">
        <v>6</v>
      </c>
      <c r="E12" s="86">
        <f>+'EQUIPOS '!D10</f>
        <v>87000</v>
      </c>
      <c r="F12" s="161">
        <v>3</v>
      </c>
      <c r="G12" s="71">
        <f>+E12/F12</f>
        <v>29000</v>
      </c>
      <c r="H12" s="72"/>
    </row>
    <row r="13" spans="1:8">
      <c r="A13" s="175" t="s">
        <v>1327</v>
      </c>
      <c r="B13" s="176"/>
      <c r="C13" s="174"/>
      <c r="D13" s="174"/>
      <c r="E13" s="173"/>
      <c r="F13" s="69"/>
      <c r="G13" s="173">
        <f>H38*10%</f>
        <v>17126.509173566497</v>
      </c>
      <c r="H13" s="72"/>
    </row>
    <row r="14" spans="1:8">
      <c r="A14" s="175"/>
      <c r="B14" s="165"/>
      <c r="C14" s="166"/>
      <c r="D14" s="167"/>
      <c r="E14" s="167"/>
      <c r="F14" s="167"/>
      <c r="G14" s="173"/>
      <c r="H14" s="72"/>
    </row>
    <row r="15" spans="1:8">
      <c r="A15" s="196"/>
      <c r="B15" s="197"/>
      <c r="C15" s="198"/>
      <c r="D15" s="73"/>
      <c r="E15" s="74"/>
      <c r="F15" s="69"/>
      <c r="G15" s="71"/>
      <c r="H15" s="72"/>
    </row>
    <row r="16" spans="1:8">
      <c r="A16" s="196"/>
      <c r="B16" s="197"/>
      <c r="C16" s="198"/>
      <c r="D16" s="73"/>
      <c r="E16" s="74"/>
      <c r="F16" s="69"/>
      <c r="G16" s="71"/>
      <c r="H16" s="72"/>
    </row>
    <row r="17" spans="1:8" ht="15.75" thickBot="1">
      <c r="A17" s="199"/>
      <c r="B17" s="200"/>
      <c r="C17" s="201"/>
      <c r="D17" s="76"/>
      <c r="E17" s="77"/>
      <c r="F17" s="78"/>
      <c r="G17" s="79"/>
      <c r="H17" s="80"/>
    </row>
    <row r="18" spans="1:8" ht="15.75" thickBot="1">
      <c r="A18" s="61"/>
      <c r="B18" s="61"/>
      <c r="C18" s="61"/>
      <c r="D18" s="61"/>
      <c r="E18" s="61"/>
      <c r="F18" s="61"/>
      <c r="G18" s="81" t="s">
        <v>491</v>
      </c>
      <c r="H18" s="82">
        <f>SUM(G12:G17)</f>
        <v>46126.509173566497</v>
      </c>
    </row>
    <row r="19" spans="1:8" ht="15.75" thickBot="1">
      <c r="A19" s="63" t="s">
        <v>492</v>
      </c>
      <c r="B19" s="63"/>
      <c r="C19" s="61"/>
      <c r="D19" s="61"/>
      <c r="E19" s="61"/>
      <c r="F19" s="61"/>
      <c r="G19" s="61"/>
      <c r="H19" s="61"/>
    </row>
    <row r="20" spans="1:8">
      <c r="A20" s="205" t="s">
        <v>485</v>
      </c>
      <c r="B20" s="206"/>
      <c r="C20" s="207"/>
      <c r="D20" s="207" t="s">
        <v>493</v>
      </c>
      <c r="E20" s="207" t="s">
        <v>494</v>
      </c>
      <c r="F20" s="207" t="s">
        <v>495</v>
      </c>
      <c r="G20" s="206"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93" t="s">
        <v>497</v>
      </c>
      <c r="B27" s="195"/>
      <c r="C27" s="93" t="s">
        <v>498</v>
      </c>
      <c r="D27" s="195" t="s">
        <v>499</v>
      </c>
      <c r="E27" s="195" t="s">
        <v>500</v>
      </c>
      <c r="F27" s="195" t="s">
        <v>501</v>
      </c>
      <c r="G27" s="94" t="s">
        <v>489</v>
      </c>
      <c r="H27" s="67"/>
    </row>
    <row r="28" spans="1:8">
      <c r="A28" s="83" t="s">
        <v>776</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93" t="s">
        <v>503</v>
      </c>
      <c r="B33" s="195"/>
      <c r="C33" s="195" t="s">
        <v>504</v>
      </c>
      <c r="D33" s="195" t="s">
        <v>505</v>
      </c>
      <c r="E33" s="124" t="s">
        <v>506</v>
      </c>
      <c r="F33" s="102" t="s">
        <v>488</v>
      </c>
      <c r="G33" s="194" t="s">
        <v>489</v>
      </c>
      <c r="H33" s="67"/>
    </row>
    <row r="34" spans="1:8">
      <c r="A34" s="83" t="s">
        <v>656</v>
      </c>
      <c r="B34" s="84"/>
      <c r="C34" s="103">
        <f>+SALARIOS!C49*4</f>
        <v>102288</v>
      </c>
      <c r="D34" s="104">
        <f>+SALARIOS!C48</f>
        <v>1.7846558312967005</v>
      </c>
      <c r="E34" s="69">
        <f>+C34*D34</f>
        <v>182548.87567167688</v>
      </c>
      <c r="F34" s="69">
        <v>1.5</v>
      </c>
      <c r="G34" s="105">
        <f>+E34/F34</f>
        <v>121699.25044778459</v>
      </c>
      <c r="H34" s="72"/>
    </row>
    <row r="35" spans="1:8">
      <c r="A35" s="83" t="s">
        <v>624</v>
      </c>
      <c r="B35" s="84"/>
      <c r="C35" s="103">
        <f>+SALARIOS!C50</f>
        <v>41660</v>
      </c>
      <c r="D35" s="104">
        <f>+SALARIOS!C48</f>
        <v>1.7846558312967005</v>
      </c>
      <c r="E35" s="69">
        <f>+C35*D35</f>
        <v>74348.76193182054</v>
      </c>
      <c r="F35" s="69">
        <v>1.5</v>
      </c>
      <c r="G35" s="105">
        <f>+E35/F35</f>
        <v>49565.841287880357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171265.09173566496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217391.60090923146</v>
      </c>
    </row>
    <row r="41" spans="1:8" ht="15.75" thickBot="1">
      <c r="A41" s="63" t="s">
        <v>509</v>
      </c>
      <c r="B41" s="63"/>
      <c r="C41" s="61"/>
      <c r="D41" s="61"/>
      <c r="E41" s="61"/>
      <c r="F41" s="61"/>
      <c r="G41" s="61"/>
      <c r="H41" s="61"/>
    </row>
    <row r="42" spans="1:8">
      <c r="A42" s="233" t="s">
        <v>485</v>
      </c>
      <c r="B42" s="206"/>
      <c r="C42" s="206"/>
      <c r="D42" s="206"/>
      <c r="E42" s="207"/>
      <c r="F42" s="207" t="s">
        <v>510</v>
      </c>
      <c r="G42" s="206" t="s">
        <v>511</v>
      </c>
      <c r="H42" s="67"/>
    </row>
    <row r="43" spans="1:8">
      <c r="A43" s="83" t="s">
        <v>512</v>
      </c>
      <c r="B43" s="84"/>
      <c r="C43" s="84"/>
      <c r="D43" s="84"/>
      <c r="E43" s="85"/>
      <c r="F43" s="115">
        <f>+SALARIOS!C45</f>
        <v>0.15</v>
      </c>
      <c r="G43" s="116">
        <f>++F43*H40</f>
        <v>32608.740136384717</v>
      </c>
      <c r="H43" s="117"/>
    </row>
    <row r="44" spans="1:8">
      <c r="A44" s="83" t="s">
        <v>513</v>
      </c>
      <c r="B44" s="84"/>
      <c r="C44" s="84"/>
      <c r="D44" s="84"/>
      <c r="E44" s="85"/>
      <c r="F44" s="115">
        <f>+SALARIOS!C46</f>
        <v>0.05</v>
      </c>
      <c r="G44" s="116">
        <f>+F44*H40</f>
        <v>10869.580045461575</v>
      </c>
      <c r="H44" s="117"/>
    </row>
    <row r="45" spans="1:8" ht="15.75" thickBot="1">
      <c r="A45" s="89" t="s">
        <v>514</v>
      </c>
      <c r="B45" s="90"/>
      <c r="C45" s="90"/>
      <c r="D45" s="90"/>
      <c r="E45" s="91"/>
      <c r="F45" s="118">
        <f>+SALARIOS!C47</f>
        <v>0.05</v>
      </c>
      <c r="G45" s="119">
        <f>+F45*H40</f>
        <v>10869.580045461575</v>
      </c>
      <c r="H45" s="80"/>
    </row>
    <row r="46" spans="1:8" ht="15.75" thickBot="1">
      <c r="A46" s="61"/>
      <c r="B46" s="61"/>
      <c r="C46" s="61"/>
      <c r="D46" s="61"/>
      <c r="E46" s="61"/>
      <c r="F46" s="61"/>
      <c r="G46" s="81" t="s">
        <v>491</v>
      </c>
      <c r="H46" s="120">
        <f>SUM(G43:G45)</f>
        <v>54347.900227307866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271740</v>
      </c>
    </row>
  </sheetData>
  <mergeCells count="1">
    <mergeCell ref="A3:C4"/>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H47"/>
  <sheetViews>
    <sheetView workbookViewId="0">
      <selection activeCell="I18" sqref="I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3.25" customHeight="1">
      <c r="A7" s="1479" t="s">
        <v>1950</v>
      </c>
      <c r="B7" s="1479"/>
      <c r="C7" s="1479"/>
      <c r="D7" s="1479"/>
      <c r="E7" s="1479"/>
      <c r="F7" s="16"/>
      <c r="G7" s="62" t="s">
        <v>803</v>
      </c>
      <c r="H7" s="61"/>
    </row>
    <row r="8" spans="1:8">
      <c r="A8" s="60" t="s">
        <v>726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H37*10%</f>
        <v>8028.0511751092945</v>
      </c>
      <c r="H12" s="72"/>
    </row>
    <row r="13" spans="1:8">
      <c r="A13" s="789" t="s">
        <v>14</v>
      </c>
      <c r="B13" s="790"/>
      <c r="C13" s="791"/>
      <c r="D13" s="68" t="s">
        <v>6</v>
      </c>
      <c r="E13" s="86">
        <f>+'EQUIPOS '!D10</f>
        <v>87000</v>
      </c>
      <c r="F13" s="161">
        <v>3</v>
      </c>
      <c r="G13" s="71">
        <f>+E13/F13</f>
        <v>29000</v>
      </c>
      <c r="H13" s="72"/>
    </row>
    <row r="14" spans="1:8">
      <c r="A14" s="196"/>
      <c r="B14" s="197"/>
      <c r="C14" s="198"/>
      <c r="D14" s="73"/>
      <c r="E14" s="74"/>
      <c r="F14" s="69"/>
      <c r="G14" s="71"/>
      <c r="H14" s="72"/>
    </row>
    <row r="15" spans="1:8">
      <c r="A15" s="196"/>
      <c r="B15" s="197"/>
      <c r="C15" s="198"/>
      <c r="D15" s="73"/>
      <c r="E15" s="74"/>
      <c r="F15" s="69"/>
      <c r="G15" s="71"/>
      <c r="H15" s="72"/>
    </row>
    <row r="16" spans="1:8" ht="15.75" thickBot="1">
      <c r="A16" s="199"/>
      <c r="B16" s="200"/>
      <c r="C16" s="201"/>
      <c r="D16" s="76"/>
      <c r="E16" s="77"/>
      <c r="F16" s="78"/>
      <c r="G16" s="79"/>
      <c r="H16" s="80"/>
    </row>
    <row r="17" spans="1:8" ht="15.75" thickBot="1">
      <c r="A17" s="61"/>
      <c r="B17" s="61"/>
      <c r="C17" s="61"/>
      <c r="D17" s="61"/>
      <c r="E17" s="61"/>
      <c r="F17" s="61"/>
      <c r="G17" s="81" t="s">
        <v>491</v>
      </c>
      <c r="H17" s="82">
        <f>SUM(G12:G16)</f>
        <v>37028.051175109293</v>
      </c>
    </row>
    <row r="18" spans="1:8" ht="15.75" thickBot="1">
      <c r="A18" s="63" t="s">
        <v>492</v>
      </c>
      <c r="B18" s="63"/>
      <c r="C18" s="61"/>
      <c r="D18" s="61"/>
      <c r="E18" s="61"/>
      <c r="F18" s="61"/>
      <c r="G18" s="61"/>
      <c r="H18" s="61"/>
    </row>
    <row r="19" spans="1:8">
      <c r="A19" s="205" t="s">
        <v>485</v>
      </c>
      <c r="B19" s="206"/>
      <c r="C19" s="207"/>
      <c r="D19" s="207" t="s">
        <v>493</v>
      </c>
      <c r="E19" s="207" t="s">
        <v>494</v>
      </c>
      <c r="F19" s="207" t="s">
        <v>495</v>
      </c>
      <c r="G19" s="206" t="s">
        <v>489</v>
      </c>
      <c r="H19" s="67"/>
    </row>
    <row r="20" spans="1:8">
      <c r="A20" s="127" t="s">
        <v>805</v>
      </c>
      <c r="B20" s="84"/>
      <c r="C20" s="85"/>
      <c r="D20" s="141" t="s">
        <v>61</v>
      </c>
      <c r="E20" s="139">
        <f>+MATERIALES!D289</f>
        <v>301948</v>
      </c>
      <c r="F20" s="163">
        <v>1</v>
      </c>
      <c r="G20" s="137">
        <f>+E20*F20</f>
        <v>301948</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301948</v>
      </c>
    </row>
    <row r="25" spans="1:8" ht="15.75" thickBot="1">
      <c r="A25" s="92" t="s">
        <v>496</v>
      </c>
      <c r="B25" s="92"/>
      <c r="C25" s="90"/>
      <c r="D25" s="61"/>
      <c r="E25" s="61"/>
      <c r="F25" s="61"/>
      <c r="G25" s="61"/>
      <c r="H25" s="61"/>
    </row>
    <row r="26" spans="1:8">
      <c r="A26" s="193" t="s">
        <v>497</v>
      </c>
      <c r="B26" s="195"/>
      <c r="C26" s="93" t="s">
        <v>498</v>
      </c>
      <c r="D26" s="195" t="s">
        <v>499</v>
      </c>
      <c r="E26" s="195" t="s">
        <v>500</v>
      </c>
      <c r="F26" s="195" t="s">
        <v>501</v>
      </c>
      <c r="G26" s="94" t="s">
        <v>489</v>
      </c>
      <c r="H26" s="67"/>
    </row>
    <row r="27" spans="1:8">
      <c r="A27" s="83" t="s">
        <v>776</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93" t="s">
        <v>503</v>
      </c>
      <c r="B32" s="195"/>
      <c r="C32" s="195" t="s">
        <v>504</v>
      </c>
      <c r="D32" s="195" t="s">
        <v>505</v>
      </c>
      <c r="E32" s="124" t="s">
        <v>506</v>
      </c>
      <c r="F32" s="102" t="s">
        <v>488</v>
      </c>
      <c r="G32" s="194" t="s">
        <v>489</v>
      </c>
      <c r="H32" s="67"/>
    </row>
    <row r="33" spans="1:8">
      <c r="A33" s="83" t="s">
        <v>656</v>
      </c>
      <c r="B33" s="84"/>
      <c r="C33" s="103">
        <f>+SALARIOS!C49*4</f>
        <v>102288</v>
      </c>
      <c r="D33" s="104">
        <f>+SALARIOS!C48</f>
        <v>1.7846558312967005</v>
      </c>
      <c r="E33" s="69">
        <f>+C33*D33</f>
        <v>182548.87567167688</v>
      </c>
      <c r="F33" s="69">
        <v>3.2</v>
      </c>
      <c r="G33" s="105">
        <f>+E33/F33</f>
        <v>57046.523647399023</v>
      </c>
      <c r="H33" s="72"/>
    </row>
    <row r="34" spans="1:8">
      <c r="A34" s="83" t="s">
        <v>624</v>
      </c>
      <c r="B34" s="84"/>
      <c r="C34" s="103">
        <f>+SALARIOS!C50</f>
        <v>41660</v>
      </c>
      <c r="D34" s="104">
        <f>+SALARIOS!C48</f>
        <v>1.7846558312967005</v>
      </c>
      <c r="E34" s="69">
        <f>+C34*D34</f>
        <v>74348.76193182054</v>
      </c>
      <c r="F34" s="69">
        <v>3.2</v>
      </c>
      <c r="G34" s="105">
        <f>+E34/F34</f>
        <v>23233.988103693919</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80280.511751092941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419256.5629262022</v>
      </c>
    </row>
    <row r="40" spans="1:8" ht="15.75" thickBot="1">
      <c r="A40" s="63" t="s">
        <v>509</v>
      </c>
      <c r="B40" s="63"/>
      <c r="C40" s="61"/>
      <c r="D40" s="61"/>
      <c r="E40" s="61"/>
      <c r="F40" s="61"/>
      <c r="G40" s="61"/>
      <c r="H40" s="61"/>
    </row>
    <row r="41" spans="1:8">
      <c r="A41" s="233" t="s">
        <v>485</v>
      </c>
      <c r="B41" s="206"/>
      <c r="C41" s="206"/>
      <c r="D41" s="206"/>
      <c r="E41" s="207"/>
      <c r="F41" s="207" t="s">
        <v>510</v>
      </c>
      <c r="G41" s="206" t="s">
        <v>511</v>
      </c>
      <c r="H41" s="67"/>
    </row>
    <row r="42" spans="1:8">
      <c r="A42" s="83" t="s">
        <v>512</v>
      </c>
      <c r="B42" s="84"/>
      <c r="C42" s="84"/>
      <c r="D42" s="84"/>
      <c r="E42" s="85"/>
      <c r="F42" s="115">
        <f>+SALARIOS!C45</f>
        <v>0.15</v>
      </c>
      <c r="G42" s="116">
        <f>++F42*H39</f>
        <v>62888.484438930325</v>
      </c>
      <c r="H42" s="117"/>
    </row>
    <row r="43" spans="1:8">
      <c r="A43" s="83" t="s">
        <v>513</v>
      </c>
      <c r="B43" s="84"/>
      <c r="C43" s="84"/>
      <c r="D43" s="84"/>
      <c r="E43" s="85"/>
      <c r="F43" s="115">
        <f>+SALARIOS!C46</f>
        <v>0.05</v>
      </c>
      <c r="G43" s="116">
        <f>+F43*H39</f>
        <v>20962.828146310112</v>
      </c>
      <c r="H43" s="117"/>
    </row>
    <row r="44" spans="1:8" ht="15.75" thickBot="1">
      <c r="A44" s="89" t="s">
        <v>514</v>
      </c>
      <c r="B44" s="90"/>
      <c r="C44" s="90"/>
      <c r="D44" s="90"/>
      <c r="E44" s="91"/>
      <c r="F44" s="118">
        <f>+SALARIOS!C47</f>
        <v>0.05</v>
      </c>
      <c r="G44" s="119">
        <f>+F44*H39</f>
        <v>20962.828146310112</v>
      </c>
      <c r="H44" s="80"/>
    </row>
    <row r="45" spans="1:8" ht="15.75" thickBot="1">
      <c r="A45" s="61"/>
      <c r="B45" s="61"/>
      <c r="C45" s="61"/>
      <c r="D45" s="61"/>
      <c r="E45" s="61"/>
      <c r="F45" s="61"/>
      <c r="G45" s="81" t="s">
        <v>491</v>
      </c>
      <c r="H45" s="120">
        <f>SUM(G42:G44)</f>
        <v>104814.14073155055</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524071</v>
      </c>
    </row>
  </sheetData>
  <mergeCells count="2">
    <mergeCell ref="A3:C4"/>
    <mergeCell ref="A7:E7"/>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H47"/>
  <sheetViews>
    <sheetView workbookViewId="0">
      <selection activeCell="L19" sqref="L1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02" t="s">
        <v>520</v>
      </c>
      <c r="B5" s="203"/>
      <c r="C5" s="204"/>
      <c r="D5" s="190"/>
      <c r="E5" s="191"/>
      <c r="F5" s="191"/>
      <c r="G5" s="191"/>
      <c r="H5" s="192"/>
    </row>
    <row r="6" spans="1:8">
      <c r="A6" s="60"/>
      <c r="B6" s="61"/>
      <c r="C6" s="61"/>
      <c r="D6" s="61"/>
      <c r="E6" s="61"/>
      <c r="F6" s="61"/>
      <c r="G6" s="61"/>
      <c r="H6" s="61"/>
    </row>
    <row r="7" spans="1:8" ht="24" customHeight="1">
      <c r="A7" s="1479" t="s">
        <v>1950</v>
      </c>
      <c r="B7" s="1479"/>
      <c r="C7" s="1479"/>
      <c r="D7" s="1479"/>
      <c r="E7" s="1479"/>
      <c r="F7" s="16"/>
      <c r="G7" s="62" t="s">
        <v>804</v>
      </c>
      <c r="H7" s="61"/>
    </row>
    <row r="8" spans="1:8">
      <c r="A8" s="60" t="s">
        <v>808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93" t="s">
        <v>485</v>
      </c>
      <c r="B11" s="194"/>
      <c r="C11" s="195"/>
      <c r="D11" s="195" t="s">
        <v>486</v>
      </c>
      <c r="E11" s="65" t="s">
        <v>487</v>
      </c>
      <c r="F11" s="195" t="s">
        <v>488</v>
      </c>
      <c r="G11" s="194" t="s">
        <v>489</v>
      </c>
      <c r="H11" s="67"/>
    </row>
    <row r="12" spans="1:8">
      <c r="A12" s="175" t="s">
        <v>1327</v>
      </c>
      <c r="B12" s="176"/>
      <c r="C12" s="174"/>
      <c r="D12" s="174"/>
      <c r="E12" s="173"/>
      <c r="F12" s="69"/>
      <c r="G12" s="173">
        <f>H37*10%</f>
        <v>9174.9156286963389</v>
      </c>
      <c r="H12" s="72"/>
    </row>
    <row r="13" spans="1:8">
      <c r="A13" s="789" t="s">
        <v>14</v>
      </c>
      <c r="B13" s="790"/>
      <c r="C13" s="791"/>
      <c r="D13" s="68" t="s">
        <v>6</v>
      </c>
      <c r="E13" s="86">
        <f>+'EQUIPOS '!D10</f>
        <v>87000</v>
      </c>
      <c r="F13" s="161">
        <v>3</v>
      </c>
      <c r="G13" s="71">
        <f>+E13/F13</f>
        <v>29000</v>
      </c>
      <c r="H13" s="72"/>
    </row>
    <row r="14" spans="1:8">
      <c r="A14" s="196"/>
      <c r="B14" s="197"/>
      <c r="C14" s="198"/>
      <c r="D14" s="73"/>
      <c r="E14" s="74"/>
      <c r="F14" s="69"/>
      <c r="G14" s="71"/>
      <c r="H14" s="72"/>
    </row>
    <row r="15" spans="1:8">
      <c r="A15" s="196"/>
      <c r="B15" s="197"/>
      <c r="C15" s="198"/>
      <c r="D15" s="73"/>
      <c r="E15" s="74"/>
      <c r="F15" s="69"/>
      <c r="G15" s="71"/>
      <c r="H15" s="72"/>
    </row>
    <row r="16" spans="1:8" ht="15.75" thickBot="1">
      <c r="A16" s="199"/>
      <c r="B16" s="200"/>
      <c r="C16" s="201"/>
      <c r="D16" s="76"/>
      <c r="E16" s="77"/>
      <c r="F16" s="78"/>
      <c r="G16" s="79"/>
      <c r="H16" s="80"/>
    </row>
    <row r="17" spans="1:8" ht="15.75" thickBot="1">
      <c r="A17" s="61"/>
      <c r="B17" s="61"/>
      <c r="C17" s="61"/>
      <c r="D17" s="61"/>
      <c r="E17" s="61"/>
      <c r="F17" s="61"/>
      <c r="G17" s="81" t="s">
        <v>491</v>
      </c>
      <c r="H17" s="82">
        <f>SUM(G12:G16)</f>
        <v>38174.915628696341</v>
      </c>
    </row>
    <row r="18" spans="1:8" ht="15.75" thickBot="1">
      <c r="A18" s="63" t="s">
        <v>492</v>
      </c>
      <c r="B18" s="63"/>
      <c r="C18" s="61"/>
      <c r="D18" s="61"/>
      <c r="E18" s="61"/>
      <c r="F18" s="61"/>
      <c r="G18" s="61"/>
      <c r="H18" s="61"/>
    </row>
    <row r="19" spans="1:8">
      <c r="A19" s="205" t="s">
        <v>485</v>
      </c>
      <c r="B19" s="206"/>
      <c r="C19" s="207"/>
      <c r="D19" s="207" t="s">
        <v>493</v>
      </c>
      <c r="E19" s="207" t="s">
        <v>494</v>
      </c>
      <c r="F19" s="207" t="s">
        <v>495</v>
      </c>
      <c r="G19" s="206" t="s">
        <v>489</v>
      </c>
      <c r="H19" s="67"/>
    </row>
    <row r="20" spans="1:8">
      <c r="A20" s="127" t="s">
        <v>806</v>
      </c>
      <c r="B20" s="84"/>
      <c r="C20" s="85"/>
      <c r="D20" s="141" t="s">
        <v>61</v>
      </c>
      <c r="E20" s="139">
        <f>+MATERIALES!D292</f>
        <v>390502.39999999997</v>
      </c>
      <c r="F20" s="163">
        <v>1</v>
      </c>
      <c r="G20" s="137">
        <f>+E20*F20</f>
        <v>390502.39999999997</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390502.39999999997</v>
      </c>
    </row>
    <row r="25" spans="1:8" ht="15.75" thickBot="1">
      <c r="A25" s="92" t="s">
        <v>496</v>
      </c>
      <c r="B25" s="92"/>
      <c r="C25" s="90"/>
      <c r="D25" s="61"/>
      <c r="E25" s="61"/>
      <c r="F25" s="61"/>
      <c r="G25" s="61"/>
      <c r="H25" s="61"/>
    </row>
    <row r="26" spans="1:8">
      <c r="A26" s="193" t="s">
        <v>497</v>
      </c>
      <c r="B26" s="195"/>
      <c r="C26" s="93" t="s">
        <v>498</v>
      </c>
      <c r="D26" s="195" t="s">
        <v>499</v>
      </c>
      <c r="E26" s="195" t="s">
        <v>500</v>
      </c>
      <c r="F26" s="195"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93" t="s">
        <v>503</v>
      </c>
      <c r="B32" s="195"/>
      <c r="C32" s="195" t="s">
        <v>504</v>
      </c>
      <c r="D32" s="195" t="s">
        <v>505</v>
      </c>
      <c r="E32" s="124" t="s">
        <v>506</v>
      </c>
      <c r="F32" s="102" t="s">
        <v>488</v>
      </c>
      <c r="G32" s="194" t="s">
        <v>489</v>
      </c>
      <c r="H32" s="67"/>
    </row>
    <row r="33" spans="1:8">
      <c r="A33" s="83" t="s">
        <v>656</v>
      </c>
      <c r="B33" s="84"/>
      <c r="C33" s="103">
        <f>+SALARIOS!C49*4</f>
        <v>102288</v>
      </c>
      <c r="D33" s="104">
        <f>+SALARIOS!C48</f>
        <v>1.7846558312967005</v>
      </c>
      <c r="E33" s="69">
        <f>+C33*D33</f>
        <v>182548.87567167688</v>
      </c>
      <c r="F33" s="69">
        <v>2.8</v>
      </c>
      <c r="G33" s="105">
        <f>+E33/F33</f>
        <v>65196.027025598894</v>
      </c>
      <c r="H33" s="72"/>
    </row>
    <row r="34" spans="1:8">
      <c r="A34" s="83" t="s">
        <v>624</v>
      </c>
      <c r="B34" s="84"/>
      <c r="C34" s="103">
        <f>+SALARIOS!C50</f>
        <v>41660</v>
      </c>
      <c r="D34" s="104">
        <f>+SALARIOS!C48</f>
        <v>1.7846558312967005</v>
      </c>
      <c r="E34" s="69">
        <f>+C34*D34</f>
        <v>74348.76193182054</v>
      </c>
      <c r="F34" s="69">
        <v>2.8</v>
      </c>
      <c r="G34" s="105">
        <f>+E34/F34</f>
        <v>26553.12926136448</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91749.156286963378</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520426.47191565967</v>
      </c>
    </row>
    <row r="40" spans="1:8" ht="15.75" thickBot="1">
      <c r="A40" s="63" t="s">
        <v>509</v>
      </c>
      <c r="B40" s="63"/>
      <c r="C40" s="61"/>
      <c r="D40" s="61"/>
      <c r="E40" s="61"/>
      <c r="F40" s="61"/>
      <c r="G40" s="61"/>
      <c r="H40" s="61"/>
    </row>
    <row r="41" spans="1:8">
      <c r="A41" s="233" t="s">
        <v>485</v>
      </c>
      <c r="B41" s="206"/>
      <c r="C41" s="206"/>
      <c r="D41" s="206"/>
      <c r="E41" s="207"/>
      <c r="F41" s="207" t="s">
        <v>510</v>
      </c>
      <c r="G41" s="206" t="s">
        <v>511</v>
      </c>
      <c r="H41" s="67"/>
    </row>
    <row r="42" spans="1:8">
      <c r="A42" s="83" t="s">
        <v>512</v>
      </c>
      <c r="B42" s="84"/>
      <c r="C42" s="84"/>
      <c r="D42" s="84"/>
      <c r="E42" s="85"/>
      <c r="F42" s="115">
        <f>+SALARIOS!C45</f>
        <v>0.15</v>
      </c>
      <c r="G42" s="116">
        <f>++F42*H39</f>
        <v>78063.970787348953</v>
      </c>
      <c r="H42" s="117"/>
    </row>
    <row r="43" spans="1:8">
      <c r="A43" s="83" t="s">
        <v>513</v>
      </c>
      <c r="B43" s="84"/>
      <c r="C43" s="84"/>
      <c r="D43" s="84"/>
      <c r="E43" s="85"/>
      <c r="F43" s="115">
        <f>+SALARIOS!C46</f>
        <v>0.05</v>
      </c>
      <c r="G43" s="116">
        <f>+F43*H39</f>
        <v>26021.323595782986</v>
      </c>
      <c r="H43" s="117"/>
    </row>
    <row r="44" spans="1:8" ht="15.75" thickBot="1">
      <c r="A44" s="89" t="s">
        <v>514</v>
      </c>
      <c r="B44" s="90"/>
      <c r="C44" s="90"/>
      <c r="D44" s="90"/>
      <c r="E44" s="91"/>
      <c r="F44" s="118">
        <f>+SALARIOS!C47</f>
        <v>0.05</v>
      </c>
      <c r="G44" s="119">
        <f>+F44*H39</f>
        <v>26021.323595782986</v>
      </c>
      <c r="H44" s="80"/>
    </row>
    <row r="45" spans="1:8" ht="15.75" thickBot="1">
      <c r="A45" s="61"/>
      <c r="B45" s="61"/>
      <c r="C45" s="61"/>
      <c r="D45" s="61"/>
      <c r="E45" s="61"/>
      <c r="F45" s="61"/>
      <c r="G45" s="81" t="s">
        <v>491</v>
      </c>
      <c r="H45" s="120">
        <f>SUM(G42:G44)</f>
        <v>130106.61797891493</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650533</v>
      </c>
    </row>
  </sheetData>
  <mergeCells count="2">
    <mergeCell ref="A3:C4"/>
    <mergeCell ref="A7:E7"/>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H47"/>
  <sheetViews>
    <sheetView workbookViewId="0">
      <selection activeCell="K19" sqref="K1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1" customHeight="1">
      <c r="A7" s="1479" t="s">
        <v>1950</v>
      </c>
      <c r="B7" s="1479"/>
      <c r="C7" s="1479"/>
      <c r="D7" s="1479"/>
      <c r="E7" s="1479"/>
      <c r="F7" s="16"/>
      <c r="G7" s="62" t="s">
        <v>807</v>
      </c>
      <c r="H7" s="61"/>
    </row>
    <row r="8" spans="1:8">
      <c r="A8" s="60" t="s">
        <v>809</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176"/>
      <c r="C12" s="174"/>
      <c r="D12" s="174"/>
      <c r="E12" s="173"/>
      <c r="F12" s="69"/>
      <c r="G12" s="173">
        <f>H37*10%</f>
        <v>10704.068233479062</v>
      </c>
      <c r="H12" s="72"/>
    </row>
    <row r="13" spans="1:8">
      <c r="A13" s="789" t="s">
        <v>14</v>
      </c>
      <c r="B13" s="790"/>
      <c r="C13" s="791"/>
      <c r="D13" s="68" t="s">
        <v>6</v>
      </c>
      <c r="E13" s="86">
        <f>+'EQUIPOS '!D10</f>
        <v>87000</v>
      </c>
      <c r="F13" s="161">
        <v>3</v>
      </c>
      <c r="G13" s="71">
        <f>+E13/F13</f>
        <v>29000</v>
      </c>
      <c r="H13" s="72"/>
    </row>
    <row r="14" spans="1:8">
      <c r="A14" s="222"/>
      <c r="B14" s="223"/>
      <c r="C14" s="224"/>
      <c r="D14" s="73"/>
      <c r="E14" s="74"/>
      <c r="F14" s="69"/>
      <c r="G14" s="71"/>
      <c r="H14" s="72"/>
    </row>
    <row r="15" spans="1:8">
      <c r="A15" s="222"/>
      <c r="B15" s="223"/>
      <c r="C15" s="224"/>
      <c r="D15" s="73"/>
      <c r="E15" s="74"/>
      <c r="F15" s="69"/>
      <c r="G15" s="71"/>
      <c r="H15" s="72"/>
    </row>
    <row r="16" spans="1:8" ht="15.75" thickBot="1">
      <c r="A16" s="225"/>
      <c r="B16" s="226"/>
      <c r="C16" s="227"/>
      <c r="D16" s="76"/>
      <c r="E16" s="77"/>
      <c r="F16" s="78"/>
      <c r="G16" s="79"/>
      <c r="H16" s="80"/>
    </row>
    <row r="17" spans="1:8" ht="15.75" thickBot="1">
      <c r="A17" s="61"/>
      <c r="B17" s="61"/>
      <c r="C17" s="61"/>
      <c r="D17" s="61"/>
      <c r="E17" s="61"/>
      <c r="F17" s="61"/>
      <c r="G17" s="81" t="s">
        <v>491</v>
      </c>
      <c r="H17" s="82">
        <f>SUM(G12:G16)</f>
        <v>39704.068233479062</v>
      </c>
    </row>
    <row r="18" spans="1:8" ht="15.75" thickBot="1">
      <c r="A18" s="63" t="s">
        <v>492</v>
      </c>
      <c r="B18" s="63"/>
      <c r="C18" s="61"/>
      <c r="D18" s="61"/>
      <c r="E18" s="61"/>
      <c r="F18" s="61"/>
      <c r="G18" s="61"/>
      <c r="H18" s="61"/>
    </row>
    <row r="19" spans="1:8">
      <c r="A19" s="228" t="s">
        <v>485</v>
      </c>
      <c r="B19" s="229"/>
      <c r="C19" s="230"/>
      <c r="D19" s="230" t="s">
        <v>493</v>
      </c>
      <c r="E19" s="230" t="s">
        <v>494</v>
      </c>
      <c r="F19" s="230" t="s">
        <v>495</v>
      </c>
      <c r="G19" s="229" t="s">
        <v>489</v>
      </c>
      <c r="H19" s="67"/>
    </row>
    <row r="20" spans="1:8">
      <c r="A20" s="127" t="s">
        <v>810</v>
      </c>
      <c r="B20" s="84"/>
      <c r="C20" s="85"/>
      <c r="D20" s="141" t="s">
        <v>61</v>
      </c>
      <c r="E20" s="139">
        <f>+MATERIALES!D293</f>
        <v>425000</v>
      </c>
      <c r="F20" s="163">
        <v>1</v>
      </c>
      <c r="G20" s="137">
        <f>+E20*F20</f>
        <v>425000</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425000</v>
      </c>
    </row>
    <row r="25" spans="1:8" ht="15.75" thickBot="1">
      <c r="A25" s="92" t="s">
        <v>496</v>
      </c>
      <c r="B25" s="92"/>
      <c r="C25" s="90"/>
      <c r="D25" s="61"/>
      <c r="E25" s="61"/>
      <c r="F25" s="61"/>
      <c r="G25" s="61"/>
      <c r="H25" s="61"/>
    </row>
    <row r="26" spans="1:8">
      <c r="A26" s="216" t="s">
        <v>497</v>
      </c>
      <c r="B26" s="218"/>
      <c r="C26" s="93" t="s">
        <v>498</v>
      </c>
      <c r="D26" s="218" t="s">
        <v>499</v>
      </c>
      <c r="E26" s="218" t="s">
        <v>500</v>
      </c>
      <c r="F26" s="218"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16" t="s">
        <v>503</v>
      </c>
      <c r="B32" s="218"/>
      <c r="C32" s="218" t="s">
        <v>504</v>
      </c>
      <c r="D32" s="218" t="s">
        <v>505</v>
      </c>
      <c r="E32" s="124" t="s">
        <v>506</v>
      </c>
      <c r="F32" s="102" t="s">
        <v>488</v>
      </c>
      <c r="G32" s="217" t="s">
        <v>489</v>
      </c>
      <c r="H32" s="67"/>
    </row>
    <row r="33" spans="1:8">
      <c r="A33" s="83" t="s">
        <v>656</v>
      </c>
      <c r="B33" s="84"/>
      <c r="C33" s="103">
        <f>+SALARIOS!C49*4</f>
        <v>102288</v>
      </c>
      <c r="D33" s="104">
        <f>+SALARIOS!C48</f>
        <v>1.7846558312967005</v>
      </c>
      <c r="E33" s="69">
        <f>+C33*D33</f>
        <v>182548.87567167688</v>
      </c>
      <c r="F33" s="69">
        <v>2.4</v>
      </c>
      <c r="G33" s="105">
        <f>+E33/F33</f>
        <v>76062.031529865373</v>
      </c>
      <c r="H33" s="72"/>
    </row>
    <row r="34" spans="1:8">
      <c r="A34" s="83" t="s">
        <v>624</v>
      </c>
      <c r="B34" s="84"/>
      <c r="C34" s="103">
        <f>+SALARIOS!C50</f>
        <v>41660</v>
      </c>
      <c r="D34" s="104">
        <f>+SALARIOS!C48</f>
        <v>1.7846558312967005</v>
      </c>
      <c r="E34" s="69">
        <f>+C34*D34</f>
        <v>74348.76193182054</v>
      </c>
      <c r="F34" s="69">
        <v>2.4</v>
      </c>
      <c r="G34" s="105">
        <f>+E34/F34</f>
        <v>30978.650804925226</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107040.6823347906</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571744.75056826964</v>
      </c>
    </row>
    <row r="40" spans="1:8" ht="15.75" thickBot="1">
      <c r="A40" s="63" t="s">
        <v>509</v>
      </c>
      <c r="B40" s="63"/>
      <c r="C40" s="61"/>
      <c r="D40" s="61"/>
      <c r="E40" s="61"/>
      <c r="F40" s="61"/>
      <c r="G40" s="61"/>
      <c r="H40" s="61"/>
    </row>
    <row r="41" spans="1:8">
      <c r="A41" s="233" t="s">
        <v>485</v>
      </c>
      <c r="B41" s="229"/>
      <c r="C41" s="229"/>
      <c r="D41" s="229"/>
      <c r="E41" s="230"/>
      <c r="F41" s="230" t="s">
        <v>510</v>
      </c>
      <c r="G41" s="229" t="s">
        <v>511</v>
      </c>
      <c r="H41" s="67"/>
    </row>
    <row r="42" spans="1:8">
      <c r="A42" s="83" t="s">
        <v>512</v>
      </c>
      <c r="B42" s="84"/>
      <c r="C42" s="84"/>
      <c r="D42" s="84"/>
      <c r="E42" s="85"/>
      <c r="F42" s="115">
        <f>+SALARIOS!C45</f>
        <v>0.15</v>
      </c>
      <c r="G42" s="116">
        <f>++F42*H39</f>
        <v>85761.712585240442</v>
      </c>
      <c r="H42" s="117"/>
    </row>
    <row r="43" spans="1:8">
      <c r="A43" s="83" t="s">
        <v>513</v>
      </c>
      <c r="B43" s="84"/>
      <c r="C43" s="84"/>
      <c r="D43" s="84"/>
      <c r="E43" s="85"/>
      <c r="F43" s="115">
        <f>+SALARIOS!C46</f>
        <v>0.05</v>
      </c>
      <c r="G43" s="116">
        <f>+F43*H39</f>
        <v>28587.237528413483</v>
      </c>
      <c r="H43" s="117"/>
    </row>
    <row r="44" spans="1:8" ht="15.75" thickBot="1">
      <c r="A44" s="89" t="s">
        <v>514</v>
      </c>
      <c r="B44" s="90"/>
      <c r="C44" s="90"/>
      <c r="D44" s="90"/>
      <c r="E44" s="91"/>
      <c r="F44" s="118">
        <f>+SALARIOS!C47</f>
        <v>0.05</v>
      </c>
      <c r="G44" s="119">
        <f>+F44*H39</f>
        <v>28587.237528413483</v>
      </c>
      <c r="H44" s="80"/>
    </row>
    <row r="45" spans="1:8" ht="15.75" thickBot="1">
      <c r="A45" s="61"/>
      <c r="B45" s="61"/>
      <c r="C45" s="61"/>
      <c r="D45" s="61"/>
      <c r="E45" s="61"/>
      <c r="F45" s="61"/>
      <c r="G45" s="81" t="s">
        <v>491</v>
      </c>
      <c r="H45" s="120">
        <f>SUM(G42:G44)</f>
        <v>142936.18764206741</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714681</v>
      </c>
    </row>
  </sheetData>
  <mergeCells count="2">
    <mergeCell ref="A3:C4"/>
    <mergeCell ref="A7:E7"/>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H47"/>
  <sheetViews>
    <sheetView workbookViewId="0">
      <selection activeCell="L17" sqref="L1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3.25" customHeight="1">
      <c r="A7" s="1479" t="s">
        <v>1950</v>
      </c>
      <c r="B7" s="1479"/>
      <c r="C7" s="1479"/>
      <c r="D7" s="1479"/>
      <c r="E7" s="1479"/>
      <c r="F7" s="16"/>
      <c r="G7" s="62" t="s">
        <v>811</v>
      </c>
      <c r="H7" s="61"/>
    </row>
    <row r="8" spans="1:8">
      <c r="A8" s="60" t="s">
        <v>812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176"/>
      <c r="C12" s="174"/>
      <c r="D12" s="174"/>
      <c r="E12" s="173"/>
      <c r="F12" s="69"/>
      <c r="G12" s="173">
        <f>H37*10%</f>
        <v>11417.672782377664</v>
      </c>
      <c r="H12" s="72"/>
    </row>
    <row r="13" spans="1:8">
      <c r="A13" s="789" t="s">
        <v>14</v>
      </c>
      <c r="B13" s="790"/>
      <c r="C13" s="791"/>
      <c r="D13" s="68" t="s">
        <v>6</v>
      </c>
      <c r="E13" s="86">
        <f>+'EQUIPOS '!D10</f>
        <v>87000</v>
      </c>
      <c r="F13" s="161">
        <v>3</v>
      </c>
      <c r="G13" s="71">
        <f>+E13/F13</f>
        <v>29000</v>
      </c>
      <c r="H13" s="72"/>
    </row>
    <row r="14" spans="1:8">
      <c r="A14" s="222"/>
      <c r="B14" s="223"/>
      <c r="C14" s="224"/>
      <c r="D14" s="73"/>
      <c r="E14" s="74"/>
      <c r="F14" s="69"/>
      <c r="G14" s="71"/>
      <c r="H14" s="72"/>
    </row>
    <row r="15" spans="1:8">
      <c r="A15" s="222"/>
      <c r="B15" s="223"/>
      <c r="C15" s="224"/>
      <c r="D15" s="73"/>
      <c r="E15" s="74"/>
      <c r="F15" s="69"/>
      <c r="G15" s="71"/>
      <c r="H15" s="72"/>
    </row>
    <row r="16" spans="1:8" ht="15.75" thickBot="1">
      <c r="A16" s="225"/>
      <c r="B16" s="226"/>
      <c r="C16" s="227"/>
      <c r="D16" s="76"/>
      <c r="E16" s="77"/>
      <c r="F16" s="78"/>
      <c r="G16" s="79"/>
      <c r="H16" s="80"/>
    </row>
    <row r="17" spans="1:8" ht="15.75" thickBot="1">
      <c r="A17" s="61"/>
      <c r="B17" s="61"/>
      <c r="C17" s="61"/>
      <c r="D17" s="61"/>
      <c r="E17" s="61"/>
      <c r="F17" s="61"/>
      <c r="G17" s="81" t="s">
        <v>491</v>
      </c>
      <c r="H17" s="82">
        <f>SUM(G12:G16)</f>
        <v>40417.67278237766</v>
      </c>
    </row>
    <row r="18" spans="1:8" ht="15.75" thickBot="1">
      <c r="A18" s="63" t="s">
        <v>492</v>
      </c>
      <c r="B18" s="63"/>
      <c r="C18" s="61"/>
      <c r="D18" s="61"/>
      <c r="E18" s="61"/>
      <c r="F18" s="61"/>
      <c r="G18" s="61"/>
      <c r="H18" s="61"/>
    </row>
    <row r="19" spans="1:8">
      <c r="A19" s="228" t="s">
        <v>485</v>
      </c>
      <c r="B19" s="229"/>
      <c r="C19" s="230"/>
      <c r="D19" s="230" t="s">
        <v>493</v>
      </c>
      <c r="E19" s="230" t="s">
        <v>494</v>
      </c>
      <c r="F19" s="230" t="s">
        <v>495</v>
      </c>
      <c r="G19" s="229" t="s">
        <v>489</v>
      </c>
      <c r="H19" s="67"/>
    </row>
    <row r="20" spans="1:8">
      <c r="A20" s="127" t="s">
        <v>818</v>
      </c>
      <c r="B20" s="84"/>
      <c r="C20" s="85"/>
      <c r="D20" s="141" t="s">
        <v>61</v>
      </c>
      <c r="E20" s="139">
        <f>+MATERIALES!D295</f>
        <v>613176</v>
      </c>
      <c r="F20" s="163">
        <v>1</v>
      </c>
      <c r="G20" s="137">
        <f>+E20*F20</f>
        <v>613176</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613176</v>
      </c>
    </row>
    <row r="25" spans="1:8" ht="15.75" thickBot="1">
      <c r="A25" s="92" t="s">
        <v>496</v>
      </c>
      <c r="B25" s="92"/>
      <c r="C25" s="90"/>
      <c r="D25" s="61"/>
      <c r="E25" s="61"/>
      <c r="F25" s="61"/>
      <c r="G25" s="61"/>
      <c r="H25" s="61"/>
    </row>
    <row r="26" spans="1:8">
      <c r="A26" s="216" t="s">
        <v>497</v>
      </c>
      <c r="B26" s="218"/>
      <c r="C26" s="93" t="s">
        <v>498</v>
      </c>
      <c r="D26" s="218" t="s">
        <v>499</v>
      </c>
      <c r="E26" s="218" t="s">
        <v>500</v>
      </c>
      <c r="F26" s="218"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16" t="s">
        <v>503</v>
      </c>
      <c r="B32" s="218"/>
      <c r="C32" s="218" t="s">
        <v>504</v>
      </c>
      <c r="D32" s="218" t="s">
        <v>505</v>
      </c>
      <c r="E32" s="124" t="s">
        <v>506</v>
      </c>
      <c r="F32" s="102" t="s">
        <v>488</v>
      </c>
      <c r="G32" s="217" t="s">
        <v>489</v>
      </c>
      <c r="H32" s="67"/>
    </row>
    <row r="33" spans="1:8">
      <c r="A33" s="83" t="s">
        <v>656</v>
      </c>
      <c r="B33" s="84"/>
      <c r="C33" s="103">
        <f>+SALARIOS!C49*4</f>
        <v>102288</v>
      </c>
      <c r="D33" s="104">
        <f>+SALARIOS!C48</f>
        <v>1.7846558312967005</v>
      </c>
      <c r="E33" s="69">
        <f>+C33*D33</f>
        <v>182548.87567167688</v>
      </c>
      <c r="F33" s="69">
        <v>2.25</v>
      </c>
      <c r="G33" s="105">
        <f>+E33/F33</f>
        <v>81132.833631856396</v>
      </c>
      <c r="H33" s="72"/>
    </row>
    <row r="34" spans="1:8">
      <c r="A34" s="83" t="s">
        <v>624</v>
      </c>
      <c r="B34" s="84"/>
      <c r="C34" s="103">
        <f>+SALARIOS!C50</f>
        <v>41660</v>
      </c>
      <c r="D34" s="104">
        <f>+SALARIOS!C48</f>
        <v>1.7846558312967005</v>
      </c>
      <c r="E34" s="69">
        <f>+C34*D34</f>
        <v>74348.76193182054</v>
      </c>
      <c r="F34" s="69">
        <v>2.25</v>
      </c>
      <c r="G34" s="105">
        <f>+E34/F34</f>
        <v>33043.894191920241</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114176.72782377663</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767770.40060615435</v>
      </c>
    </row>
    <row r="40" spans="1:8" ht="15.75" thickBot="1">
      <c r="A40" s="63" t="s">
        <v>509</v>
      </c>
      <c r="B40" s="63"/>
      <c r="C40" s="61"/>
      <c r="D40" s="61"/>
      <c r="E40" s="61"/>
      <c r="F40" s="61"/>
      <c r="G40" s="61"/>
      <c r="H40" s="61"/>
    </row>
    <row r="41" spans="1:8">
      <c r="A41" s="233" t="s">
        <v>485</v>
      </c>
      <c r="B41" s="229"/>
      <c r="C41" s="229"/>
      <c r="D41" s="229"/>
      <c r="E41" s="230"/>
      <c r="F41" s="230" t="s">
        <v>510</v>
      </c>
      <c r="G41" s="229" t="s">
        <v>511</v>
      </c>
      <c r="H41" s="67"/>
    </row>
    <row r="42" spans="1:8">
      <c r="A42" s="83" t="s">
        <v>512</v>
      </c>
      <c r="B42" s="84"/>
      <c r="C42" s="84"/>
      <c r="D42" s="84"/>
      <c r="E42" s="85"/>
      <c r="F42" s="115">
        <f>+SALARIOS!C45</f>
        <v>0.15</v>
      </c>
      <c r="G42" s="116">
        <f>++F42*H39</f>
        <v>115165.56009092314</v>
      </c>
      <c r="H42" s="117"/>
    </row>
    <row r="43" spans="1:8">
      <c r="A43" s="83" t="s">
        <v>513</v>
      </c>
      <c r="B43" s="84"/>
      <c r="C43" s="84"/>
      <c r="D43" s="84"/>
      <c r="E43" s="85"/>
      <c r="F43" s="115">
        <f>+SALARIOS!C46</f>
        <v>0.05</v>
      </c>
      <c r="G43" s="116">
        <f>+F43*H39</f>
        <v>38388.520030307722</v>
      </c>
      <c r="H43" s="117"/>
    </row>
    <row r="44" spans="1:8" ht="15.75" thickBot="1">
      <c r="A44" s="89" t="s">
        <v>514</v>
      </c>
      <c r="B44" s="90"/>
      <c r="C44" s="90"/>
      <c r="D44" s="90"/>
      <c r="E44" s="91"/>
      <c r="F44" s="118">
        <f>+SALARIOS!C47</f>
        <v>0.05</v>
      </c>
      <c r="G44" s="119">
        <f>+F44*H39</f>
        <v>38388.520030307722</v>
      </c>
      <c r="H44" s="80"/>
    </row>
    <row r="45" spans="1:8" ht="15.75" thickBot="1">
      <c r="A45" s="61"/>
      <c r="B45" s="61"/>
      <c r="C45" s="61"/>
      <c r="D45" s="61"/>
      <c r="E45" s="61"/>
      <c r="F45" s="61"/>
      <c r="G45" s="81" t="s">
        <v>491</v>
      </c>
      <c r="H45" s="120">
        <f>SUM(G42:G44)</f>
        <v>191942.60015153859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959713</v>
      </c>
    </row>
  </sheetData>
  <mergeCells count="2">
    <mergeCell ref="A3:C4"/>
    <mergeCell ref="A7:E7"/>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H47"/>
  <sheetViews>
    <sheetView workbookViewId="0">
      <selection activeCell="K16" sqref="K1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2.5" customHeight="1">
      <c r="A7" s="1479" t="s">
        <v>1950</v>
      </c>
      <c r="B7" s="1479"/>
      <c r="C7" s="1479"/>
      <c r="D7" s="1479"/>
      <c r="E7" s="1479"/>
      <c r="F7" s="16"/>
      <c r="G7" s="62" t="s">
        <v>813</v>
      </c>
      <c r="H7" s="61"/>
    </row>
    <row r="8" spans="1:8">
      <c r="A8" s="60" t="s">
        <v>814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176"/>
      <c r="C12" s="174"/>
      <c r="D12" s="174"/>
      <c r="E12" s="173"/>
      <c r="F12" s="69"/>
      <c r="G12" s="173">
        <f>H37*10%</f>
        <v>16056.102350218589</v>
      </c>
      <c r="H12" s="72"/>
    </row>
    <row r="13" spans="1:8">
      <c r="A13" s="789" t="s">
        <v>14</v>
      </c>
      <c r="B13" s="790"/>
      <c r="C13" s="791"/>
      <c r="D13" s="68" t="s">
        <v>6</v>
      </c>
      <c r="E13" s="86">
        <f>+'EQUIPOS '!D10</f>
        <v>87000</v>
      </c>
      <c r="F13" s="161">
        <v>3</v>
      </c>
      <c r="G13" s="71">
        <f>+E13/F13</f>
        <v>29000</v>
      </c>
      <c r="H13" s="72"/>
    </row>
    <row r="14" spans="1:8">
      <c r="A14" s="222"/>
      <c r="B14" s="223"/>
      <c r="C14" s="224"/>
      <c r="D14" s="73"/>
      <c r="E14" s="74"/>
      <c r="F14" s="69"/>
      <c r="G14" s="71"/>
      <c r="H14" s="72"/>
    </row>
    <row r="15" spans="1:8">
      <c r="A15" s="222"/>
      <c r="B15" s="223"/>
      <c r="C15" s="224"/>
      <c r="D15" s="73"/>
      <c r="E15" s="74"/>
      <c r="F15" s="69"/>
      <c r="G15" s="71"/>
      <c r="H15" s="72"/>
    </row>
    <row r="16" spans="1:8" ht="15.75" thickBot="1">
      <c r="A16" s="225"/>
      <c r="B16" s="226"/>
      <c r="C16" s="227"/>
      <c r="D16" s="76"/>
      <c r="E16" s="77"/>
      <c r="F16" s="78"/>
      <c r="G16" s="79"/>
      <c r="H16" s="80"/>
    </row>
    <row r="17" spans="1:8" ht="15.75" thickBot="1">
      <c r="A17" s="61"/>
      <c r="B17" s="61"/>
      <c r="C17" s="61"/>
      <c r="D17" s="61"/>
      <c r="E17" s="61"/>
      <c r="F17" s="61"/>
      <c r="G17" s="81" t="s">
        <v>491</v>
      </c>
      <c r="H17" s="82">
        <f>SUM(G12:G16)</f>
        <v>45056.102350218585</v>
      </c>
    </row>
    <row r="18" spans="1:8" ht="15.75" thickBot="1">
      <c r="A18" s="63" t="s">
        <v>492</v>
      </c>
      <c r="B18" s="63"/>
      <c r="C18" s="61"/>
      <c r="D18" s="61"/>
      <c r="E18" s="61"/>
      <c r="F18" s="61"/>
      <c r="G18" s="61"/>
      <c r="H18" s="61"/>
    </row>
    <row r="19" spans="1:8">
      <c r="A19" s="228" t="s">
        <v>485</v>
      </c>
      <c r="B19" s="229"/>
      <c r="C19" s="230"/>
      <c r="D19" s="230" t="s">
        <v>493</v>
      </c>
      <c r="E19" s="230" t="s">
        <v>494</v>
      </c>
      <c r="F19" s="230" t="s">
        <v>495</v>
      </c>
      <c r="G19" s="229" t="s">
        <v>489</v>
      </c>
      <c r="H19" s="67"/>
    </row>
    <row r="20" spans="1:8">
      <c r="A20" s="127" t="s">
        <v>817</v>
      </c>
      <c r="B20" s="84"/>
      <c r="C20" s="85"/>
      <c r="D20" s="141" t="s">
        <v>61</v>
      </c>
      <c r="E20" s="139">
        <f>+MATERIALES!D296</f>
        <v>767154.39999999991</v>
      </c>
      <c r="F20" s="163">
        <v>1</v>
      </c>
      <c r="G20" s="137">
        <f>+E20*F20</f>
        <v>767154.39999999991</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767154.39999999991</v>
      </c>
    </row>
    <row r="25" spans="1:8" ht="15.75" thickBot="1">
      <c r="A25" s="92" t="s">
        <v>496</v>
      </c>
      <c r="B25" s="92"/>
      <c r="C25" s="90"/>
      <c r="D25" s="61"/>
      <c r="E25" s="61"/>
      <c r="F25" s="61"/>
      <c r="G25" s="61"/>
      <c r="H25" s="61"/>
    </row>
    <row r="26" spans="1:8">
      <c r="A26" s="216" t="s">
        <v>497</v>
      </c>
      <c r="B26" s="218"/>
      <c r="C26" s="93" t="s">
        <v>498</v>
      </c>
      <c r="D26" s="218" t="s">
        <v>499</v>
      </c>
      <c r="E26" s="218" t="s">
        <v>500</v>
      </c>
      <c r="F26" s="218"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16" t="s">
        <v>503</v>
      </c>
      <c r="B32" s="218"/>
      <c r="C32" s="218" t="s">
        <v>504</v>
      </c>
      <c r="D32" s="218" t="s">
        <v>505</v>
      </c>
      <c r="E32" s="124" t="s">
        <v>506</v>
      </c>
      <c r="F32" s="102" t="s">
        <v>488</v>
      </c>
      <c r="G32" s="217" t="s">
        <v>489</v>
      </c>
      <c r="H32" s="67"/>
    </row>
    <row r="33" spans="1:8">
      <c r="A33" s="83" t="s">
        <v>656</v>
      </c>
      <c r="B33" s="84"/>
      <c r="C33" s="103">
        <f>+SALARIOS!C49*4</f>
        <v>102288</v>
      </c>
      <c r="D33" s="104">
        <f>+SALARIOS!C48</f>
        <v>1.7846558312967005</v>
      </c>
      <c r="E33" s="69">
        <f>+C33*D33</f>
        <v>182548.87567167688</v>
      </c>
      <c r="F33" s="69">
        <v>1.6</v>
      </c>
      <c r="G33" s="105">
        <f>+E33/F33</f>
        <v>114093.04729479805</v>
      </c>
      <c r="H33" s="72"/>
    </row>
    <row r="34" spans="1:8">
      <c r="A34" s="83" t="s">
        <v>624</v>
      </c>
      <c r="B34" s="84"/>
      <c r="C34" s="103">
        <f>+SALARIOS!C50</f>
        <v>41660</v>
      </c>
      <c r="D34" s="104">
        <f>+SALARIOS!C48</f>
        <v>1.7846558312967005</v>
      </c>
      <c r="E34" s="69">
        <f>+C34*D34</f>
        <v>74348.76193182054</v>
      </c>
      <c r="F34" s="69">
        <v>1.6</v>
      </c>
      <c r="G34" s="105">
        <f>+E34/F34</f>
        <v>46467.976207387837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160561.02350218588</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972771.5258524043</v>
      </c>
    </row>
    <row r="40" spans="1:8" ht="15.75" thickBot="1">
      <c r="A40" s="63" t="s">
        <v>509</v>
      </c>
      <c r="B40" s="63"/>
      <c r="C40" s="61"/>
      <c r="D40" s="61"/>
      <c r="E40" s="61"/>
      <c r="F40" s="61"/>
      <c r="G40" s="61"/>
      <c r="H40" s="61"/>
    </row>
    <row r="41" spans="1:8">
      <c r="A41" s="233" t="s">
        <v>485</v>
      </c>
      <c r="B41" s="229"/>
      <c r="C41" s="229"/>
      <c r="D41" s="229"/>
      <c r="E41" s="230"/>
      <c r="F41" s="230" t="s">
        <v>510</v>
      </c>
      <c r="G41" s="229" t="s">
        <v>511</v>
      </c>
      <c r="H41" s="67"/>
    </row>
    <row r="42" spans="1:8">
      <c r="A42" s="83" t="s">
        <v>512</v>
      </c>
      <c r="B42" s="84"/>
      <c r="C42" s="84"/>
      <c r="D42" s="84"/>
      <c r="E42" s="85"/>
      <c r="F42" s="115">
        <f>+SALARIOS!C45</f>
        <v>0.15</v>
      </c>
      <c r="G42" s="116">
        <f>++F42*H39</f>
        <v>145915.72887786065</v>
      </c>
      <c r="H42" s="117"/>
    </row>
    <row r="43" spans="1:8">
      <c r="A43" s="83" t="s">
        <v>513</v>
      </c>
      <c r="B43" s="84"/>
      <c r="C43" s="84"/>
      <c r="D43" s="84"/>
      <c r="E43" s="85"/>
      <c r="F43" s="115">
        <f>+SALARIOS!C46</f>
        <v>0.05</v>
      </c>
      <c r="G43" s="116">
        <f>+F43*H39</f>
        <v>48638.576292620215</v>
      </c>
      <c r="H43" s="117"/>
    </row>
    <row r="44" spans="1:8" ht="15.75" thickBot="1">
      <c r="A44" s="89" t="s">
        <v>514</v>
      </c>
      <c r="B44" s="90"/>
      <c r="C44" s="90"/>
      <c r="D44" s="90"/>
      <c r="E44" s="91"/>
      <c r="F44" s="118">
        <f>+SALARIOS!C47</f>
        <v>0.05</v>
      </c>
      <c r="G44" s="119">
        <f>+F44*H39</f>
        <v>48638.576292620215</v>
      </c>
      <c r="H44" s="80"/>
    </row>
    <row r="45" spans="1:8" ht="15.75" thickBot="1">
      <c r="A45" s="61"/>
      <c r="B45" s="61"/>
      <c r="C45" s="61"/>
      <c r="D45" s="61"/>
      <c r="E45" s="61"/>
      <c r="F45" s="61"/>
      <c r="G45" s="81" t="s">
        <v>491</v>
      </c>
      <c r="H45" s="120">
        <f>SUM(G42:G44)</f>
        <v>243192.88146310108</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1215964</v>
      </c>
    </row>
  </sheetData>
  <mergeCells count="2">
    <mergeCell ref="A3:C4"/>
    <mergeCell ref="A7:E7"/>
  </mergeCell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H47"/>
  <sheetViews>
    <sheetView workbookViewId="0">
      <selection activeCell="A14" sqref="A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4" customHeight="1">
      <c r="A7" s="1479" t="s">
        <v>1950</v>
      </c>
      <c r="B7" s="1479"/>
      <c r="C7" s="1479"/>
      <c r="D7" s="1479"/>
      <c r="E7" s="1479"/>
      <c r="F7" s="16"/>
      <c r="G7" s="62" t="s">
        <v>815</v>
      </c>
      <c r="H7" s="61"/>
    </row>
    <row r="8" spans="1:8">
      <c r="A8" s="60" t="s">
        <v>816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176"/>
      <c r="C12" s="174"/>
      <c r="D12" s="174"/>
      <c r="E12" s="173"/>
      <c r="F12" s="69"/>
      <c r="G12" s="173">
        <f>H37*10%</f>
        <v>17126.509173566497</v>
      </c>
      <c r="H12" s="72"/>
    </row>
    <row r="13" spans="1:8">
      <c r="A13" s="789" t="s">
        <v>1960</v>
      </c>
      <c r="B13" s="790"/>
      <c r="C13" s="791"/>
      <c r="D13" s="68" t="s">
        <v>6</v>
      </c>
      <c r="E13" s="86">
        <f>+'EQUIPOS '!D10</f>
        <v>87000</v>
      </c>
      <c r="F13" s="161">
        <v>3</v>
      </c>
      <c r="G13" s="71">
        <f>+E13/F13</f>
        <v>29000</v>
      </c>
      <c r="H13" s="72"/>
    </row>
    <row r="14" spans="1:8">
      <c r="A14" s="222"/>
      <c r="B14" s="223"/>
      <c r="C14" s="224"/>
      <c r="D14" s="73"/>
      <c r="E14" s="74"/>
      <c r="F14" s="69"/>
      <c r="G14" s="71"/>
      <c r="H14" s="72"/>
    </row>
    <row r="15" spans="1:8">
      <c r="A15" s="222"/>
      <c r="B15" s="223"/>
      <c r="C15" s="224"/>
      <c r="D15" s="73"/>
      <c r="E15" s="74"/>
      <c r="F15" s="69"/>
      <c r="G15" s="71"/>
      <c r="H15" s="72"/>
    </row>
    <row r="16" spans="1:8" ht="15.75" thickBot="1">
      <c r="A16" s="225"/>
      <c r="B16" s="226"/>
      <c r="C16" s="227"/>
      <c r="D16" s="76"/>
      <c r="E16" s="77"/>
      <c r="F16" s="78"/>
      <c r="G16" s="79"/>
      <c r="H16" s="80"/>
    </row>
    <row r="17" spans="1:8" ht="15.75" thickBot="1">
      <c r="A17" s="61"/>
      <c r="B17" s="61"/>
      <c r="C17" s="61"/>
      <c r="D17" s="61"/>
      <c r="E17" s="61"/>
      <c r="F17" s="61"/>
      <c r="G17" s="81" t="s">
        <v>491</v>
      </c>
      <c r="H17" s="82">
        <f>SUM(G12:G16)</f>
        <v>46126.509173566497</v>
      </c>
    </row>
    <row r="18" spans="1:8" ht="15.75" thickBot="1">
      <c r="A18" s="63" t="s">
        <v>492</v>
      </c>
      <c r="B18" s="63"/>
      <c r="C18" s="61"/>
      <c r="D18" s="61"/>
      <c r="E18" s="61"/>
      <c r="F18" s="61"/>
      <c r="G18" s="61"/>
      <c r="H18" s="61"/>
    </row>
    <row r="19" spans="1:8">
      <c r="A19" s="228" t="s">
        <v>485</v>
      </c>
      <c r="B19" s="229"/>
      <c r="C19" s="230"/>
      <c r="D19" s="230" t="s">
        <v>493</v>
      </c>
      <c r="E19" s="230" t="s">
        <v>494</v>
      </c>
      <c r="F19" s="230" t="s">
        <v>495</v>
      </c>
      <c r="G19" s="229" t="s">
        <v>489</v>
      </c>
      <c r="H19" s="67"/>
    </row>
    <row r="20" spans="1:8">
      <c r="A20" s="127" t="s">
        <v>822</v>
      </c>
      <c r="B20" s="84"/>
      <c r="C20" s="85"/>
      <c r="D20" s="141" t="s">
        <v>61</v>
      </c>
      <c r="E20" s="139">
        <f>+MATERIALES!D297</f>
        <v>859444</v>
      </c>
      <c r="F20" s="163">
        <v>1</v>
      </c>
      <c r="G20" s="137">
        <f>+E20*F20</f>
        <v>859444</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859444</v>
      </c>
    </row>
    <row r="25" spans="1:8" ht="15.75" thickBot="1">
      <c r="A25" s="92" t="s">
        <v>496</v>
      </c>
      <c r="B25" s="92"/>
      <c r="C25" s="90"/>
      <c r="D25" s="61"/>
      <c r="E25" s="61"/>
      <c r="F25" s="61"/>
      <c r="G25" s="61"/>
      <c r="H25" s="61"/>
    </row>
    <row r="26" spans="1:8">
      <c r="A26" s="216" t="s">
        <v>497</v>
      </c>
      <c r="B26" s="218"/>
      <c r="C26" s="93" t="s">
        <v>498</v>
      </c>
      <c r="D26" s="218" t="s">
        <v>499</v>
      </c>
      <c r="E26" s="218" t="s">
        <v>500</v>
      </c>
      <c r="F26" s="218"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16" t="s">
        <v>503</v>
      </c>
      <c r="B32" s="218"/>
      <c r="C32" s="218" t="s">
        <v>504</v>
      </c>
      <c r="D32" s="218" t="s">
        <v>505</v>
      </c>
      <c r="E32" s="124" t="s">
        <v>506</v>
      </c>
      <c r="F32" s="102" t="s">
        <v>488</v>
      </c>
      <c r="G32" s="217" t="s">
        <v>489</v>
      </c>
      <c r="H32" s="67"/>
    </row>
    <row r="33" spans="1:8">
      <c r="A33" s="83" t="s">
        <v>656</v>
      </c>
      <c r="B33" s="84"/>
      <c r="C33" s="103">
        <f>+SALARIOS!C49*4</f>
        <v>102288</v>
      </c>
      <c r="D33" s="104">
        <f>+SALARIOS!C48</f>
        <v>1.7846558312967005</v>
      </c>
      <c r="E33" s="69">
        <f>+C33*D33</f>
        <v>182548.87567167688</v>
      </c>
      <c r="F33" s="69">
        <v>1.5</v>
      </c>
      <c r="G33" s="105">
        <f>+E33/F33</f>
        <v>121699.25044778459</v>
      </c>
      <c r="H33" s="72"/>
    </row>
    <row r="34" spans="1:8">
      <c r="A34" s="83" t="s">
        <v>624</v>
      </c>
      <c r="B34" s="84"/>
      <c r="C34" s="103">
        <f>+SALARIOS!C50</f>
        <v>41660</v>
      </c>
      <c r="D34" s="104">
        <f>+SALARIOS!C48</f>
        <v>1.7846558312967005</v>
      </c>
      <c r="E34" s="69">
        <f>+C34*D34</f>
        <v>74348.76193182054</v>
      </c>
      <c r="F34" s="69">
        <v>1.5</v>
      </c>
      <c r="G34" s="105">
        <f>+E34/F34</f>
        <v>49565.841287880357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171265.09173566496</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1076835.6009092315</v>
      </c>
    </row>
    <row r="40" spans="1:8" ht="15.75" thickBot="1">
      <c r="A40" s="63" t="s">
        <v>509</v>
      </c>
      <c r="B40" s="63"/>
      <c r="C40" s="61"/>
      <c r="D40" s="61"/>
      <c r="E40" s="61"/>
      <c r="F40" s="61"/>
      <c r="G40" s="61"/>
      <c r="H40" s="61"/>
    </row>
    <row r="41" spans="1:8">
      <c r="A41" s="233" t="s">
        <v>485</v>
      </c>
      <c r="B41" s="229"/>
      <c r="C41" s="229"/>
      <c r="D41" s="229"/>
      <c r="E41" s="230"/>
      <c r="F41" s="230" t="s">
        <v>510</v>
      </c>
      <c r="G41" s="229" t="s">
        <v>511</v>
      </c>
      <c r="H41" s="67"/>
    </row>
    <row r="42" spans="1:8">
      <c r="A42" s="83" t="s">
        <v>512</v>
      </c>
      <c r="B42" s="84"/>
      <c r="C42" s="84"/>
      <c r="D42" s="84"/>
      <c r="E42" s="85"/>
      <c r="F42" s="115">
        <f>+SALARIOS!C45</f>
        <v>0.15</v>
      </c>
      <c r="G42" s="116">
        <f>++F42*H39</f>
        <v>161525.34013638471</v>
      </c>
      <c r="H42" s="117"/>
    </row>
    <row r="43" spans="1:8">
      <c r="A43" s="83" t="s">
        <v>513</v>
      </c>
      <c r="B43" s="84"/>
      <c r="C43" s="84"/>
      <c r="D43" s="84"/>
      <c r="E43" s="85"/>
      <c r="F43" s="115">
        <f>+SALARIOS!C46</f>
        <v>0.05</v>
      </c>
      <c r="G43" s="116">
        <f>+F43*H39</f>
        <v>53841.780045461579</v>
      </c>
      <c r="H43" s="117"/>
    </row>
    <row r="44" spans="1:8" ht="15.75" thickBot="1">
      <c r="A44" s="89" t="s">
        <v>514</v>
      </c>
      <c r="B44" s="90"/>
      <c r="C44" s="90"/>
      <c r="D44" s="90"/>
      <c r="E44" s="91"/>
      <c r="F44" s="118">
        <f>+SALARIOS!C47</f>
        <v>0.05</v>
      </c>
      <c r="G44" s="119">
        <f>+F44*H39</f>
        <v>53841.780045461579</v>
      </c>
      <c r="H44" s="80"/>
    </row>
    <row r="45" spans="1:8" ht="15.75" thickBot="1">
      <c r="A45" s="61"/>
      <c r="B45" s="61"/>
      <c r="C45" s="61"/>
      <c r="D45" s="61"/>
      <c r="E45" s="61"/>
      <c r="F45" s="61"/>
      <c r="G45" s="81" t="s">
        <v>491</v>
      </c>
      <c r="H45" s="120">
        <f>SUM(G42:G44)</f>
        <v>269208.90022730787</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1346045</v>
      </c>
    </row>
  </sheetData>
  <mergeCells count="2">
    <mergeCell ref="A3:C4"/>
    <mergeCell ref="A7:E7"/>
  </mergeCell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H47"/>
  <sheetViews>
    <sheetView workbookViewId="0">
      <selection activeCell="A14" sqref="A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1" customHeight="1">
      <c r="A7" s="1479" t="s">
        <v>1950</v>
      </c>
      <c r="B7" s="1479"/>
      <c r="C7" s="1479"/>
      <c r="D7" s="1479"/>
      <c r="E7" s="1479"/>
      <c r="F7" s="16"/>
      <c r="G7" s="62" t="s">
        <v>819</v>
      </c>
      <c r="H7" s="61"/>
    </row>
    <row r="8" spans="1:8">
      <c r="A8" s="60" t="s">
        <v>820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176"/>
      <c r="C12" s="174"/>
      <c r="D12" s="174"/>
      <c r="E12" s="173"/>
      <c r="F12" s="69"/>
      <c r="G12" s="173">
        <f>H37*10%</f>
        <v>18349.831257392678</v>
      </c>
      <c r="H12" s="72"/>
    </row>
    <row r="13" spans="1:8">
      <c r="A13" s="789" t="s">
        <v>1960</v>
      </c>
      <c r="B13" s="790"/>
      <c r="C13" s="791"/>
      <c r="D13" s="68" t="s">
        <v>6</v>
      </c>
      <c r="E13" s="86">
        <f>+'EQUIPOS '!D10</f>
        <v>87000</v>
      </c>
      <c r="F13" s="161">
        <v>3</v>
      </c>
      <c r="G13" s="71">
        <f>+E13/F13</f>
        <v>29000</v>
      </c>
      <c r="H13" s="72"/>
    </row>
    <row r="14" spans="1:8">
      <c r="A14" s="222"/>
      <c r="B14" s="223"/>
      <c r="C14" s="224"/>
      <c r="D14" s="73"/>
      <c r="E14" s="74"/>
      <c r="F14" s="69"/>
      <c r="G14" s="71"/>
      <c r="H14" s="72"/>
    </row>
    <row r="15" spans="1:8">
      <c r="A15" s="222"/>
      <c r="B15" s="223"/>
      <c r="C15" s="224"/>
      <c r="D15" s="73"/>
      <c r="E15" s="74"/>
      <c r="F15" s="69"/>
      <c r="G15" s="71"/>
      <c r="H15" s="72"/>
    </row>
    <row r="16" spans="1:8" ht="15.75" thickBot="1">
      <c r="A16" s="225"/>
      <c r="B16" s="226"/>
      <c r="C16" s="227"/>
      <c r="D16" s="76"/>
      <c r="E16" s="77"/>
      <c r="F16" s="78"/>
      <c r="G16" s="79"/>
      <c r="H16" s="80"/>
    </row>
    <row r="17" spans="1:8" ht="15.75" thickBot="1">
      <c r="A17" s="61"/>
      <c r="B17" s="61"/>
      <c r="C17" s="61"/>
      <c r="D17" s="61"/>
      <c r="E17" s="61"/>
      <c r="F17" s="61"/>
      <c r="G17" s="81" t="s">
        <v>491</v>
      </c>
      <c r="H17" s="82">
        <f>SUM(G12:G16)</f>
        <v>47349.831257392681</v>
      </c>
    </row>
    <row r="18" spans="1:8" ht="15.75" thickBot="1">
      <c r="A18" s="63" t="s">
        <v>492</v>
      </c>
      <c r="B18" s="63"/>
      <c r="C18" s="61"/>
      <c r="D18" s="61"/>
      <c r="E18" s="61"/>
      <c r="F18" s="61"/>
      <c r="G18" s="61"/>
      <c r="H18" s="61"/>
    </row>
    <row r="19" spans="1:8">
      <c r="A19" s="228" t="s">
        <v>485</v>
      </c>
      <c r="B19" s="229"/>
      <c r="C19" s="230"/>
      <c r="D19" s="230" t="s">
        <v>493</v>
      </c>
      <c r="E19" s="230" t="s">
        <v>494</v>
      </c>
      <c r="F19" s="230" t="s">
        <v>495</v>
      </c>
      <c r="G19" s="229" t="s">
        <v>489</v>
      </c>
      <c r="H19" s="67"/>
    </row>
    <row r="20" spans="1:8">
      <c r="A20" s="127" t="s">
        <v>821</v>
      </c>
      <c r="B20" s="84"/>
      <c r="C20" s="85"/>
      <c r="D20" s="141" t="s">
        <v>61</v>
      </c>
      <c r="E20" s="139">
        <f>+MATERIALES!D298</f>
        <v>1006880</v>
      </c>
      <c r="F20" s="163">
        <v>1</v>
      </c>
      <c r="G20" s="137">
        <f>+E20*F20</f>
        <v>1006880</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1006880</v>
      </c>
    </row>
    <row r="25" spans="1:8" ht="15.75" thickBot="1">
      <c r="A25" s="92" t="s">
        <v>496</v>
      </c>
      <c r="B25" s="92"/>
      <c r="C25" s="90"/>
      <c r="D25" s="61"/>
      <c r="E25" s="61"/>
      <c r="F25" s="61"/>
      <c r="G25" s="61"/>
      <c r="H25" s="61"/>
    </row>
    <row r="26" spans="1:8">
      <c r="A26" s="216" t="s">
        <v>497</v>
      </c>
      <c r="B26" s="218"/>
      <c r="C26" s="93" t="s">
        <v>498</v>
      </c>
      <c r="D26" s="218" t="s">
        <v>499</v>
      </c>
      <c r="E26" s="218" t="s">
        <v>500</v>
      </c>
      <c r="F26" s="218"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16" t="s">
        <v>503</v>
      </c>
      <c r="B32" s="218"/>
      <c r="C32" s="218" t="s">
        <v>504</v>
      </c>
      <c r="D32" s="218" t="s">
        <v>505</v>
      </c>
      <c r="E32" s="124" t="s">
        <v>506</v>
      </c>
      <c r="F32" s="102" t="s">
        <v>488</v>
      </c>
      <c r="G32" s="217" t="s">
        <v>489</v>
      </c>
      <c r="H32" s="67"/>
    </row>
    <row r="33" spans="1:8">
      <c r="A33" s="83" t="s">
        <v>656</v>
      </c>
      <c r="B33" s="84"/>
      <c r="C33" s="103">
        <f>+SALARIOS!C49*4</f>
        <v>102288</v>
      </c>
      <c r="D33" s="104">
        <f>+SALARIOS!C48</f>
        <v>1.7846558312967005</v>
      </c>
      <c r="E33" s="69">
        <f>+C33*D33</f>
        <v>182548.87567167688</v>
      </c>
      <c r="F33" s="69">
        <v>1.4</v>
      </c>
      <c r="G33" s="105">
        <f>+E33/F33</f>
        <v>130392.05405119779</v>
      </c>
      <c r="H33" s="72"/>
    </row>
    <row r="34" spans="1:8">
      <c r="A34" s="83" t="s">
        <v>624</v>
      </c>
      <c r="B34" s="84"/>
      <c r="C34" s="103">
        <f>+SALARIOS!C50</f>
        <v>41660</v>
      </c>
      <c r="D34" s="104">
        <f>+SALARIOS!C48</f>
        <v>1.7846558312967005</v>
      </c>
      <c r="E34" s="69">
        <f>+C34*D34</f>
        <v>74348.76193182054</v>
      </c>
      <c r="F34" s="69">
        <v>1.4</v>
      </c>
      <c r="G34" s="105">
        <f>+E34/F34</f>
        <v>53106.25852272896</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183498.31257392676</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1237728.1438313194</v>
      </c>
    </row>
    <row r="40" spans="1:8" ht="15.75" thickBot="1">
      <c r="A40" s="63" t="s">
        <v>509</v>
      </c>
      <c r="B40" s="63"/>
      <c r="C40" s="61"/>
      <c r="D40" s="61"/>
      <c r="E40" s="61"/>
      <c r="F40" s="61"/>
      <c r="G40" s="61"/>
      <c r="H40" s="61"/>
    </row>
    <row r="41" spans="1:8">
      <c r="A41" s="233" t="s">
        <v>485</v>
      </c>
      <c r="B41" s="229"/>
      <c r="C41" s="229"/>
      <c r="D41" s="229"/>
      <c r="E41" s="230"/>
      <c r="F41" s="230" t="s">
        <v>510</v>
      </c>
      <c r="G41" s="229" t="s">
        <v>511</v>
      </c>
      <c r="H41" s="67"/>
    </row>
    <row r="42" spans="1:8">
      <c r="A42" s="83" t="s">
        <v>512</v>
      </c>
      <c r="B42" s="84"/>
      <c r="C42" s="84"/>
      <c r="D42" s="84"/>
      <c r="E42" s="85"/>
      <c r="F42" s="115">
        <f>+SALARIOS!C45</f>
        <v>0.15</v>
      </c>
      <c r="G42" s="116">
        <f>++F42*H39</f>
        <v>185659.22157469791</v>
      </c>
      <c r="H42" s="117"/>
    </row>
    <row r="43" spans="1:8">
      <c r="A43" s="83" t="s">
        <v>513</v>
      </c>
      <c r="B43" s="84"/>
      <c r="C43" s="84"/>
      <c r="D43" s="84"/>
      <c r="E43" s="85"/>
      <c r="F43" s="115">
        <f>+SALARIOS!C46</f>
        <v>0.05</v>
      </c>
      <c r="G43" s="116">
        <f>+F43*H39</f>
        <v>61886.407191565973</v>
      </c>
      <c r="H43" s="117"/>
    </row>
    <row r="44" spans="1:8" ht="15.75" thickBot="1">
      <c r="A44" s="89" t="s">
        <v>514</v>
      </c>
      <c r="B44" s="90"/>
      <c r="C44" s="90"/>
      <c r="D44" s="90"/>
      <c r="E44" s="91"/>
      <c r="F44" s="118">
        <f>+SALARIOS!C47</f>
        <v>0.05</v>
      </c>
      <c r="G44" s="119">
        <f>+F44*H39</f>
        <v>61886.407191565973</v>
      </c>
      <c r="H44" s="80"/>
    </row>
    <row r="45" spans="1:8" ht="15.75" thickBot="1">
      <c r="A45" s="61"/>
      <c r="B45" s="61"/>
      <c r="C45" s="61"/>
      <c r="D45" s="61"/>
      <c r="E45" s="61"/>
      <c r="F45" s="61"/>
      <c r="G45" s="81" t="s">
        <v>491</v>
      </c>
      <c r="H45" s="120">
        <f>SUM(G42:G44)</f>
        <v>309432.03595782985</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1547160</v>
      </c>
    </row>
  </sheetData>
  <mergeCells count="2">
    <mergeCell ref="A3:C4"/>
    <mergeCell ref="A7:E7"/>
  </mergeCell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H48"/>
  <sheetViews>
    <sheetView topLeftCell="A4" workbookViewId="0">
      <selection activeCell="A14" sqref="A14:G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4.75" customHeight="1">
      <c r="A7" s="1479" t="s">
        <v>1950</v>
      </c>
      <c r="B7" s="1479"/>
      <c r="C7" s="1479"/>
      <c r="D7" s="1479"/>
      <c r="E7" s="1479"/>
      <c r="F7" s="16"/>
      <c r="G7" s="62" t="s">
        <v>823</v>
      </c>
      <c r="H7" s="61"/>
    </row>
    <row r="8" spans="1:8">
      <c r="A8" s="60" t="s">
        <v>753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3</v>
      </c>
      <c r="G12" s="71">
        <f>+E12/F12</f>
        <v>29000</v>
      </c>
      <c r="H12" s="72"/>
    </row>
    <row r="13" spans="1:8">
      <c r="A13" s="175" t="s">
        <v>1327</v>
      </c>
      <c r="B13" s="176"/>
      <c r="C13" s="174"/>
      <c r="D13" s="174"/>
      <c r="E13" s="173"/>
      <c r="F13" s="69"/>
      <c r="G13" s="173">
        <f>H38*10%</f>
        <v>9514.7273186480525</v>
      </c>
      <c r="H13" s="72"/>
    </row>
    <row r="14" spans="1:8">
      <c r="A14" s="175"/>
      <c r="B14" s="165"/>
      <c r="C14" s="166"/>
      <c r="D14" s="167"/>
      <c r="E14" s="167"/>
      <c r="F14" s="167"/>
      <c r="G14" s="173"/>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38514.727318648052</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t="s">
        <v>824</v>
      </c>
      <c r="B21" s="84"/>
      <c r="C21" s="85"/>
      <c r="D21" s="141" t="s">
        <v>61</v>
      </c>
      <c r="E21" s="139">
        <f>+MATERIALES!D289</f>
        <v>301948</v>
      </c>
      <c r="F21" s="163">
        <v>1</v>
      </c>
      <c r="G21" s="137">
        <f>+E21*F21</f>
        <v>301948</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301948</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656</v>
      </c>
      <c r="B34" s="84"/>
      <c r="C34" s="103">
        <f>+SALARIOS!C49*4</f>
        <v>102288</v>
      </c>
      <c r="D34" s="104">
        <f>+SALARIOS!C48</f>
        <v>1.7846558312967005</v>
      </c>
      <c r="E34" s="69">
        <f>+C34*D34</f>
        <v>182548.87567167688</v>
      </c>
      <c r="F34" s="69">
        <v>2.7</v>
      </c>
      <c r="G34" s="105">
        <f>+E34/F34</f>
        <v>67610.694693213663</v>
      </c>
      <c r="H34" s="72"/>
    </row>
    <row r="35" spans="1:8">
      <c r="A35" s="83" t="s">
        <v>624</v>
      </c>
      <c r="B35" s="84"/>
      <c r="C35" s="103">
        <f>+SALARIOS!C50</f>
        <v>41660</v>
      </c>
      <c r="D35" s="104">
        <f>+SALARIOS!C48</f>
        <v>1.7846558312967005</v>
      </c>
      <c r="E35" s="69">
        <f>+C35*D35</f>
        <v>74348.76193182054</v>
      </c>
      <c r="F35" s="69">
        <v>2.7</v>
      </c>
      <c r="G35" s="105">
        <f>+E35/F35</f>
        <v>27536.578493266865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95147.273186480525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435610.00050512858</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65341.500075769283</v>
      </c>
      <c r="H43" s="117"/>
    </row>
    <row r="44" spans="1:8">
      <c r="A44" s="83" t="s">
        <v>513</v>
      </c>
      <c r="B44" s="84"/>
      <c r="C44" s="84"/>
      <c r="D44" s="84"/>
      <c r="E44" s="85"/>
      <c r="F44" s="115">
        <f>+SALARIOS!C46</f>
        <v>0.05</v>
      </c>
      <c r="G44" s="116">
        <f>+F44*H40</f>
        <v>21780.500025256431</v>
      </c>
      <c r="H44" s="117"/>
    </row>
    <row r="45" spans="1:8" ht="15.75" thickBot="1">
      <c r="A45" s="89" t="s">
        <v>514</v>
      </c>
      <c r="B45" s="90"/>
      <c r="C45" s="90"/>
      <c r="D45" s="90"/>
      <c r="E45" s="91"/>
      <c r="F45" s="118">
        <f>+SALARIOS!C47</f>
        <v>0.05</v>
      </c>
      <c r="G45" s="119">
        <f>+F45*H40</f>
        <v>21780.500025256431</v>
      </c>
      <c r="H45" s="80"/>
    </row>
    <row r="46" spans="1:8" ht="15.75" thickBot="1">
      <c r="A46" s="61"/>
      <c r="B46" s="61"/>
      <c r="C46" s="61"/>
      <c r="D46" s="61"/>
      <c r="E46" s="61"/>
      <c r="F46" s="61"/>
      <c r="G46" s="81" t="s">
        <v>491</v>
      </c>
      <c r="H46" s="120">
        <f>SUM(G43:G45)</f>
        <v>108902.50012628215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544513</v>
      </c>
    </row>
  </sheetData>
  <mergeCells count="2">
    <mergeCell ref="A3:C4"/>
    <mergeCell ref="A7:E7"/>
  </mergeCell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H48"/>
  <sheetViews>
    <sheetView topLeftCell="A4" workbookViewId="0">
      <selection activeCell="A14" sqref="A14:G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2.5" customHeight="1">
      <c r="A7" s="1479" t="s">
        <v>1950</v>
      </c>
      <c r="B7" s="1479"/>
      <c r="C7" s="1479"/>
      <c r="D7" s="1479"/>
      <c r="E7" s="1479"/>
      <c r="F7" s="16"/>
      <c r="G7" s="62" t="s">
        <v>825</v>
      </c>
      <c r="H7" s="61"/>
    </row>
    <row r="8" spans="1:8">
      <c r="A8" s="60" t="s">
        <v>839</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3</v>
      </c>
      <c r="G12" s="71">
        <f>+E12/F12</f>
        <v>29000</v>
      </c>
      <c r="H12" s="72"/>
    </row>
    <row r="13" spans="1:8">
      <c r="A13" s="175" t="s">
        <v>1327</v>
      </c>
      <c r="B13" s="176"/>
      <c r="C13" s="174"/>
      <c r="D13" s="174"/>
      <c r="E13" s="173"/>
      <c r="F13" s="69"/>
      <c r="G13" s="173">
        <f>H38*10%</f>
        <v>10275.905504139897</v>
      </c>
      <c r="H13" s="72"/>
    </row>
    <row r="14" spans="1:8">
      <c r="A14" s="175"/>
      <c r="B14" s="165"/>
      <c r="C14" s="166"/>
      <c r="D14" s="167"/>
      <c r="E14" s="167"/>
      <c r="F14" s="167"/>
      <c r="G14" s="173"/>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39275.905504139897</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t="s">
        <v>826</v>
      </c>
      <c r="B21" s="84"/>
      <c r="C21" s="85"/>
      <c r="D21" s="141" t="s">
        <v>61</v>
      </c>
      <c r="E21" s="139">
        <f>+MATERIALES!D292</f>
        <v>390502.39999999997</v>
      </c>
      <c r="F21" s="163">
        <v>1</v>
      </c>
      <c r="G21" s="137">
        <f>+E21*F21</f>
        <v>390502.39999999997</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390502.39999999997</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656</v>
      </c>
      <c r="B34" s="84"/>
      <c r="C34" s="103">
        <f>+SALARIOS!C49*4</f>
        <v>102288</v>
      </c>
      <c r="D34" s="104">
        <f>+SALARIOS!C48</f>
        <v>1.7846558312967005</v>
      </c>
      <c r="E34" s="69">
        <f>+C34*D34</f>
        <v>182548.87567167688</v>
      </c>
      <c r="F34" s="69">
        <v>2.5</v>
      </c>
      <c r="G34" s="105">
        <f>+E34/F34</f>
        <v>73019.550268670748</v>
      </c>
      <c r="H34" s="72"/>
    </row>
    <row r="35" spans="1:8">
      <c r="A35" s="83" t="s">
        <v>624</v>
      </c>
      <c r="B35" s="84"/>
      <c r="C35" s="103">
        <f>+SALARIOS!C50</f>
        <v>41660</v>
      </c>
      <c r="D35" s="104">
        <f>+SALARIOS!C48</f>
        <v>1.7846558312967005</v>
      </c>
      <c r="E35" s="69">
        <f>+C35*D35</f>
        <v>74348.76193182054</v>
      </c>
      <c r="F35" s="69">
        <v>2.5</v>
      </c>
      <c r="G35" s="105">
        <f>+E35/F35</f>
        <v>29739.504772728214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102759.05504139897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532537.36054553883</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79880.604081830825</v>
      </c>
      <c r="H43" s="117"/>
    </row>
    <row r="44" spans="1:8">
      <c r="A44" s="83" t="s">
        <v>513</v>
      </c>
      <c r="B44" s="84"/>
      <c r="C44" s="84"/>
      <c r="D44" s="84"/>
      <c r="E44" s="85"/>
      <c r="F44" s="115">
        <f>+SALARIOS!C46</f>
        <v>0.05</v>
      </c>
      <c r="G44" s="116">
        <f>+F44*H40</f>
        <v>26626.868027276942</v>
      </c>
      <c r="H44" s="117"/>
    </row>
    <row r="45" spans="1:8" ht="15.75" thickBot="1">
      <c r="A45" s="89" t="s">
        <v>514</v>
      </c>
      <c r="B45" s="90"/>
      <c r="C45" s="90"/>
      <c r="D45" s="90"/>
      <c r="E45" s="91"/>
      <c r="F45" s="118">
        <f>+SALARIOS!C47</f>
        <v>0.05</v>
      </c>
      <c r="G45" s="119">
        <f>+F45*H40</f>
        <v>26626.868027276942</v>
      </c>
      <c r="H45" s="80"/>
    </row>
    <row r="46" spans="1:8" ht="15.75" thickBot="1">
      <c r="A46" s="61"/>
      <c r="B46" s="61"/>
      <c r="C46" s="61"/>
      <c r="D46" s="61"/>
      <c r="E46" s="61"/>
      <c r="F46" s="61"/>
      <c r="G46" s="81" t="s">
        <v>491</v>
      </c>
      <c r="H46" s="120">
        <f>SUM(G43:G45)</f>
        <v>133134.34013638471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665672</v>
      </c>
    </row>
  </sheetData>
  <mergeCells count="2">
    <mergeCell ref="A3:C4"/>
    <mergeCell ref="A7:E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7"/>
  <sheetViews>
    <sheetView topLeftCell="A28" zoomScaleNormal="100" workbookViewId="0">
      <selection activeCell="G27" sqref="G27"/>
    </sheetView>
  </sheetViews>
  <sheetFormatPr baseColWidth="10" defaultRowHeight="15"/>
  <sheetData>
    <row r="1" spans="1:8" ht="15.75" thickBot="1">
      <c r="A1" s="16"/>
      <c r="B1" s="16"/>
      <c r="C1" s="16"/>
      <c r="D1" s="16"/>
      <c r="E1" s="16"/>
      <c r="F1" s="16"/>
      <c r="G1" s="16"/>
      <c r="H1" s="16"/>
    </row>
    <row r="2" spans="1:8">
      <c r="A2" s="1445" t="s">
        <v>519</v>
      </c>
      <c r="B2" s="1446"/>
      <c r="C2" s="1447"/>
      <c r="D2" s="55"/>
      <c r="E2" s="56"/>
      <c r="F2" s="55"/>
      <c r="G2" s="55"/>
      <c r="H2" s="57"/>
    </row>
    <row r="3" spans="1:8">
      <c r="A3" s="1448"/>
      <c r="B3" s="1449"/>
      <c r="C3" s="1450"/>
      <c r="D3" s="58"/>
      <c r="E3" s="51" t="s">
        <v>483</v>
      </c>
      <c r="F3" s="58"/>
      <c r="G3" s="58"/>
      <c r="H3" s="59"/>
    </row>
    <row r="4" spans="1:8" ht="15.75" thickBot="1">
      <c r="A4" s="1451" t="s">
        <v>520</v>
      </c>
      <c r="B4" s="1452"/>
      <c r="C4" s="1453"/>
      <c r="D4" s="1457"/>
      <c r="E4" s="1458"/>
      <c r="F4" s="1458"/>
      <c r="G4" s="1458"/>
      <c r="H4" s="1459"/>
    </row>
    <row r="5" spans="1:8">
      <c r="A5" s="60"/>
      <c r="B5" s="61"/>
      <c r="C5" s="61"/>
      <c r="D5" s="61"/>
      <c r="E5" s="61"/>
      <c r="F5" s="61"/>
      <c r="G5" s="61"/>
      <c r="H5" s="61"/>
    </row>
    <row r="6" spans="1:8">
      <c r="A6" s="60" t="s">
        <v>521</v>
      </c>
      <c r="B6" s="62"/>
      <c r="C6" s="61"/>
      <c r="D6" s="16"/>
      <c r="E6" s="62"/>
      <c r="F6" s="16"/>
      <c r="G6" s="62" t="s">
        <v>539</v>
      </c>
      <c r="H6" s="61"/>
    </row>
    <row r="7" spans="1:8">
      <c r="A7" s="60" t="s">
        <v>538</v>
      </c>
      <c r="B7" s="62"/>
      <c r="C7" s="61"/>
      <c r="D7" s="62"/>
      <c r="E7" s="62"/>
      <c r="F7" s="62"/>
      <c r="G7" s="62" t="s">
        <v>537</v>
      </c>
      <c r="H7" s="61"/>
    </row>
    <row r="8" spans="1:8">
      <c r="A8" s="62"/>
      <c r="B8" s="62"/>
      <c r="C8" s="61"/>
      <c r="D8" s="62"/>
      <c r="E8" s="62"/>
      <c r="F8" s="62"/>
      <c r="G8" s="62"/>
      <c r="H8" s="61"/>
    </row>
    <row r="9" spans="1:8" ht="15.75" thickBot="1">
      <c r="A9" s="63" t="s">
        <v>484</v>
      </c>
      <c r="B9" s="63"/>
      <c r="C9" s="61"/>
      <c r="D9" s="61"/>
      <c r="E9" s="61"/>
      <c r="F9" s="61"/>
      <c r="G9" s="61"/>
      <c r="H9" s="61"/>
    </row>
    <row r="10" spans="1:8">
      <c r="A10" s="1454" t="s">
        <v>485</v>
      </c>
      <c r="B10" s="1455"/>
      <c r="C10" s="1456"/>
      <c r="D10" s="64" t="s">
        <v>486</v>
      </c>
      <c r="E10" s="65" t="s">
        <v>487</v>
      </c>
      <c r="F10" s="64" t="s">
        <v>488</v>
      </c>
      <c r="G10" s="66" t="s">
        <v>489</v>
      </c>
      <c r="H10" s="67"/>
    </row>
    <row r="11" spans="1:8">
      <c r="A11" s="1460" t="s">
        <v>14</v>
      </c>
      <c r="B11" s="1461"/>
      <c r="C11" s="1462"/>
      <c r="D11" s="68"/>
      <c r="E11" s="69">
        <f>'EQUIPOS '!D10</f>
        <v>87000</v>
      </c>
      <c r="F11" s="69">
        <v>16.5</v>
      </c>
      <c r="G11" s="71">
        <f>+E11/F11</f>
        <v>5272.727272727273</v>
      </c>
      <c r="H11" s="72"/>
    </row>
    <row r="12" spans="1:8">
      <c r="A12" s="1463"/>
      <c r="B12" s="1464"/>
      <c r="C12" s="1465"/>
      <c r="D12" s="73"/>
      <c r="E12" s="74"/>
      <c r="F12" s="75"/>
      <c r="G12" s="71"/>
      <c r="H12" s="72"/>
    </row>
    <row r="13" spans="1:8">
      <c r="A13" s="1463"/>
      <c r="B13" s="1464"/>
      <c r="C13" s="1465"/>
      <c r="D13" s="73"/>
      <c r="E13" s="74"/>
      <c r="F13" s="69"/>
      <c r="G13" s="71"/>
      <c r="H13" s="72"/>
    </row>
    <row r="14" spans="1:8">
      <c r="A14" s="1463"/>
      <c r="B14" s="1464"/>
      <c r="C14" s="1465"/>
      <c r="D14" s="73"/>
      <c r="E14" s="74"/>
      <c r="F14" s="69"/>
      <c r="G14" s="71"/>
      <c r="H14" s="72"/>
    </row>
    <row r="15" spans="1:8">
      <c r="A15" s="1463"/>
      <c r="B15" s="1464"/>
      <c r="C15" s="1465"/>
      <c r="D15" s="73"/>
      <c r="E15" s="74"/>
      <c r="F15" s="69"/>
      <c r="G15" s="71"/>
      <c r="H15" s="72"/>
    </row>
    <row r="16" spans="1:8" ht="15.75" thickBot="1">
      <c r="A16" s="1466"/>
      <c r="B16" s="1467"/>
      <c r="C16" s="1468"/>
      <c r="D16" s="76"/>
      <c r="E16" s="77"/>
      <c r="F16" s="78"/>
      <c r="G16" s="79"/>
      <c r="H16" s="80"/>
    </row>
    <row r="17" spans="1:8" ht="15.75" thickBot="1">
      <c r="A17" s="61"/>
      <c r="B17" s="61"/>
      <c r="C17" s="61"/>
      <c r="D17" s="61"/>
      <c r="E17" s="61"/>
      <c r="F17" s="61"/>
      <c r="G17" s="81" t="s">
        <v>491</v>
      </c>
      <c r="H17" s="1178">
        <f>SUM(G11:G16)</f>
        <v>5272.727272727273</v>
      </c>
    </row>
    <row r="18" spans="1:8" ht="15.75" thickBot="1">
      <c r="A18" s="63" t="s">
        <v>492</v>
      </c>
      <c r="B18" s="63"/>
      <c r="C18" s="61"/>
      <c r="D18" s="61"/>
      <c r="E18" s="61"/>
      <c r="F18" s="61"/>
      <c r="G18" s="61"/>
      <c r="H18" s="61"/>
    </row>
    <row r="19" spans="1:8">
      <c r="A19" s="1472" t="s">
        <v>485</v>
      </c>
      <c r="B19" s="1473"/>
      <c r="C19" s="1474"/>
      <c r="D19" s="113" t="s">
        <v>493</v>
      </c>
      <c r="E19" s="113" t="s">
        <v>494</v>
      </c>
      <c r="F19" s="113" t="s">
        <v>495</v>
      </c>
      <c r="G19" s="114" t="s">
        <v>489</v>
      </c>
      <c r="H19" s="67"/>
    </row>
    <row r="20" spans="1:8" ht="28.5" customHeight="1">
      <c r="A20" s="1478" t="s">
        <v>374</v>
      </c>
      <c r="B20" s="1470"/>
      <c r="C20" s="1471"/>
      <c r="D20" s="68" t="s">
        <v>19</v>
      </c>
      <c r="E20" s="142">
        <f>MATERIALES!D67</f>
        <v>3000</v>
      </c>
      <c r="F20" s="156">
        <v>1</v>
      </c>
      <c r="G20" s="71">
        <f>E20*F20</f>
        <v>3000</v>
      </c>
      <c r="H20" s="72"/>
    </row>
    <row r="21" spans="1:8">
      <c r="A21" s="134"/>
      <c r="B21" s="129"/>
      <c r="C21" s="129"/>
      <c r="D21" s="135"/>
      <c r="E21" s="140"/>
      <c r="F21" s="136"/>
      <c r="G21" s="155"/>
      <c r="H21" s="72"/>
    </row>
    <row r="22" spans="1:8">
      <c r="A22" s="128"/>
      <c r="B22" s="129"/>
      <c r="C22" s="130"/>
      <c r="D22" s="131"/>
      <c r="E22" s="132"/>
      <c r="F22" s="133"/>
      <c r="G22" s="155"/>
      <c r="H22" s="72"/>
    </row>
    <row r="23" spans="1:8" ht="15.75" thickBot="1">
      <c r="A23" s="89"/>
      <c r="B23" s="90"/>
      <c r="C23" s="91"/>
      <c r="D23" s="76"/>
      <c r="E23" s="77"/>
      <c r="F23" s="78"/>
      <c r="G23" s="79"/>
      <c r="H23" s="80"/>
    </row>
    <row r="24" spans="1:8" ht="15.75" thickBot="1">
      <c r="A24" s="61"/>
      <c r="B24" s="61"/>
      <c r="C24" s="61"/>
      <c r="D24" s="61"/>
      <c r="E24" s="61"/>
      <c r="F24" s="61"/>
      <c r="G24" s="81" t="s">
        <v>491</v>
      </c>
      <c r="H24" s="82">
        <f>SUM(G20:G23)</f>
        <v>3000</v>
      </c>
    </row>
    <row r="25" spans="1:8" ht="15.75" thickBot="1">
      <c r="A25" s="92" t="s">
        <v>496</v>
      </c>
      <c r="B25" s="92"/>
      <c r="C25" s="90"/>
      <c r="D25" s="61"/>
      <c r="E25" s="61"/>
      <c r="F25" s="61"/>
      <c r="G25" s="61"/>
      <c r="H25" s="61"/>
    </row>
    <row r="26" spans="1:8">
      <c r="A26" s="1454" t="s">
        <v>497</v>
      </c>
      <c r="B26" s="1456"/>
      <c r="C26" s="93" t="s">
        <v>498</v>
      </c>
      <c r="D26" s="64" t="s">
        <v>499</v>
      </c>
      <c r="E26" s="64" t="s">
        <v>500</v>
      </c>
      <c r="F26" s="64" t="s">
        <v>501</v>
      </c>
      <c r="G26" s="94" t="s">
        <v>489</v>
      </c>
      <c r="H26" s="67"/>
    </row>
    <row r="27" spans="1:8">
      <c r="A27" s="83" t="s">
        <v>15</v>
      </c>
      <c r="B27" s="84"/>
      <c r="C27" s="95"/>
      <c r="D27" s="96">
        <v>8</v>
      </c>
      <c r="E27" s="96">
        <v>1</v>
      </c>
      <c r="F27" s="97">
        <f>+'EQUIPOS '!D31</f>
        <v>1060</v>
      </c>
      <c r="G27" s="69">
        <f>(D27*E27*F27)</f>
        <v>8480</v>
      </c>
      <c r="H27" s="72"/>
    </row>
    <row r="28" spans="1:8">
      <c r="A28" s="83"/>
      <c r="B28" s="84"/>
      <c r="C28" s="98"/>
      <c r="D28" s="68"/>
      <c r="E28" s="99"/>
      <c r="F28" s="69"/>
      <c r="G28" s="69"/>
      <c r="H28" s="72"/>
    </row>
    <row r="29" spans="1:8" ht="15.75" thickBot="1">
      <c r="A29" s="100"/>
      <c r="B29" s="101"/>
      <c r="C29" s="76"/>
      <c r="D29" s="77"/>
      <c r="E29" s="78"/>
      <c r="F29" s="79"/>
      <c r="G29" s="76"/>
      <c r="H29" s="72"/>
    </row>
    <row r="30" spans="1:8" ht="15.75" thickBot="1">
      <c r="A30" s="61"/>
      <c r="B30" s="61"/>
      <c r="C30" s="61"/>
      <c r="D30" s="61"/>
      <c r="E30" s="61"/>
      <c r="F30" s="61"/>
      <c r="G30" s="81" t="s">
        <v>491</v>
      </c>
      <c r="H30" s="82">
        <f>SUM(G27:G29)</f>
        <v>8480</v>
      </c>
    </row>
    <row r="31" spans="1:8" ht="15.75" thickBot="1">
      <c r="A31" s="92" t="s">
        <v>502</v>
      </c>
      <c r="B31" s="92"/>
      <c r="C31" s="61"/>
      <c r="D31" s="61"/>
      <c r="E31" s="61"/>
      <c r="F31" s="61"/>
      <c r="G31" s="61"/>
      <c r="H31" s="61"/>
    </row>
    <row r="32" spans="1:8">
      <c r="A32" s="1454" t="s">
        <v>503</v>
      </c>
      <c r="B32" s="1456"/>
      <c r="C32" s="151" t="s">
        <v>504</v>
      </c>
      <c r="D32" s="151" t="s">
        <v>505</v>
      </c>
      <c r="E32" s="124" t="s">
        <v>506</v>
      </c>
      <c r="F32" s="102" t="s">
        <v>488</v>
      </c>
      <c r="G32" s="150" t="s">
        <v>489</v>
      </c>
      <c r="H32" s="67"/>
    </row>
    <row r="33" spans="1:8">
      <c r="A33" s="83"/>
      <c r="B33" s="84"/>
      <c r="C33" s="103"/>
      <c r="D33" s="123"/>
      <c r="E33" s="69"/>
      <c r="F33" s="69"/>
      <c r="G33" s="105"/>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91"/>
      <c r="F36" s="91"/>
      <c r="G36" s="90"/>
      <c r="H36" s="80"/>
    </row>
    <row r="37" spans="1:8" ht="15.75" thickBot="1">
      <c r="A37" s="61"/>
      <c r="B37" s="61"/>
      <c r="C37" s="61"/>
      <c r="D37" s="61"/>
      <c r="E37" s="61"/>
      <c r="F37" s="61"/>
      <c r="G37" s="81" t="s">
        <v>491</v>
      </c>
      <c r="H37" s="82">
        <f>SUM(G33:G36)</f>
        <v>0</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16752.727272727272</v>
      </c>
    </row>
    <row r="40" spans="1:8" ht="15.75" thickBot="1">
      <c r="A40" s="63" t="s">
        <v>509</v>
      </c>
      <c r="B40" s="63"/>
      <c r="C40" s="61"/>
      <c r="D40" s="61"/>
      <c r="E40" s="61"/>
      <c r="F40" s="61"/>
      <c r="G40" s="61"/>
      <c r="H40" s="61"/>
    </row>
    <row r="41" spans="1:8">
      <c r="A41" s="110" t="s">
        <v>485</v>
      </c>
      <c r="B41" s="111"/>
      <c r="C41" s="111"/>
      <c r="D41" s="111"/>
      <c r="E41" s="112"/>
      <c r="F41" s="113" t="s">
        <v>510</v>
      </c>
      <c r="G41" s="114" t="s">
        <v>511</v>
      </c>
      <c r="H41" s="67"/>
    </row>
    <row r="42" spans="1:8">
      <c r="A42" s="83" t="s">
        <v>512</v>
      </c>
      <c r="B42" s="84"/>
      <c r="C42" s="84"/>
      <c r="D42" s="84"/>
      <c r="E42" s="85"/>
      <c r="F42" s="115">
        <f>(SALARIOS!C45)</f>
        <v>0.15</v>
      </c>
      <c r="G42" s="116">
        <f>++F42*H39</f>
        <v>2512.9090909090905</v>
      </c>
      <c r="H42" s="117"/>
    </row>
    <row r="43" spans="1:8">
      <c r="A43" s="83" t="s">
        <v>513</v>
      </c>
      <c r="B43" s="84"/>
      <c r="C43" s="84"/>
      <c r="D43" s="84"/>
      <c r="E43" s="85"/>
      <c r="F43" s="115">
        <f>(SALARIOS!C46)</f>
        <v>0.05</v>
      </c>
      <c r="G43" s="116">
        <f>+F43*H39</f>
        <v>837.63636363636363</v>
      </c>
      <c r="H43" s="117"/>
    </row>
    <row r="44" spans="1:8" ht="15.75" thickBot="1">
      <c r="A44" s="89" t="s">
        <v>514</v>
      </c>
      <c r="B44" s="90"/>
      <c r="C44" s="90"/>
      <c r="D44" s="90"/>
      <c r="E44" s="91"/>
      <c r="F44" s="118">
        <f>(SALARIOS!C47)</f>
        <v>0.05</v>
      </c>
      <c r="G44" s="119">
        <f>+F44*H39</f>
        <v>837.63636363636363</v>
      </c>
      <c r="H44" s="80"/>
    </row>
    <row r="45" spans="1:8" ht="15.75" thickBot="1">
      <c r="A45" s="61"/>
      <c r="B45" s="61"/>
      <c r="C45" s="61"/>
      <c r="D45" s="61"/>
      <c r="E45" s="61"/>
      <c r="F45" s="61"/>
      <c r="G45" s="81" t="s">
        <v>491</v>
      </c>
      <c r="H45" s="120">
        <f>SUM(G42:G44)</f>
        <v>4188.181818181818</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20941</v>
      </c>
    </row>
  </sheetData>
  <mergeCells count="14">
    <mergeCell ref="A12:C12"/>
    <mergeCell ref="A2:C3"/>
    <mergeCell ref="A4:C4"/>
    <mergeCell ref="D4:H4"/>
    <mergeCell ref="A10:C10"/>
    <mergeCell ref="A11:C11"/>
    <mergeCell ref="A32:B32"/>
    <mergeCell ref="A13:C13"/>
    <mergeCell ref="A14:C14"/>
    <mergeCell ref="A15:C15"/>
    <mergeCell ref="A16:C16"/>
    <mergeCell ref="A19:C19"/>
    <mergeCell ref="A26:B26"/>
    <mergeCell ref="A20:C20"/>
  </mergeCells>
  <pageMargins left="0.7" right="0.7" top="0.75" bottom="0.75" header="0.3" footer="0.3"/>
  <pageSetup paperSize="9" scale="95"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H48"/>
  <sheetViews>
    <sheetView workbookViewId="0">
      <selection activeCell="A14" sqref="A14:G1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2.5" customHeight="1">
      <c r="A7" s="1479" t="s">
        <v>1950</v>
      </c>
      <c r="B7" s="1479"/>
      <c r="C7" s="1479"/>
      <c r="D7" s="1479"/>
      <c r="E7" s="1479"/>
      <c r="F7" s="16"/>
      <c r="G7" s="62" t="s">
        <v>827</v>
      </c>
      <c r="H7" s="61"/>
    </row>
    <row r="8" spans="1:8">
      <c r="A8" s="60" t="s">
        <v>840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3</v>
      </c>
      <c r="G12" s="71">
        <f>+E12/F12</f>
        <v>29000</v>
      </c>
      <c r="H12" s="72"/>
    </row>
    <row r="13" spans="1:8">
      <c r="A13" s="175" t="s">
        <v>1327</v>
      </c>
      <c r="B13" s="176"/>
      <c r="C13" s="174"/>
      <c r="D13" s="174"/>
      <c r="E13" s="173"/>
      <c r="F13" s="69"/>
      <c r="G13" s="173">
        <f>H38*10%</f>
        <v>11677.165345613519</v>
      </c>
      <c r="H13" s="72"/>
    </row>
    <row r="14" spans="1:8">
      <c r="A14" s="175"/>
      <c r="B14" s="165"/>
      <c r="C14" s="166"/>
      <c r="D14" s="167"/>
      <c r="E14" s="167"/>
      <c r="F14" s="167"/>
      <c r="G14" s="173"/>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40677.165345613517</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t="s">
        <v>828</v>
      </c>
      <c r="B21" s="84"/>
      <c r="C21" s="85"/>
      <c r="D21" s="141" t="s">
        <v>61</v>
      </c>
      <c r="E21" s="139">
        <f>+MATERIALES!D293</f>
        <v>425000</v>
      </c>
      <c r="F21" s="163">
        <v>1</v>
      </c>
      <c r="G21" s="137">
        <f>+E21*F21</f>
        <v>425000</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425000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656</v>
      </c>
      <c r="B34" s="84"/>
      <c r="C34" s="103">
        <f>+SALARIOS!C49*4</f>
        <v>102288</v>
      </c>
      <c r="D34" s="104">
        <f>+SALARIOS!C48</f>
        <v>1.7846558312967005</v>
      </c>
      <c r="E34" s="69">
        <f>+C34*D34</f>
        <v>182548.87567167688</v>
      </c>
      <c r="F34" s="69">
        <v>2.2000000000000002</v>
      </c>
      <c r="G34" s="105">
        <f>+E34/F34</f>
        <v>82976.761668944033</v>
      </c>
      <c r="H34" s="72"/>
    </row>
    <row r="35" spans="1:8">
      <c r="A35" s="83" t="s">
        <v>624</v>
      </c>
      <c r="B35" s="84"/>
      <c r="C35" s="103">
        <f>+SALARIOS!C50</f>
        <v>41660</v>
      </c>
      <c r="D35" s="104">
        <f>+SALARIOS!C48</f>
        <v>1.7846558312967005</v>
      </c>
      <c r="E35" s="69">
        <f>+C35*D35</f>
        <v>74348.76193182054</v>
      </c>
      <c r="F35" s="69">
        <v>2.2000000000000002</v>
      </c>
      <c r="G35" s="105">
        <f>+E35/F35</f>
        <v>33794.891787191154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116771.65345613519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582448.81880174868</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87367.3228202623</v>
      </c>
      <c r="H43" s="117"/>
    </row>
    <row r="44" spans="1:8">
      <c r="A44" s="83" t="s">
        <v>513</v>
      </c>
      <c r="B44" s="84"/>
      <c r="C44" s="84"/>
      <c r="D44" s="84"/>
      <c r="E44" s="85"/>
      <c r="F44" s="115">
        <f>+SALARIOS!C46</f>
        <v>0.05</v>
      </c>
      <c r="G44" s="116">
        <f>+F44*H40</f>
        <v>29122.440940087436</v>
      </c>
      <c r="H44" s="117"/>
    </row>
    <row r="45" spans="1:8" ht="15.75" thickBot="1">
      <c r="A45" s="89" t="s">
        <v>514</v>
      </c>
      <c r="B45" s="90"/>
      <c r="C45" s="90"/>
      <c r="D45" s="90"/>
      <c r="E45" s="91"/>
      <c r="F45" s="118">
        <f>+SALARIOS!C47</f>
        <v>0.05</v>
      </c>
      <c r="G45" s="119">
        <f>+F45*H40</f>
        <v>29122.440940087436</v>
      </c>
      <c r="H45" s="80"/>
    </row>
    <row r="46" spans="1:8" ht="15.75" thickBot="1">
      <c r="A46" s="61"/>
      <c r="B46" s="61"/>
      <c r="C46" s="61"/>
      <c r="D46" s="61"/>
      <c r="E46" s="61"/>
      <c r="F46" s="61"/>
      <c r="G46" s="81" t="s">
        <v>491</v>
      </c>
      <c r="H46" s="120">
        <f>SUM(G43:G45)</f>
        <v>145612.20470043717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728061</v>
      </c>
    </row>
  </sheetData>
  <mergeCells count="2">
    <mergeCell ref="A3:C4"/>
    <mergeCell ref="A7:E7"/>
  </mergeCell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H48"/>
  <sheetViews>
    <sheetView workbookViewId="0">
      <selection activeCell="A12" sqref="A1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2.5" customHeight="1">
      <c r="A7" s="1479" t="s">
        <v>1950</v>
      </c>
      <c r="B7" s="1479"/>
      <c r="C7" s="1479"/>
      <c r="D7" s="1479"/>
      <c r="E7" s="1479"/>
      <c r="F7" s="16"/>
      <c r="G7" s="62" t="s">
        <v>829</v>
      </c>
      <c r="H7" s="61"/>
    </row>
    <row r="8" spans="1:8">
      <c r="A8" s="60" t="s">
        <v>838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3</v>
      </c>
      <c r="G12" s="71">
        <f>+E12/F12</f>
        <v>29000</v>
      </c>
      <c r="H12" s="72"/>
    </row>
    <row r="13" spans="1:8">
      <c r="A13" s="175" t="s">
        <v>1327</v>
      </c>
      <c r="B13" s="176"/>
      <c r="C13" s="174"/>
      <c r="D13" s="174"/>
      <c r="E13" s="173"/>
      <c r="F13" s="69"/>
      <c r="G13" s="173">
        <f>H38*10%</f>
        <v>12844.881880174871</v>
      </c>
      <c r="H13" s="72"/>
    </row>
    <row r="14" spans="1:8">
      <c r="A14" s="175"/>
      <c r="B14" s="165"/>
      <c r="C14" s="166"/>
      <c r="D14" s="167"/>
      <c r="E14" s="167"/>
      <c r="F14" s="167"/>
      <c r="G14" s="173"/>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41844.881880174871</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t="s">
        <v>818</v>
      </c>
      <c r="B21" s="84"/>
      <c r="C21" s="85"/>
      <c r="D21" s="141" t="s">
        <v>61</v>
      </c>
      <c r="E21" s="139">
        <f>+MATERIALES!D295</f>
        <v>613176</v>
      </c>
      <c r="F21" s="163">
        <v>1</v>
      </c>
      <c r="G21" s="137">
        <f>+E21*F21</f>
        <v>613176</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613176</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656</v>
      </c>
      <c r="B34" s="84"/>
      <c r="C34" s="103">
        <f>+SALARIOS!C49*4</f>
        <v>102288</v>
      </c>
      <c r="D34" s="104">
        <f>+SALARIOS!C48</f>
        <v>1.7846558312967005</v>
      </c>
      <c r="E34" s="69">
        <f>+C34*D34</f>
        <v>182548.87567167688</v>
      </c>
      <c r="F34" s="69">
        <v>2</v>
      </c>
      <c r="G34" s="105">
        <f>+E34/F34</f>
        <v>91274.437835838442</v>
      </c>
      <c r="H34" s="72"/>
    </row>
    <row r="35" spans="1:8">
      <c r="A35" s="83" t="s">
        <v>624</v>
      </c>
      <c r="B35" s="84"/>
      <c r="C35" s="103">
        <f>+SALARIOS!C50</f>
        <v>41660</v>
      </c>
      <c r="D35" s="104">
        <f>+SALARIOS!C48</f>
        <v>1.7846558312967005</v>
      </c>
      <c r="E35" s="69">
        <f>+C35*D35</f>
        <v>74348.76193182054</v>
      </c>
      <c r="F35" s="69">
        <v>2</v>
      </c>
      <c r="G35" s="105">
        <f>+E35/F35</f>
        <v>37174.38096591027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128448.81880174871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783469.70068192354</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117520.45510228853</v>
      </c>
      <c r="H43" s="117"/>
    </row>
    <row r="44" spans="1:8">
      <c r="A44" s="83" t="s">
        <v>513</v>
      </c>
      <c r="B44" s="84"/>
      <c r="C44" s="84"/>
      <c r="D44" s="84"/>
      <c r="E44" s="85"/>
      <c r="F44" s="115">
        <f>+SALARIOS!C46</f>
        <v>0.05</v>
      </c>
      <c r="G44" s="116">
        <f>+F44*H40</f>
        <v>39173.485034096178</v>
      </c>
      <c r="H44" s="117"/>
    </row>
    <row r="45" spans="1:8" ht="15.75" thickBot="1">
      <c r="A45" s="89" t="s">
        <v>514</v>
      </c>
      <c r="B45" s="90"/>
      <c r="C45" s="90"/>
      <c r="D45" s="90"/>
      <c r="E45" s="91"/>
      <c r="F45" s="118">
        <f>+SALARIOS!C47</f>
        <v>0.05</v>
      </c>
      <c r="G45" s="119">
        <f>+F45*H40</f>
        <v>39173.485034096178</v>
      </c>
      <c r="H45" s="80"/>
    </row>
    <row r="46" spans="1:8" ht="15.75" thickBot="1">
      <c r="A46" s="61"/>
      <c r="B46" s="61"/>
      <c r="C46" s="61"/>
      <c r="D46" s="61"/>
      <c r="E46" s="61"/>
      <c r="F46" s="61"/>
      <c r="G46" s="81" t="s">
        <v>491</v>
      </c>
      <c r="H46" s="120">
        <f>SUM(G43:G45)</f>
        <v>195867.42517048088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979337</v>
      </c>
    </row>
  </sheetData>
  <mergeCells count="2">
    <mergeCell ref="A3:C4"/>
    <mergeCell ref="A7:E7"/>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H48"/>
  <sheetViews>
    <sheetView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2.5" customHeight="1">
      <c r="A7" s="1479" t="s">
        <v>1950</v>
      </c>
      <c r="B7" s="1479"/>
      <c r="C7" s="1479"/>
      <c r="D7" s="1479"/>
      <c r="E7" s="1479"/>
      <c r="F7" s="16"/>
      <c r="G7" s="62" t="s">
        <v>830</v>
      </c>
      <c r="H7" s="61"/>
    </row>
    <row r="8" spans="1:8">
      <c r="A8" s="60" t="s">
        <v>837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3</v>
      </c>
      <c r="G12" s="71">
        <f>+E12/F12</f>
        <v>29000</v>
      </c>
      <c r="H12" s="72"/>
    </row>
    <row r="13" spans="1:8">
      <c r="A13" s="175" t="s">
        <v>1327</v>
      </c>
      <c r="B13" s="176"/>
      <c r="C13" s="174"/>
      <c r="D13" s="174"/>
      <c r="E13" s="173"/>
      <c r="F13" s="69"/>
      <c r="G13" s="173">
        <f>H38*10%</f>
        <v>14272.090977972081</v>
      </c>
      <c r="H13" s="72"/>
    </row>
    <row r="14" spans="1:8">
      <c r="A14" s="175"/>
      <c r="B14" s="165"/>
      <c r="C14" s="166"/>
      <c r="D14" s="167"/>
      <c r="E14" s="167"/>
      <c r="F14" s="167"/>
      <c r="G14" s="173"/>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43272.090977972082</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t="s">
        <v>817</v>
      </c>
      <c r="B21" s="84"/>
      <c r="C21" s="85"/>
      <c r="D21" s="141" t="s">
        <v>61</v>
      </c>
      <c r="E21" s="139">
        <f>+MATERIALES!D296</f>
        <v>767154.39999999991</v>
      </c>
      <c r="F21" s="163">
        <v>1</v>
      </c>
      <c r="G21" s="137">
        <f>+E21*F21</f>
        <v>767154.39999999991</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767154.39999999991</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656</v>
      </c>
      <c r="B34" s="84"/>
      <c r="C34" s="103">
        <f>+SALARIOS!C49*4</f>
        <v>102288</v>
      </c>
      <c r="D34" s="104">
        <f>+SALARIOS!C48</f>
        <v>1.7846558312967005</v>
      </c>
      <c r="E34" s="69">
        <f>+C34*D34</f>
        <v>182548.87567167688</v>
      </c>
      <c r="F34" s="69">
        <v>1.8</v>
      </c>
      <c r="G34" s="105">
        <f>+E34/F34</f>
        <v>101416.04203982049</v>
      </c>
      <c r="H34" s="72"/>
    </row>
    <row r="35" spans="1:8">
      <c r="A35" s="83" t="s">
        <v>624</v>
      </c>
      <c r="B35" s="84"/>
      <c r="C35" s="103">
        <f>+SALARIOS!C50</f>
        <v>41660</v>
      </c>
      <c r="D35" s="104">
        <f>+SALARIOS!C48</f>
        <v>1.7846558312967005</v>
      </c>
      <c r="E35" s="69">
        <f>+C35*D35</f>
        <v>74348.76193182054</v>
      </c>
      <c r="F35" s="69">
        <v>1.8</v>
      </c>
      <c r="G35" s="105">
        <f>+E35/F35</f>
        <v>41304.867739900299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142720.90977972079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953147.40075769287</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142972.11011365394</v>
      </c>
      <c r="H43" s="117"/>
    </row>
    <row r="44" spans="1:8">
      <c r="A44" s="83" t="s">
        <v>513</v>
      </c>
      <c r="B44" s="84"/>
      <c r="C44" s="84"/>
      <c r="D44" s="84"/>
      <c r="E44" s="85"/>
      <c r="F44" s="115">
        <f>+SALARIOS!C46</f>
        <v>0.05</v>
      </c>
      <c r="G44" s="116">
        <f>+F44*H40</f>
        <v>47657.370037884648</v>
      </c>
      <c r="H44" s="117"/>
    </row>
    <row r="45" spans="1:8" ht="15.75" thickBot="1">
      <c r="A45" s="89" t="s">
        <v>514</v>
      </c>
      <c r="B45" s="90"/>
      <c r="C45" s="90"/>
      <c r="D45" s="90"/>
      <c r="E45" s="91"/>
      <c r="F45" s="118">
        <f>+SALARIOS!C47</f>
        <v>0.05</v>
      </c>
      <c r="G45" s="119">
        <f>+F45*H40</f>
        <v>47657.370037884648</v>
      </c>
      <c r="H45" s="80"/>
    </row>
    <row r="46" spans="1:8" ht="15.75" thickBot="1">
      <c r="A46" s="61"/>
      <c r="B46" s="61"/>
      <c r="C46" s="61"/>
      <c r="D46" s="61"/>
      <c r="E46" s="61"/>
      <c r="F46" s="61"/>
      <c r="G46" s="81" t="s">
        <v>491</v>
      </c>
      <c r="H46" s="120">
        <f>SUM(G43:G45)</f>
        <v>238286.85018942325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1191434</v>
      </c>
    </row>
  </sheetData>
  <mergeCells count="2">
    <mergeCell ref="A3:C4"/>
    <mergeCell ref="A7:E7"/>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H48"/>
  <sheetViews>
    <sheetView workbookViewId="0">
      <selection activeCell="A14" sqref="A14:G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2.5" customHeight="1">
      <c r="A7" s="1479" t="s">
        <v>1950</v>
      </c>
      <c r="B7" s="1479"/>
      <c r="C7" s="1479"/>
      <c r="D7" s="1479"/>
      <c r="E7" s="1479"/>
      <c r="F7" s="16"/>
      <c r="G7" s="62" t="s">
        <v>831</v>
      </c>
      <c r="H7" s="61"/>
    </row>
    <row r="8" spans="1:8">
      <c r="A8" s="60" t="s">
        <v>836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3</v>
      </c>
      <c r="G12" s="71">
        <f>+E12/F12</f>
        <v>29000</v>
      </c>
      <c r="H12" s="72"/>
    </row>
    <row r="13" spans="1:8">
      <c r="A13" s="175" t="s">
        <v>1327</v>
      </c>
      <c r="B13" s="176"/>
      <c r="C13" s="174"/>
      <c r="D13" s="174"/>
      <c r="E13" s="173"/>
      <c r="F13" s="69"/>
      <c r="G13" s="173">
        <f>H38*10%</f>
        <v>16056.102350218589</v>
      </c>
      <c r="H13" s="72"/>
    </row>
    <row r="14" spans="1:8">
      <c r="A14" s="175"/>
      <c r="B14" s="165"/>
      <c r="C14" s="166"/>
      <c r="D14" s="167"/>
      <c r="E14" s="167"/>
      <c r="F14" s="167"/>
      <c r="G14" s="173"/>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45056.102350218585</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t="s">
        <v>822</v>
      </c>
      <c r="B21" s="84"/>
      <c r="C21" s="85"/>
      <c r="D21" s="141" t="s">
        <v>61</v>
      </c>
      <c r="E21" s="139">
        <f>+MATERIALES!D297</f>
        <v>859444</v>
      </c>
      <c r="F21" s="163">
        <v>1</v>
      </c>
      <c r="G21" s="137">
        <f>+E21*F21</f>
        <v>859444</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859444</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656</v>
      </c>
      <c r="B34" s="84"/>
      <c r="C34" s="103">
        <f>+SALARIOS!C49*4</f>
        <v>102288</v>
      </c>
      <c r="D34" s="104">
        <f>+SALARIOS!C48</f>
        <v>1.7846558312967005</v>
      </c>
      <c r="E34" s="69">
        <f>+C34*D34</f>
        <v>182548.87567167688</v>
      </c>
      <c r="F34" s="69">
        <v>1.6</v>
      </c>
      <c r="G34" s="105">
        <f>+E34/F34</f>
        <v>114093.04729479805</v>
      </c>
      <c r="H34" s="72"/>
    </row>
    <row r="35" spans="1:8">
      <c r="A35" s="83" t="s">
        <v>624</v>
      </c>
      <c r="B35" s="84"/>
      <c r="C35" s="103">
        <f>+SALARIOS!C50</f>
        <v>41660</v>
      </c>
      <c r="D35" s="104">
        <f>+SALARIOS!C48</f>
        <v>1.7846558312967005</v>
      </c>
      <c r="E35" s="69">
        <f>+C35*D35</f>
        <v>74348.76193182054</v>
      </c>
      <c r="F35" s="69">
        <v>1.6</v>
      </c>
      <c r="G35" s="105">
        <f>+E35/F35</f>
        <v>46467.976207387837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160561.02350218588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1065061.1258524044</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159759.16887786065</v>
      </c>
      <c r="H43" s="117"/>
    </row>
    <row r="44" spans="1:8">
      <c r="A44" s="83" t="s">
        <v>513</v>
      </c>
      <c r="B44" s="84"/>
      <c r="C44" s="84"/>
      <c r="D44" s="84"/>
      <c r="E44" s="85"/>
      <c r="F44" s="115">
        <f>+SALARIOS!C46</f>
        <v>0.05</v>
      </c>
      <c r="G44" s="116">
        <f>+F44*H40</f>
        <v>53253.056292620226</v>
      </c>
      <c r="H44" s="117"/>
    </row>
    <row r="45" spans="1:8" ht="15.75" thickBot="1">
      <c r="A45" s="89" t="s">
        <v>514</v>
      </c>
      <c r="B45" s="90"/>
      <c r="C45" s="90"/>
      <c r="D45" s="90"/>
      <c r="E45" s="91"/>
      <c r="F45" s="118">
        <f>+SALARIOS!C47</f>
        <v>0.05</v>
      </c>
      <c r="G45" s="119">
        <f>+F45*H40</f>
        <v>53253.056292620226</v>
      </c>
      <c r="H45" s="80"/>
    </row>
    <row r="46" spans="1:8" ht="15.75" thickBot="1">
      <c r="A46" s="61"/>
      <c r="B46" s="61"/>
      <c r="C46" s="61"/>
      <c r="D46" s="61"/>
      <c r="E46" s="61"/>
      <c r="F46" s="61"/>
      <c r="G46" s="81" t="s">
        <v>491</v>
      </c>
      <c r="H46" s="120">
        <f>SUM(G43:G45)</f>
        <v>266265.2814631011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1331326</v>
      </c>
    </row>
  </sheetData>
  <mergeCells count="2">
    <mergeCell ref="A3:C4"/>
    <mergeCell ref="A7:E7"/>
  </mergeCell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H48"/>
  <sheetViews>
    <sheetView workbookViewId="0">
      <selection activeCell="N18" sqref="N1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ht="22.5" customHeight="1">
      <c r="A7" s="1479" t="s">
        <v>1950</v>
      </c>
      <c r="B7" s="1479"/>
      <c r="C7" s="1479"/>
      <c r="D7" s="1479"/>
      <c r="E7" s="1479"/>
      <c r="F7" s="16"/>
      <c r="G7" s="62" t="s">
        <v>832</v>
      </c>
      <c r="H7" s="61"/>
    </row>
    <row r="8" spans="1:8">
      <c r="A8" s="60" t="s">
        <v>835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3</v>
      </c>
      <c r="G12" s="71">
        <f>+E12/F12</f>
        <v>29000</v>
      </c>
      <c r="H12" s="72"/>
    </row>
    <row r="13" spans="1:8">
      <c r="A13" s="175" t="s">
        <v>1327</v>
      </c>
      <c r="B13" s="176"/>
      <c r="C13" s="174"/>
      <c r="D13" s="174"/>
      <c r="E13" s="173"/>
      <c r="F13" s="69"/>
      <c r="G13" s="173">
        <f>H38*10%</f>
        <v>17126.509173566497</v>
      </c>
      <c r="H13" s="72"/>
    </row>
    <row r="14" spans="1:8">
      <c r="A14" s="175"/>
      <c r="B14" s="165"/>
      <c r="C14" s="166"/>
      <c r="D14" s="167"/>
      <c r="E14" s="167"/>
      <c r="F14" s="167"/>
      <c r="G14" s="173"/>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46126.509173566497</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t="s">
        <v>821</v>
      </c>
      <c r="B21" s="84"/>
      <c r="C21" s="85"/>
      <c r="D21" s="141" t="s">
        <v>61</v>
      </c>
      <c r="E21" s="139">
        <f>+MATERIALES!D298</f>
        <v>1006880</v>
      </c>
      <c r="F21" s="163">
        <v>1</v>
      </c>
      <c r="G21" s="137">
        <f>+E21*F21</f>
        <v>1006880</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1006880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656</v>
      </c>
      <c r="B34" s="84"/>
      <c r="C34" s="103">
        <f>+SALARIOS!C49*4</f>
        <v>102288</v>
      </c>
      <c r="D34" s="104">
        <f>+SALARIOS!C48</f>
        <v>1.7846558312967005</v>
      </c>
      <c r="E34" s="69">
        <f>+C34*D34</f>
        <v>182548.87567167688</v>
      </c>
      <c r="F34" s="69">
        <v>1.5</v>
      </c>
      <c r="G34" s="105">
        <f>+E34/F34</f>
        <v>121699.25044778459</v>
      </c>
      <c r="H34" s="72"/>
    </row>
    <row r="35" spans="1:8">
      <c r="A35" s="83" t="s">
        <v>624</v>
      </c>
      <c r="B35" s="84"/>
      <c r="C35" s="103">
        <f>+SALARIOS!C50</f>
        <v>41660</v>
      </c>
      <c r="D35" s="104">
        <f>+SALARIOS!C48</f>
        <v>1.7846558312967005</v>
      </c>
      <c r="E35" s="69">
        <f>+C35*D35</f>
        <v>74348.76193182054</v>
      </c>
      <c r="F35" s="69">
        <v>1.5</v>
      </c>
      <c r="G35" s="105">
        <f>+E35/F35</f>
        <v>49565.841287880357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171265.09173566496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1224271.6009092315</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183640.7401363847</v>
      </c>
      <c r="H43" s="117"/>
    </row>
    <row r="44" spans="1:8">
      <c r="A44" s="83" t="s">
        <v>513</v>
      </c>
      <c r="B44" s="84"/>
      <c r="C44" s="84"/>
      <c r="D44" s="84"/>
      <c r="E44" s="85"/>
      <c r="F44" s="115">
        <f>+SALARIOS!C46</f>
        <v>0.05</v>
      </c>
      <c r="G44" s="116">
        <f>+F44*H40</f>
        <v>61213.580045461575</v>
      </c>
      <c r="H44" s="117"/>
    </row>
    <row r="45" spans="1:8" ht="15.75" thickBot="1">
      <c r="A45" s="89" t="s">
        <v>514</v>
      </c>
      <c r="B45" s="90"/>
      <c r="C45" s="90"/>
      <c r="D45" s="90"/>
      <c r="E45" s="91"/>
      <c r="F45" s="118">
        <f>+SALARIOS!C47</f>
        <v>0.05</v>
      </c>
      <c r="G45" s="119">
        <f>+F45*H40</f>
        <v>61213.580045461575</v>
      </c>
      <c r="H45" s="80"/>
    </row>
    <row r="46" spans="1:8" ht="15.75" thickBot="1">
      <c r="A46" s="61"/>
      <c r="B46" s="61"/>
      <c r="C46" s="61"/>
      <c r="D46" s="61"/>
      <c r="E46" s="61"/>
      <c r="F46" s="61"/>
      <c r="G46" s="81" t="s">
        <v>491</v>
      </c>
      <c r="H46" s="120">
        <f>SUM(G43:G45)</f>
        <v>306067.90022730787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1530340</v>
      </c>
    </row>
  </sheetData>
  <mergeCells count="2">
    <mergeCell ref="A3:C4"/>
    <mergeCell ref="A7:E7"/>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J48"/>
  <sheetViews>
    <sheetView topLeftCell="A4" workbookViewId="0"/>
  </sheetViews>
  <sheetFormatPr baseColWidth="10" defaultRowHeight="15"/>
  <cols>
    <col min="10" max="10" width="13"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833</v>
      </c>
      <c r="H7" s="61"/>
    </row>
    <row r="8" spans="1:8">
      <c r="A8" s="60" t="s">
        <v>702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231"/>
      <c r="C12" s="232"/>
      <c r="D12" s="68"/>
      <c r="E12" s="86"/>
      <c r="F12" s="161"/>
      <c r="G12" s="71">
        <f>H38*10%</f>
        <v>999.88317374783128</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999.88317374783128</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10">
      <c r="A33" s="216" t="s">
        <v>503</v>
      </c>
      <c r="B33" s="218"/>
      <c r="C33" s="218" t="s">
        <v>504</v>
      </c>
      <c r="D33" s="218" t="s">
        <v>505</v>
      </c>
      <c r="E33" s="124" t="s">
        <v>506</v>
      </c>
      <c r="F33" s="102" t="s">
        <v>488</v>
      </c>
      <c r="G33" s="217" t="s">
        <v>489</v>
      </c>
      <c r="H33" s="67"/>
    </row>
    <row r="34" spans="1:10">
      <c r="A34" s="83" t="s">
        <v>697</v>
      </c>
      <c r="B34" s="84"/>
      <c r="C34" s="103">
        <f>+SALARIOS!C49*1</f>
        <v>25572</v>
      </c>
      <c r="D34" s="104">
        <f>+SALARIOS!C48</f>
        <v>1.7846558312967005</v>
      </c>
      <c r="E34" s="69">
        <f>+C34*D34</f>
        <v>45637.218917919221</v>
      </c>
      <c r="F34" s="69">
        <v>12</v>
      </c>
      <c r="G34" s="105">
        <f>+E34/F34</f>
        <v>3803.1015764932686</v>
      </c>
      <c r="H34" s="72"/>
      <c r="J34" s="33">
        <f>E34+E35</f>
        <v>119985.98084973976</v>
      </c>
    </row>
    <row r="35" spans="1:10">
      <c r="A35" s="83" t="s">
        <v>624</v>
      </c>
      <c r="B35" s="84"/>
      <c r="C35" s="103">
        <f>+SALARIOS!C50</f>
        <v>41660</v>
      </c>
      <c r="D35" s="104">
        <f>+SALARIOS!C48</f>
        <v>1.7846558312967005</v>
      </c>
      <c r="E35" s="69">
        <f>+C35*D35</f>
        <v>74348.76193182054</v>
      </c>
      <c r="F35" s="69">
        <v>12</v>
      </c>
      <c r="G35" s="105">
        <f>+E35/F35</f>
        <v>6195.7301609850447</v>
      </c>
      <c r="H35" s="72"/>
      <c r="J35" s="26">
        <f>J34/13</f>
        <v>9229.6908345953671</v>
      </c>
    </row>
    <row r="36" spans="1:10">
      <c r="A36" s="83"/>
      <c r="B36" s="84"/>
      <c r="C36" s="103"/>
      <c r="D36" s="104"/>
      <c r="E36" s="69"/>
      <c r="F36" s="69"/>
      <c r="G36" s="105"/>
      <c r="H36" s="72"/>
    </row>
    <row r="37" spans="1:10" ht="15.75" thickBot="1">
      <c r="A37" s="100"/>
      <c r="B37" s="106"/>
      <c r="C37" s="77"/>
      <c r="D37" s="91"/>
      <c r="E37" s="143"/>
      <c r="F37" s="91"/>
      <c r="G37" s="90"/>
      <c r="H37" s="80"/>
    </row>
    <row r="38" spans="1:10" ht="15.75" thickBot="1">
      <c r="A38" s="61"/>
      <c r="B38" s="61"/>
      <c r="C38" s="61"/>
      <c r="D38" s="61"/>
      <c r="E38" s="61"/>
      <c r="F38" s="61"/>
      <c r="G38" s="81" t="s">
        <v>491</v>
      </c>
      <c r="H38" s="82">
        <f>SUM(G34:G37)</f>
        <v>9998.8317374783128</v>
      </c>
    </row>
    <row r="39" spans="1:10" ht="15.75" thickBot="1">
      <c r="A39" s="61"/>
      <c r="B39" s="61"/>
      <c r="C39" s="61"/>
      <c r="D39" s="61"/>
      <c r="E39" s="61"/>
      <c r="F39" s="61"/>
      <c r="G39" s="107"/>
      <c r="H39" s="58"/>
    </row>
    <row r="40" spans="1:10" ht="15.75" thickBot="1">
      <c r="A40" s="61"/>
      <c r="B40" s="61"/>
      <c r="C40" s="61"/>
      <c r="D40" s="61"/>
      <c r="E40" s="81" t="s">
        <v>508</v>
      </c>
      <c r="F40" s="107"/>
      <c r="G40" s="107"/>
      <c r="H40" s="82">
        <f>H18+H25+H31+H38</f>
        <v>10998.714911226143</v>
      </c>
    </row>
    <row r="41" spans="1:10" ht="15.75" thickBot="1">
      <c r="A41" s="63" t="s">
        <v>509</v>
      </c>
      <c r="B41" s="63"/>
      <c r="C41" s="61"/>
      <c r="D41" s="61"/>
      <c r="E41" s="61"/>
      <c r="F41" s="61"/>
      <c r="G41" s="61"/>
      <c r="H41" s="61"/>
    </row>
    <row r="42" spans="1:10">
      <c r="A42" s="233" t="s">
        <v>485</v>
      </c>
      <c r="B42" s="229"/>
      <c r="C42" s="229"/>
      <c r="D42" s="229"/>
      <c r="E42" s="230"/>
      <c r="F42" s="230" t="s">
        <v>510</v>
      </c>
      <c r="G42" s="229" t="s">
        <v>511</v>
      </c>
      <c r="H42" s="67"/>
    </row>
    <row r="43" spans="1:10">
      <c r="A43" s="83" t="s">
        <v>512</v>
      </c>
      <c r="B43" s="84"/>
      <c r="C43" s="84"/>
      <c r="D43" s="84"/>
      <c r="E43" s="85"/>
      <c r="F43" s="115">
        <f>+SALARIOS!C45</f>
        <v>0.15</v>
      </c>
      <c r="G43" s="116">
        <f>++F43*H40</f>
        <v>1649.8072366839215</v>
      </c>
      <c r="H43" s="117"/>
    </row>
    <row r="44" spans="1:10">
      <c r="A44" s="83" t="s">
        <v>513</v>
      </c>
      <c r="B44" s="84"/>
      <c r="C44" s="84"/>
      <c r="D44" s="84"/>
      <c r="E44" s="85"/>
      <c r="F44" s="115">
        <f>+SALARIOS!C46</f>
        <v>0.05</v>
      </c>
      <c r="G44" s="116">
        <f>+F44*H40</f>
        <v>549.93574556130716</v>
      </c>
      <c r="H44" s="117"/>
    </row>
    <row r="45" spans="1:10" ht="15.75" thickBot="1">
      <c r="A45" s="89" t="s">
        <v>514</v>
      </c>
      <c r="B45" s="90"/>
      <c r="C45" s="90"/>
      <c r="D45" s="90"/>
      <c r="E45" s="91"/>
      <c r="F45" s="118">
        <f>+SALARIOS!C47</f>
        <v>0.05</v>
      </c>
      <c r="G45" s="119">
        <f>+F45*H40</f>
        <v>549.93574556130716</v>
      </c>
      <c r="H45" s="80"/>
    </row>
    <row r="46" spans="1:10" ht="15.75" thickBot="1">
      <c r="A46" s="61"/>
      <c r="B46" s="61"/>
      <c r="C46" s="61"/>
      <c r="D46" s="61"/>
      <c r="E46" s="61"/>
      <c r="F46" s="61"/>
      <c r="G46" s="81" t="s">
        <v>491</v>
      </c>
      <c r="H46" s="120">
        <f>SUM(G43:G45)</f>
        <v>2749.6787278065358</v>
      </c>
    </row>
    <row r="47" spans="1:10" ht="15.75" thickBot="1">
      <c r="A47" s="61"/>
      <c r="B47" s="61"/>
      <c r="C47" s="61"/>
      <c r="D47" s="61"/>
      <c r="E47" s="61"/>
      <c r="F47" s="61"/>
      <c r="G47" s="61"/>
      <c r="H47" s="61"/>
    </row>
    <row r="48" spans="1:10" ht="15.75" thickBot="1">
      <c r="A48" s="16"/>
      <c r="B48" s="16"/>
      <c r="C48" s="61"/>
      <c r="D48" s="81" t="s">
        <v>515</v>
      </c>
      <c r="E48" s="107"/>
      <c r="F48" s="107"/>
      <c r="G48" s="107"/>
      <c r="H48" s="82">
        <f>ROUND((H40+H46),0)</f>
        <v>13748</v>
      </c>
    </row>
  </sheetData>
  <mergeCells count="1">
    <mergeCell ref="A3:C4"/>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topLeftCell="A4"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841</v>
      </c>
      <c r="H7" s="61"/>
    </row>
    <row r="8" spans="1:8">
      <c r="A8" s="60" t="s">
        <v>1878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1499.8247606217471</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1499.8247606217471</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697</v>
      </c>
      <c r="B34" s="84"/>
      <c r="C34" s="103">
        <f>+SALARIOS!C49*1</f>
        <v>25572</v>
      </c>
      <c r="D34" s="104">
        <f>+SALARIOS!C48</f>
        <v>1.7846558312967005</v>
      </c>
      <c r="E34" s="69">
        <f>+C34*D34</f>
        <v>45637.218917919221</v>
      </c>
      <c r="F34" s="69">
        <v>8</v>
      </c>
      <c r="G34" s="105">
        <f>+E34/F34</f>
        <v>5704.6523647399026</v>
      </c>
      <c r="H34" s="72"/>
    </row>
    <row r="35" spans="1:8">
      <c r="A35" s="83" t="s">
        <v>624</v>
      </c>
      <c r="B35" s="84"/>
      <c r="C35" s="103">
        <f>+SALARIOS!C50</f>
        <v>41660</v>
      </c>
      <c r="D35" s="104">
        <f>+SALARIOS!C48</f>
        <v>1.7846558312967005</v>
      </c>
      <c r="E35" s="69">
        <f>+C35*D35</f>
        <v>74348.76193182054</v>
      </c>
      <c r="F35" s="69">
        <v>8</v>
      </c>
      <c r="G35" s="105">
        <f>+E35/F35</f>
        <v>9293.5952414775675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14998.24760621747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16498.072366839217</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2474.7108550258822</v>
      </c>
      <c r="H43" s="117"/>
    </row>
    <row r="44" spans="1:8">
      <c r="A44" s="83" t="s">
        <v>513</v>
      </c>
      <c r="B44" s="84"/>
      <c r="C44" s="84"/>
      <c r="D44" s="84"/>
      <c r="E44" s="85"/>
      <c r="F44" s="115">
        <f>+SALARIOS!C46</f>
        <v>0.05</v>
      </c>
      <c r="G44" s="116">
        <f>+F44*H40</f>
        <v>824.90361834196085</v>
      </c>
      <c r="H44" s="117"/>
    </row>
    <row r="45" spans="1:8" ht="15.75" thickBot="1">
      <c r="A45" s="89" t="s">
        <v>514</v>
      </c>
      <c r="B45" s="90"/>
      <c r="C45" s="90"/>
      <c r="D45" s="90"/>
      <c r="E45" s="91"/>
      <c r="F45" s="118">
        <f>+SALARIOS!C47</f>
        <v>0.05</v>
      </c>
      <c r="G45" s="119">
        <f>+F45*H40</f>
        <v>824.90361834196085</v>
      </c>
      <c r="H45" s="80"/>
    </row>
    <row r="46" spans="1:8" ht="15.75" thickBot="1">
      <c r="A46" s="61"/>
      <c r="B46" s="61"/>
      <c r="C46" s="61"/>
      <c r="D46" s="61"/>
      <c r="E46" s="61"/>
      <c r="F46" s="61"/>
      <c r="G46" s="81" t="s">
        <v>491</v>
      </c>
      <c r="H46" s="120">
        <f>SUM(G43:G45)</f>
        <v>4124.5180917098041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20623</v>
      </c>
    </row>
  </sheetData>
  <mergeCells count="1">
    <mergeCell ref="A3:C4"/>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843</v>
      </c>
      <c r="H7" s="61"/>
    </row>
    <row r="8" spans="1:8">
      <c r="A8" s="60" t="s">
        <v>1879</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1599.8130779965302</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1599.8130779965302</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697</v>
      </c>
      <c r="B34" s="84"/>
      <c r="C34" s="103">
        <f>+SALARIOS!C49*1</f>
        <v>25572</v>
      </c>
      <c r="D34" s="104">
        <f>+SALARIOS!C48</f>
        <v>1.7846558312967005</v>
      </c>
      <c r="E34" s="69">
        <f>+C34*D34</f>
        <v>45637.218917919221</v>
      </c>
      <c r="F34" s="69">
        <v>7.5</v>
      </c>
      <c r="G34" s="105">
        <f>+E34/F34</f>
        <v>6084.9625223892299</v>
      </c>
      <c r="H34" s="72"/>
    </row>
    <row r="35" spans="1:8">
      <c r="A35" s="83" t="s">
        <v>624</v>
      </c>
      <c r="B35" s="84"/>
      <c r="C35" s="103">
        <f>+SALARIOS!C50</f>
        <v>41660</v>
      </c>
      <c r="D35" s="104">
        <f>+SALARIOS!C48</f>
        <v>1.7846558312967005</v>
      </c>
      <c r="E35" s="69">
        <f>+C35*D35</f>
        <v>74348.76193182054</v>
      </c>
      <c r="F35" s="69">
        <v>7.5</v>
      </c>
      <c r="G35" s="105">
        <f>+E35/F35</f>
        <v>9913.1682575760715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15998.1307799653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17597.943857961829</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2639.6915786942741</v>
      </c>
      <c r="H43" s="117"/>
    </row>
    <row r="44" spans="1:8">
      <c r="A44" s="83" t="s">
        <v>513</v>
      </c>
      <c r="B44" s="84"/>
      <c r="C44" s="84"/>
      <c r="D44" s="84"/>
      <c r="E44" s="85"/>
      <c r="F44" s="115">
        <f>+SALARIOS!C46</f>
        <v>0.05</v>
      </c>
      <c r="G44" s="116">
        <f>+F44*H40</f>
        <v>879.89719289809148</v>
      </c>
      <c r="H44" s="117"/>
    </row>
    <row r="45" spans="1:8" ht="15.75" thickBot="1">
      <c r="A45" s="89" t="s">
        <v>514</v>
      </c>
      <c r="B45" s="90"/>
      <c r="C45" s="90"/>
      <c r="D45" s="90"/>
      <c r="E45" s="91"/>
      <c r="F45" s="118">
        <f>+SALARIOS!C47</f>
        <v>0.05</v>
      </c>
      <c r="G45" s="119">
        <f>+F45*H40</f>
        <v>879.89719289809148</v>
      </c>
      <c r="H45" s="80"/>
    </row>
    <row r="46" spans="1:8" ht="15.75" thickBot="1">
      <c r="A46" s="61"/>
      <c r="B46" s="61"/>
      <c r="C46" s="61"/>
      <c r="D46" s="61"/>
      <c r="E46" s="61"/>
      <c r="F46" s="61"/>
      <c r="G46" s="81" t="s">
        <v>491</v>
      </c>
      <c r="H46" s="120">
        <f>SUM(G43:G45)</f>
        <v>4399.4859644904573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21997</v>
      </c>
    </row>
  </sheetData>
  <mergeCells count="1">
    <mergeCell ref="A3:C4"/>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844</v>
      </c>
      <c r="H7" s="61"/>
    </row>
    <row r="8" spans="1:8">
      <c r="A8" s="60" t="s">
        <v>1877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1845.9381669190732</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1845.9381669190732</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t="s">
        <v>845</v>
      </c>
      <c r="B21" s="84"/>
      <c r="C21" s="85"/>
      <c r="D21" s="141" t="s">
        <v>1</v>
      </c>
      <c r="E21" s="139"/>
      <c r="F21" s="163">
        <v>1</v>
      </c>
      <c r="G21" s="137">
        <f>+E21*F21</f>
        <v>0</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697</v>
      </c>
      <c r="B34" s="84"/>
      <c r="C34" s="103">
        <f>+SALARIOS!C49*1</f>
        <v>25572</v>
      </c>
      <c r="D34" s="104">
        <f>+SALARIOS!C48</f>
        <v>1.7846558312967005</v>
      </c>
      <c r="E34" s="69">
        <f>+C34*D34</f>
        <v>45637.218917919221</v>
      </c>
      <c r="F34" s="69">
        <v>6.5</v>
      </c>
      <c r="G34" s="105">
        <f>+E34/F34</f>
        <v>7021.110602756803</v>
      </c>
      <c r="H34" s="72"/>
    </row>
    <row r="35" spans="1:8">
      <c r="A35" s="83" t="s">
        <v>624</v>
      </c>
      <c r="B35" s="84"/>
      <c r="C35" s="103">
        <f>+SALARIOS!C50</f>
        <v>41660</v>
      </c>
      <c r="D35" s="104">
        <f>+SALARIOS!C48</f>
        <v>1.7846558312967005</v>
      </c>
      <c r="E35" s="69">
        <f>+C35*D35</f>
        <v>74348.76193182054</v>
      </c>
      <c r="F35" s="69">
        <v>6.5</v>
      </c>
      <c r="G35" s="105">
        <f>+E35/F35</f>
        <v>11438.271066433928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18459.38166919073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20305.319836109804</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3045.7979754164703</v>
      </c>
      <c r="H43" s="117"/>
    </row>
    <row r="44" spans="1:8">
      <c r="A44" s="83" t="s">
        <v>513</v>
      </c>
      <c r="B44" s="84"/>
      <c r="C44" s="84"/>
      <c r="D44" s="84"/>
      <c r="E44" s="85"/>
      <c r="F44" s="115">
        <f>+SALARIOS!C46</f>
        <v>0.05</v>
      </c>
      <c r="G44" s="116">
        <f>+F44*H40</f>
        <v>1015.2659918054902</v>
      </c>
      <c r="H44" s="117"/>
    </row>
    <row r="45" spans="1:8" ht="15.75" thickBot="1">
      <c r="A45" s="89" t="s">
        <v>514</v>
      </c>
      <c r="B45" s="90"/>
      <c r="C45" s="90"/>
      <c r="D45" s="90"/>
      <c r="E45" s="91"/>
      <c r="F45" s="118">
        <f>+SALARIOS!C47</f>
        <v>0.05</v>
      </c>
      <c r="G45" s="119">
        <f>+F45*H40</f>
        <v>1015.2659918054902</v>
      </c>
      <c r="H45" s="80"/>
    </row>
    <row r="46" spans="1:8" ht="15.75" thickBot="1">
      <c r="A46" s="61"/>
      <c r="B46" s="61"/>
      <c r="C46" s="61"/>
      <c r="D46" s="61"/>
      <c r="E46" s="61"/>
      <c r="F46" s="61"/>
      <c r="G46" s="81" t="s">
        <v>491</v>
      </c>
      <c r="H46" s="120">
        <f>SUM(G43:G45)</f>
        <v>5076.329959027451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25382</v>
      </c>
    </row>
  </sheetData>
  <mergeCells count="1">
    <mergeCell ref="A3:C4"/>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783" t="s">
        <v>520</v>
      </c>
      <c r="B5" s="784"/>
      <c r="C5" s="785"/>
      <c r="D5" s="771"/>
      <c r="E5" s="772"/>
      <c r="F5" s="772"/>
      <c r="G5" s="772"/>
      <c r="H5" s="773"/>
    </row>
    <row r="6" spans="1:8">
      <c r="A6" s="60"/>
      <c r="B6" s="61"/>
      <c r="C6" s="61"/>
      <c r="D6" s="61"/>
      <c r="E6" s="61"/>
      <c r="F6" s="61"/>
      <c r="G6" s="61"/>
      <c r="H6" s="61"/>
    </row>
    <row r="7" spans="1:8">
      <c r="A7" s="60" t="s">
        <v>834</v>
      </c>
      <c r="B7" s="62"/>
      <c r="C7" s="61"/>
      <c r="D7" s="16"/>
      <c r="E7" s="62"/>
      <c r="F7" s="16"/>
      <c r="G7" s="62" t="s">
        <v>844</v>
      </c>
      <c r="H7" s="61"/>
    </row>
    <row r="8" spans="1:8">
      <c r="A8" s="60" t="s">
        <v>1854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774" t="s">
        <v>485</v>
      </c>
      <c r="B11" s="775"/>
      <c r="C11" s="776"/>
      <c r="D11" s="776" t="s">
        <v>486</v>
      </c>
      <c r="E11" s="65" t="s">
        <v>487</v>
      </c>
      <c r="F11" s="776" t="s">
        <v>488</v>
      </c>
      <c r="G11" s="775" t="s">
        <v>489</v>
      </c>
      <c r="H11" s="67"/>
    </row>
    <row r="12" spans="1:8">
      <c r="A12" s="175" t="s">
        <v>1327</v>
      </c>
      <c r="B12" s="790"/>
      <c r="C12" s="791"/>
      <c r="D12" s="68"/>
      <c r="E12" s="86"/>
      <c r="F12" s="161"/>
      <c r="G12" s="71">
        <f>H38*10%</f>
        <v>2417.444012738034</v>
      </c>
      <c r="H12" s="72"/>
    </row>
    <row r="13" spans="1:8">
      <c r="A13" s="175"/>
      <c r="B13" s="176"/>
      <c r="C13" s="174"/>
      <c r="D13" s="174"/>
      <c r="E13" s="173"/>
      <c r="F13" s="69"/>
      <c r="G13" s="173"/>
      <c r="H13" s="72"/>
    </row>
    <row r="14" spans="1:8">
      <c r="A14" s="777"/>
      <c r="B14" s="778"/>
      <c r="C14" s="779"/>
      <c r="D14" s="73"/>
      <c r="E14" s="74"/>
      <c r="F14" s="69"/>
      <c r="G14" s="71"/>
      <c r="H14" s="72"/>
    </row>
    <row r="15" spans="1:8">
      <c r="A15" s="777"/>
      <c r="B15" s="778"/>
      <c r="C15" s="779"/>
      <c r="D15" s="73"/>
      <c r="E15" s="74"/>
      <c r="F15" s="69"/>
      <c r="G15" s="71"/>
      <c r="H15" s="72"/>
    </row>
    <row r="16" spans="1:8">
      <c r="A16" s="777"/>
      <c r="B16" s="778"/>
      <c r="C16" s="779"/>
      <c r="D16" s="73"/>
      <c r="E16" s="74"/>
      <c r="F16" s="69"/>
      <c r="G16" s="71"/>
      <c r="H16" s="72"/>
    </row>
    <row r="17" spans="1:8" ht="15.75" thickBot="1">
      <c r="A17" s="780"/>
      <c r="B17" s="781"/>
      <c r="C17" s="782"/>
      <c r="D17" s="76"/>
      <c r="E17" s="77"/>
      <c r="F17" s="78"/>
      <c r="G17" s="79"/>
      <c r="H17" s="80"/>
    </row>
    <row r="18" spans="1:8" ht="15.75" thickBot="1">
      <c r="A18" s="61"/>
      <c r="B18" s="61"/>
      <c r="C18" s="61"/>
      <c r="D18" s="61"/>
      <c r="E18" s="61"/>
      <c r="F18" s="61"/>
      <c r="G18" s="81" t="s">
        <v>491</v>
      </c>
      <c r="H18" s="82">
        <f>SUM(G12:G17)</f>
        <v>2417.444012738034</v>
      </c>
    </row>
    <row r="19" spans="1:8" ht="15.75" thickBot="1">
      <c r="A19" s="63" t="s">
        <v>492</v>
      </c>
      <c r="B19" s="63"/>
      <c r="C19" s="61"/>
      <c r="D19" s="61"/>
      <c r="E19" s="61"/>
      <c r="F19" s="61"/>
      <c r="G19" s="61"/>
      <c r="H19" s="61"/>
    </row>
    <row r="20" spans="1:8">
      <c r="A20" s="786" t="s">
        <v>485</v>
      </c>
      <c r="B20" s="787"/>
      <c r="C20" s="788"/>
      <c r="D20" s="788" t="s">
        <v>493</v>
      </c>
      <c r="E20" s="788" t="s">
        <v>494</v>
      </c>
      <c r="F20" s="788" t="s">
        <v>495</v>
      </c>
      <c r="G20" s="787"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774" t="s">
        <v>497</v>
      </c>
      <c r="B27" s="776"/>
      <c r="C27" s="93" t="s">
        <v>498</v>
      </c>
      <c r="D27" s="776" t="s">
        <v>499</v>
      </c>
      <c r="E27" s="776" t="s">
        <v>500</v>
      </c>
      <c r="F27" s="776"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774" t="s">
        <v>503</v>
      </c>
      <c r="B33" s="776"/>
      <c r="C33" s="776" t="s">
        <v>504</v>
      </c>
      <c r="D33" s="776" t="s">
        <v>505</v>
      </c>
      <c r="E33" s="124" t="s">
        <v>506</v>
      </c>
      <c r="F33" s="102" t="s">
        <v>488</v>
      </c>
      <c r="G33" s="775" t="s">
        <v>489</v>
      </c>
      <c r="H33" s="67"/>
    </row>
    <row r="34" spans="1:8">
      <c r="A34" s="83" t="s">
        <v>697</v>
      </c>
      <c r="B34" s="84"/>
      <c r="C34" s="103">
        <f>+SALARIOS!C49*1</f>
        <v>25572</v>
      </c>
      <c r="D34" s="104">
        <f>+SALARIOS!C48</f>
        <v>1.7846558312967005</v>
      </c>
      <c r="E34" s="69">
        <f>+C34*D34</f>
        <v>45637.218917919221</v>
      </c>
      <c r="F34" s="69">
        <v>3.583276784371451</v>
      </c>
      <c r="G34" s="105">
        <f>+E34/F34</f>
        <v>12736.169060946411</v>
      </c>
      <c r="H34" s="72"/>
    </row>
    <row r="35" spans="1:8">
      <c r="A35" s="83" t="s">
        <v>624</v>
      </c>
      <c r="B35" s="84"/>
      <c r="C35" s="103">
        <f>+SALARIOS!C50</f>
        <v>41660</v>
      </c>
      <c r="D35" s="104">
        <f>+SALARIOS!C48</f>
        <v>1.7846558312967005</v>
      </c>
      <c r="E35" s="69">
        <f>+C35*D35</f>
        <v>74348.76193182054</v>
      </c>
      <c r="F35" s="69">
        <v>6.5</v>
      </c>
      <c r="G35" s="105">
        <f>+E35/F35</f>
        <v>11438.271066433928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24174.440127380338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26591.884140118371</v>
      </c>
    </row>
    <row r="41" spans="1:8" ht="15.75" thickBot="1">
      <c r="A41" s="63" t="s">
        <v>509</v>
      </c>
      <c r="B41" s="63"/>
      <c r="C41" s="61"/>
      <c r="D41" s="61"/>
      <c r="E41" s="61"/>
      <c r="F41" s="61"/>
      <c r="G41" s="61"/>
      <c r="H41" s="61"/>
    </row>
    <row r="42" spans="1:8">
      <c r="A42" s="233" t="s">
        <v>485</v>
      </c>
      <c r="B42" s="787"/>
      <c r="C42" s="787"/>
      <c r="D42" s="787"/>
      <c r="E42" s="788"/>
      <c r="F42" s="788" t="s">
        <v>510</v>
      </c>
      <c r="G42" s="787" t="s">
        <v>511</v>
      </c>
      <c r="H42" s="67"/>
    </row>
    <row r="43" spans="1:8">
      <c r="A43" s="83" t="s">
        <v>512</v>
      </c>
      <c r="B43" s="84"/>
      <c r="C43" s="84"/>
      <c r="D43" s="84"/>
      <c r="E43" s="85"/>
      <c r="F43" s="115">
        <f>+SALARIOS!C45</f>
        <v>0.15</v>
      </c>
      <c r="G43" s="116">
        <f>++F43*H40</f>
        <v>3988.7826210177554</v>
      </c>
      <c r="H43" s="117"/>
    </row>
    <row r="44" spans="1:8">
      <c r="A44" s="83" t="s">
        <v>513</v>
      </c>
      <c r="B44" s="84"/>
      <c r="C44" s="84"/>
      <c r="D44" s="84"/>
      <c r="E44" s="85"/>
      <c r="F44" s="115">
        <f>+SALARIOS!C46</f>
        <v>0.05</v>
      </c>
      <c r="G44" s="116">
        <f>+F44*H40</f>
        <v>1329.5942070059186</v>
      </c>
      <c r="H44" s="117"/>
    </row>
    <row r="45" spans="1:8" ht="15.75" thickBot="1">
      <c r="A45" s="89" t="s">
        <v>514</v>
      </c>
      <c r="B45" s="90"/>
      <c r="C45" s="90"/>
      <c r="D45" s="90"/>
      <c r="E45" s="91"/>
      <c r="F45" s="118">
        <f>+SALARIOS!C47</f>
        <v>0.05</v>
      </c>
      <c r="G45" s="119">
        <f>+F45*H40</f>
        <v>1329.5942070059186</v>
      </c>
      <c r="H45" s="80"/>
    </row>
    <row r="46" spans="1:8" ht="15.75" thickBot="1">
      <c r="A46" s="61"/>
      <c r="B46" s="61"/>
      <c r="C46" s="61"/>
      <c r="D46" s="61"/>
      <c r="E46" s="61"/>
      <c r="F46" s="61"/>
      <c r="G46" s="81" t="s">
        <v>491</v>
      </c>
      <c r="H46" s="120">
        <f>SUM(G43:G45)</f>
        <v>6647.9710350295936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33240</v>
      </c>
    </row>
  </sheetData>
  <mergeCells count="1">
    <mergeCell ref="A3:C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7"/>
  <sheetViews>
    <sheetView topLeftCell="A31" workbookViewId="0"/>
  </sheetViews>
  <sheetFormatPr baseColWidth="10" defaultRowHeight="15"/>
  <sheetData>
    <row r="1" spans="1:8" ht="15.75" thickBot="1">
      <c r="A1" s="16"/>
      <c r="B1" s="16"/>
      <c r="C1" s="16"/>
      <c r="D1" s="16"/>
      <c r="E1" s="16"/>
      <c r="F1" s="16"/>
      <c r="G1" s="16"/>
      <c r="H1" s="16"/>
    </row>
    <row r="2" spans="1:8">
      <c r="A2" s="1445" t="s">
        <v>519</v>
      </c>
      <c r="B2" s="1446"/>
      <c r="C2" s="1447"/>
      <c r="D2" s="55"/>
      <c r="E2" s="56"/>
      <c r="F2" s="55"/>
      <c r="G2" s="55"/>
      <c r="H2" s="57"/>
    </row>
    <row r="3" spans="1:8">
      <c r="A3" s="1448"/>
      <c r="B3" s="1449"/>
      <c r="C3" s="1450"/>
      <c r="D3" s="58"/>
      <c r="E3" s="51" t="s">
        <v>483</v>
      </c>
      <c r="F3" s="58"/>
      <c r="G3" s="58"/>
      <c r="H3" s="59"/>
    </row>
    <row r="4" spans="1:8" ht="15.75" thickBot="1">
      <c r="A4" s="1451" t="s">
        <v>520</v>
      </c>
      <c r="B4" s="1452"/>
      <c r="C4" s="1453"/>
      <c r="D4" s="1457"/>
      <c r="E4" s="1458"/>
      <c r="F4" s="1458"/>
      <c r="G4" s="1458"/>
      <c r="H4" s="1459"/>
    </row>
    <row r="5" spans="1:8">
      <c r="A5" s="60"/>
      <c r="B5" s="61"/>
      <c r="C5" s="61"/>
      <c r="D5" s="61"/>
      <c r="E5" s="61"/>
      <c r="F5" s="61"/>
      <c r="G5" s="61"/>
      <c r="H5" s="61"/>
    </row>
    <row r="6" spans="1:8">
      <c r="A6" s="60" t="s">
        <v>521</v>
      </c>
      <c r="B6" s="62"/>
      <c r="C6" s="61"/>
      <c r="D6" s="16"/>
      <c r="E6" s="62"/>
      <c r="F6" s="16"/>
      <c r="G6" s="62" t="s">
        <v>542</v>
      </c>
      <c r="H6" s="61"/>
    </row>
    <row r="7" spans="1:8">
      <c r="A7" s="60" t="s">
        <v>540</v>
      </c>
      <c r="B7" s="62"/>
      <c r="C7" s="61"/>
      <c r="D7" s="62"/>
      <c r="E7" s="62"/>
      <c r="F7" s="62"/>
      <c r="G7" s="62" t="s">
        <v>537</v>
      </c>
      <c r="H7" s="61"/>
    </row>
    <row r="8" spans="1:8">
      <c r="A8" s="62"/>
      <c r="B8" s="62"/>
      <c r="C8" s="61"/>
      <c r="D8" s="62"/>
      <c r="E8" s="62"/>
      <c r="F8" s="62"/>
      <c r="G8" s="62"/>
      <c r="H8" s="61"/>
    </row>
    <row r="9" spans="1:8" ht="15.75" thickBot="1">
      <c r="A9" s="63" t="s">
        <v>484</v>
      </c>
      <c r="B9" s="63"/>
      <c r="C9" s="61"/>
      <c r="D9" s="61"/>
      <c r="E9" s="61"/>
      <c r="F9" s="61"/>
      <c r="G9" s="61"/>
      <c r="H9" s="61"/>
    </row>
    <row r="10" spans="1:8">
      <c r="A10" s="1454" t="s">
        <v>485</v>
      </c>
      <c r="B10" s="1455"/>
      <c r="C10" s="1456"/>
      <c r="D10" s="151" t="s">
        <v>486</v>
      </c>
      <c r="E10" s="65" t="s">
        <v>487</v>
      </c>
      <c r="F10" s="151" t="s">
        <v>488</v>
      </c>
      <c r="G10" s="150" t="s">
        <v>489</v>
      </c>
      <c r="H10" s="67"/>
    </row>
    <row r="11" spans="1:8">
      <c r="A11" s="1460" t="s">
        <v>14</v>
      </c>
      <c r="B11" s="1461"/>
      <c r="C11" s="1462"/>
      <c r="D11" s="68"/>
      <c r="E11" s="69">
        <f>'EQUIPOS '!D10</f>
        <v>87000</v>
      </c>
      <c r="F11" s="69">
        <v>16.5</v>
      </c>
      <c r="G11" s="71">
        <f>+E11/F11</f>
        <v>5272.727272727273</v>
      </c>
      <c r="H11" s="72"/>
    </row>
    <row r="12" spans="1:8">
      <c r="A12" s="1463"/>
      <c r="B12" s="1464"/>
      <c r="C12" s="1465"/>
      <c r="D12" s="73"/>
      <c r="E12" s="74"/>
      <c r="F12" s="75"/>
      <c r="G12" s="71"/>
      <c r="H12" s="72"/>
    </row>
    <row r="13" spans="1:8">
      <c r="A13" s="1463"/>
      <c r="B13" s="1464"/>
      <c r="C13" s="1465"/>
      <c r="D13" s="73"/>
      <c r="E13" s="74"/>
      <c r="F13" s="69"/>
      <c r="G13" s="71"/>
      <c r="H13" s="72"/>
    </row>
    <row r="14" spans="1:8">
      <c r="A14" s="1463"/>
      <c r="B14" s="1464"/>
      <c r="C14" s="1465"/>
      <c r="D14" s="73"/>
      <c r="E14" s="74"/>
      <c r="F14" s="69"/>
      <c r="G14" s="71"/>
      <c r="H14" s="72"/>
    </row>
    <row r="15" spans="1:8">
      <c r="A15" s="1463"/>
      <c r="B15" s="1464"/>
      <c r="C15" s="1465"/>
      <c r="D15" s="73"/>
      <c r="E15" s="74"/>
      <c r="F15" s="69"/>
      <c r="G15" s="71"/>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SUM(G11:G16)</f>
        <v>5272.727272727273</v>
      </c>
    </row>
    <row r="18" spans="1:8" ht="15.75" thickBot="1">
      <c r="A18" s="63" t="s">
        <v>492</v>
      </c>
      <c r="B18" s="63"/>
      <c r="C18" s="61"/>
      <c r="D18" s="61"/>
      <c r="E18" s="61"/>
      <c r="F18" s="61"/>
      <c r="G18" s="61"/>
      <c r="H18" s="61"/>
    </row>
    <row r="19" spans="1:8">
      <c r="A19" s="1472" t="s">
        <v>485</v>
      </c>
      <c r="B19" s="1473"/>
      <c r="C19" s="1474"/>
      <c r="D19" s="153" t="s">
        <v>493</v>
      </c>
      <c r="E19" s="153" t="s">
        <v>494</v>
      </c>
      <c r="F19" s="153" t="s">
        <v>495</v>
      </c>
      <c r="G19" s="152" t="s">
        <v>489</v>
      </c>
      <c r="H19" s="67"/>
    </row>
    <row r="20" spans="1:8" ht="24.75" customHeight="1">
      <c r="A20" s="1478" t="s">
        <v>374</v>
      </c>
      <c r="B20" s="1470"/>
      <c r="C20" s="1471"/>
      <c r="D20" s="68" t="s">
        <v>19</v>
      </c>
      <c r="E20" s="142">
        <f>MATERIALES!D67</f>
        <v>3000</v>
      </c>
      <c r="F20" s="156">
        <v>1</v>
      </c>
      <c r="G20" s="71">
        <f>E20*F20</f>
        <v>3000</v>
      </c>
      <c r="H20" s="72"/>
    </row>
    <row r="21" spans="1:8">
      <c r="A21" s="134"/>
      <c r="B21" s="129"/>
      <c r="C21" s="129"/>
      <c r="D21" s="135"/>
      <c r="E21" s="140"/>
      <c r="F21" s="136"/>
      <c r="G21" s="155"/>
      <c r="H21" s="72"/>
    </row>
    <row r="22" spans="1:8">
      <c r="A22" s="128"/>
      <c r="B22" s="129"/>
      <c r="C22" s="130"/>
      <c r="D22" s="131"/>
      <c r="E22" s="132"/>
      <c r="F22" s="133"/>
      <c r="G22" s="155"/>
      <c r="H22" s="72"/>
    </row>
    <row r="23" spans="1:8" ht="15.75" thickBot="1">
      <c r="A23" s="89"/>
      <c r="B23" s="90"/>
      <c r="C23" s="91"/>
      <c r="D23" s="76"/>
      <c r="E23" s="77"/>
      <c r="F23" s="78"/>
      <c r="G23" s="79"/>
      <c r="H23" s="80"/>
    </row>
    <row r="24" spans="1:8" ht="15.75" thickBot="1">
      <c r="A24" s="61"/>
      <c r="B24" s="61"/>
      <c r="C24" s="61"/>
      <c r="D24" s="61"/>
      <c r="E24" s="61"/>
      <c r="F24" s="61"/>
      <c r="G24" s="81" t="s">
        <v>491</v>
      </c>
      <c r="H24" s="82">
        <f>SUM(G20:G23)</f>
        <v>3000</v>
      </c>
    </row>
    <row r="25" spans="1:8" ht="15.75" thickBot="1">
      <c r="A25" s="92" t="s">
        <v>496</v>
      </c>
      <c r="B25" s="92"/>
      <c r="C25" s="90"/>
      <c r="D25" s="61"/>
      <c r="E25" s="61"/>
      <c r="F25" s="61"/>
      <c r="G25" s="61"/>
      <c r="H25" s="61"/>
    </row>
    <row r="26" spans="1:8">
      <c r="A26" s="1454" t="s">
        <v>497</v>
      </c>
      <c r="B26" s="1456"/>
      <c r="C26" s="93" t="s">
        <v>498</v>
      </c>
      <c r="D26" s="151" t="s">
        <v>499</v>
      </c>
      <c r="E26" s="151" t="s">
        <v>500</v>
      </c>
      <c r="F26" s="151" t="s">
        <v>501</v>
      </c>
      <c r="G26" s="94" t="s">
        <v>489</v>
      </c>
      <c r="H26" s="67"/>
    </row>
    <row r="27" spans="1:8">
      <c r="A27" s="83" t="s">
        <v>15</v>
      </c>
      <c r="B27" s="84"/>
      <c r="C27" s="95"/>
      <c r="D27" s="96">
        <v>16</v>
      </c>
      <c r="E27" s="96">
        <v>1</v>
      </c>
      <c r="F27" s="97">
        <f>+'EQUIPOS '!D31</f>
        <v>1060</v>
      </c>
      <c r="G27" s="69">
        <f>(D27*E27*F27)</f>
        <v>16960</v>
      </c>
      <c r="H27" s="72"/>
    </row>
    <row r="28" spans="1:8">
      <c r="A28" s="83"/>
      <c r="B28" s="84"/>
      <c r="C28" s="98"/>
      <c r="D28" s="68"/>
      <c r="E28" s="99"/>
      <c r="F28" s="69"/>
      <c r="G28" s="69"/>
      <c r="H28" s="72"/>
    </row>
    <row r="29" spans="1:8" ht="15.75" thickBot="1">
      <c r="A29" s="100"/>
      <c r="B29" s="101"/>
      <c r="C29" s="76"/>
      <c r="D29" s="77"/>
      <c r="E29" s="78"/>
      <c r="F29" s="79"/>
      <c r="G29" s="76"/>
      <c r="H29" s="72"/>
    </row>
    <row r="30" spans="1:8" ht="15.75" thickBot="1">
      <c r="A30" s="61"/>
      <c r="B30" s="61"/>
      <c r="C30" s="61"/>
      <c r="D30" s="61"/>
      <c r="E30" s="61"/>
      <c r="F30" s="61"/>
      <c r="G30" s="81" t="s">
        <v>491</v>
      </c>
      <c r="H30" s="82">
        <f>SUM(G27:G29)</f>
        <v>16960</v>
      </c>
    </row>
    <row r="31" spans="1:8" ht="15.75" thickBot="1">
      <c r="A31" s="92" t="s">
        <v>502</v>
      </c>
      <c r="B31" s="92"/>
      <c r="C31" s="61"/>
      <c r="D31" s="61"/>
      <c r="E31" s="61"/>
      <c r="F31" s="61"/>
      <c r="G31" s="61"/>
      <c r="H31" s="61"/>
    </row>
    <row r="32" spans="1:8">
      <c r="A32" s="1454" t="s">
        <v>503</v>
      </c>
      <c r="B32" s="1456"/>
      <c r="C32" s="151" t="s">
        <v>504</v>
      </c>
      <c r="D32" s="151" t="s">
        <v>505</v>
      </c>
      <c r="E32" s="124" t="s">
        <v>506</v>
      </c>
      <c r="F32" s="102" t="s">
        <v>488</v>
      </c>
      <c r="G32" s="150" t="s">
        <v>489</v>
      </c>
      <c r="H32" s="67"/>
    </row>
    <row r="33" spans="1:8">
      <c r="A33" s="83"/>
      <c r="B33" s="84"/>
      <c r="C33" s="103"/>
      <c r="D33" s="123"/>
      <c r="E33" s="69"/>
      <c r="F33" s="69"/>
      <c r="G33" s="105"/>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91"/>
      <c r="F36" s="91"/>
      <c r="G36" s="90"/>
      <c r="H36" s="80"/>
    </row>
    <row r="37" spans="1:8" ht="15.75" thickBot="1">
      <c r="A37" s="61"/>
      <c r="B37" s="61"/>
      <c r="C37" s="61"/>
      <c r="D37" s="61"/>
      <c r="E37" s="61"/>
      <c r="F37" s="61"/>
      <c r="G37" s="81" t="s">
        <v>491</v>
      </c>
      <c r="H37" s="82">
        <f>SUM(G33:G36)</f>
        <v>0</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25232.727272727272</v>
      </c>
    </row>
    <row r="40" spans="1:8" ht="15.75" thickBot="1">
      <c r="A40" s="63" t="s">
        <v>509</v>
      </c>
      <c r="B40" s="63"/>
      <c r="C40" s="61"/>
      <c r="D40" s="61"/>
      <c r="E40" s="61"/>
      <c r="F40" s="61"/>
      <c r="G40" s="61"/>
      <c r="H40" s="61"/>
    </row>
    <row r="41" spans="1:8">
      <c r="A41" s="110" t="s">
        <v>485</v>
      </c>
      <c r="B41" s="111"/>
      <c r="C41" s="111"/>
      <c r="D41" s="111"/>
      <c r="E41" s="112"/>
      <c r="F41" s="153" t="s">
        <v>510</v>
      </c>
      <c r="G41" s="152" t="s">
        <v>511</v>
      </c>
      <c r="H41" s="67"/>
    </row>
    <row r="42" spans="1:8">
      <c r="A42" s="83" t="s">
        <v>512</v>
      </c>
      <c r="B42" s="84"/>
      <c r="C42" s="84"/>
      <c r="D42" s="84"/>
      <c r="E42" s="85"/>
      <c r="F42" s="115">
        <f>(SALARIOS!C45)</f>
        <v>0.15</v>
      </c>
      <c r="G42" s="116">
        <f>++F42*H39</f>
        <v>3784.9090909090905</v>
      </c>
      <c r="H42" s="117"/>
    </row>
    <row r="43" spans="1:8">
      <c r="A43" s="83" t="s">
        <v>513</v>
      </c>
      <c r="B43" s="84"/>
      <c r="C43" s="84"/>
      <c r="D43" s="84"/>
      <c r="E43" s="85"/>
      <c r="F43" s="115">
        <f>(SALARIOS!C46)</f>
        <v>0.05</v>
      </c>
      <c r="G43" s="116">
        <f>+F43*H39</f>
        <v>1261.6363636363637</v>
      </c>
      <c r="H43" s="117"/>
    </row>
    <row r="44" spans="1:8" ht="15.75" thickBot="1">
      <c r="A44" s="89" t="s">
        <v>514</v>
      </c>
      <c r="B44" s="90"/>
      <c r="C44" s="90"/>
      <c r="D44" s="90"/>
      <c r="E44" s="91"/>
      <c r="F44" s="118">
        <f>(SALARIOS!C47)</f>
        <v>0.05</v>
      </c>
      <c r="G44" s="119">
        <f>+F44*H39</f>
        <v>1261.6363636363637</v>
      </c>
      <c r="H44" s="80"/>
    </row>
    <row r="45" spans="1:8" ht="15.75" thickBot="1">
      <c r="A45" s="61"/>
      <c r="B45" s="61"/>
      <c r="C45" s="61"/>
      <c r="D45" s="61"/>
      <c r="E45" s="61"/>
      <c r="F45" s="61"/>
      <c r="G45" s="81" t="s">
        <v>491</v>
      </c>
      <c r="H45" s="120">
        <f>SUM(G42:G44)</f>
        <v>6308.181818181818</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31541</v>
      </c>
    </row>
  </sheetData>
  <mergeCells count="14">
    <mergeCell ref="A26:B26"/>
    <mergeCell ref="A32:B32"/>
    <mergeCell ref="A13:C13"/>
    <mergeCell ref="A14:C14"/>
    <mergeCell ref="A15:C15"/>
    <mergeCell ref="A16:C16"/>
    <mergeCell ref="A19:C19"/>
    <mergeCell ref="A20:C20"/>
    <mergeCell ref="A12:C12"/>
    <mergeCell ref="A2:C3"/>
    <mergeCell ref="A4:C4"/>
    <mergeCell ref="D4:H4"/>
    <mergeCell ref="A10:C10"/>
    <mergeCell ref="A11:C11"/>
  </mergeCells>
  <pageMargins left="0.7" right="0.7" top="0.75" bottom="0.75" header="0.3" footer="0.3"/>
  <pageSetup paperSize="9" scale="90"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846</v>
      </c>
      <c r="H7" s="61"/>
    </row>
    <row r="8" spans="1:8">
      <c r="A8" s="60" t="s">
        <v>1880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2760.3866627943166</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2760.3866627943166</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6</v>
      </c>
      <c r="G34" s="105">
        <f>+E34/F34</f>
        <v>15212.406305973074</v>
      </c>
      <c r="H34" s="72"/>
    </row>
    <row r="35" spans="1:8">
      <c r="A35" s="83" t="s">
        <v>624</v>
      </c>
      <c r="B35" s="84"/>
      <c r="C35" s="103">
        <f>+SALARIOS!C50</f>
        <v>41660</v>
      </c>
      <c r="D35" s="104">
        <f>+SALARIOS!C48</f>
        <v>1.7846558312967005</v>
      </c>
      <c r="E35" s="69">
        <f>+C35*D35</f>
        <v>74348.76193182054</v>
      </c>
      <c r="F35" s="69">
        <v>6</v>
      </c>
      <c r="G35" s="105">
        <f>+E35/F35</f>
        <v>12391.460321970089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27603.866627943164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30364.253290737481</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4554.6379936106223</v>
      </c>
      <c r="H43" s="117"/>
    </row>
    <row r="44" spans="1:8">
      <c r="A44" s="83" t="s">
        <v>513</v>
      </c>
      <c r="B44" s="84"/>
      <c r="C44" s="84"/>
      <c r="D44" s="84"/>
      <c r="E44" s="85"/>
      <c r="F44" s="115">
        <f>+SALARIOS!C46</f>
        <v>0.05</v>
      </c>
      <c r="G44" s="116">
        <f>+F44*H40</f>
        <v>1518.2126645368742</v>
      </c>
      <c r="H44" s="117"/>
    </row>
    <row r="45" spans="1:8" ht="15.75" thickBot="1">
      <c r="A45" s="89" t="s">
        <v>514</v>
      </c>
      <c r="B45" s="90"/>
      <c r="C45" s="90"/>
      <c r="D45" s="90"/>
      <c r="E45" s="91"/>
      <c r="F45" s="118">
        <f>+SALARIOS!C47</f>
        <v>0.05</v>
      </c>
      <c r="G45" s="119">
        <f>+F45*H40</f>
        <v>1518.2126645368742</v>
      </c>
      <c r="H45" s="80"/>
    </row>
    <row r="46" spans="1:8" ht="15.75" thickBot="1">
      <c r="A46" s="61"/>
      <c r="B46" s="61"/>
      <c r="C46" s="61"/>
      <c r="D46" s="61"/>
      <c r="E46" s="61"/>
      <c r="F46" s="61"/>
      <c r="G46" s="81" t="s">
        <v>491</v>
      </c>
      <c r="H46" s="120">
        <f>SUM(G43:G45)</f>
        <v>7591.0633226843711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37955</v>
      </c>
    </row>
  </sheetData>
  <mergeCells count="1">
    <mergeCell ref="A3:C4"/>
  </mergeCell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847</v>
      </c>
      <c r="H7" s="61"/>
    </row>
    <row r="8" spans="1:8">
      <c r="A8" s="60" t="s">
        <v>1881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3011.3309048665269</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3011.3309048665269</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5.5</v>
      </c>
      <c r="G34" s="105">
        <f>+E34/F34</f>
        <v>16595.352333788807</v>
      </c>
      <c r="H34" s="72"/>
    </row>
    <row r="35" spans="1:8">
      <c r="A35" s="83" t="s">
        <v>624</v>
      </c>
      <c r="B35" s="84"/>
      <c r="C35" s="103">
        <f>+SALARIOS!C50</f>
        <v>41660</v>
      </c>
      <c r="D35" s="104">
        <f>+SALARIOS!C48</f>
        <v>1.7846558312967005</v>
      </c>
      <c r="E35" s="69">
        <f>+C35*D35</f>
        <v>74348.76193182054</v>
      </c>
      <c r="F35" s="69">
        <v>5.5</v>
      </c>
      <c r="G35" s="105">
        <f>+E35/F35</f>
        <v>13517.956714876462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30113.309048665269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33124.639953531798</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4968.6959930297699</v>
      </c>
      <c r="H43" s="117"/>
    </row>
    <row r="44" spans="1:8">
      <c r="A44" s="83" t="s">
        <v>513</v>
      </c>
      <c r="B44" s="84"/>
      <c r="C44" s="84"/>
      <c r="D44" s="84"/>
      <c r="E44" s="85"/>
      <c r="F44" s="115">
        <f>+SALARIOS!C46</f>
        <v>0.05</v>
      </c>
      <c r="G44" s="116">
        <f>+F44*H40</f>
        <v>1656.23199767659</v>
      </c>
      <c r="H44" s="117"/>
    </row>
    <row r="45" spans="1:8" ht="15.75" thickBot="1">
      <c r="A45" s="89" t="s">
        <v>514</v>
      </c>
      <c r="B45" s="90"/>
      <c r="C45" s="90"/>
      <c r="D45" s="90"/>
      <c r="E45" s="91"/>
      <c r="F45" s="118">
        <f>+SALARIOS!C47</f>
        <v>0.05</v>
      </c>
      <c r="G45" s="119">
        <f>+F45*H40</f>
        <v>1656.23199767659</v>
      </c>
      <c r="H45" s="80"/>
    </row>
    <row r="46" spans="1:8" ht="15.75" thickBot="1">
      <c r="A46" s="61"/>
      <c r="B46" s="61"/>
      <c r="C46" s="61"/>
      <c r="D46" s="61"/>
      <c r="E46" s="61"/>
      <c r="F46" s="61"/>
      <c r="G46" s="81" t="s">
        <v>491</v>
      </c>
      <c r="H46" s="120">
        <f>SUM(G43:G45)</f>
        <v>8281.1599883829495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41406</v>
      </c>
    </row>
  </sheetData>
  <mergeCells count="1">
    <mergeCell ref="A3:C4"/>
  </mergeCell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848</v>
      </c>
      <c r="H7" s="61"/>
    </row>
    <row r="8" spans="1:8">
      <c r="A8" s="60" t="s">
        <v>1882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3312.4639953531791</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3312.4639953531791</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5</v>
      </c>
      <c r="G34" s="105">
        <f>+E34/F34</f>
        <v>18254.887567167687</v>
      </c>
      <c r="H34" s="72"/>
    </row>
    <row r="35" spans="1:8">
      <c r="A35" s="83" t="s">
        <v>624</v>
      </c>
      <c r="B35" s="84"/>
      <c r="C35" s="103">
        <f>+SALARIOS!C50</f>
        <v>41660</v>
      </c>
      <c r="D35" s="104">
        <f>+SALARIOS!C48</f>
        <v>1.7846558312967005</v>
      </c>
      <c r="E35" s="69">
        <f>+C35*D35</f>
        <v>74348.76193182054</v>
      </c>
      <c r="F35" s="69">
        <v>5</v>
      </c>
      <c r="G35" s="105">
        <f>+E35/F35</f>
        <v>14869.752386364107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33124.639953531791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36437.103948884971</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5465.5655923327458</v>
      </c>
      <c r="H43" s="117"/>
    </row>
    <row r="44" spans="1:8">
      <c r="A44" s="83" t="s">
        <v>513</v>
      </c>
      <c r="B44" s="84"/>
      <c r="C44" s="84"/>
      <c r="D44" s="84"/>
      <c r="E44" s="85"/>
      <c r="F44" s="115">
        <f>+SALARIOS!C46</f>
        <v>0.05</v>
      </c>
      <c r="G44" s="116">
        <f>+F44*H40</f>
        <v>1821.8551974442487</v>
      </c>
      <c r="H44" s="117"/>
    </row>
    <row r="45" spans="1:8" ht="15.75" thickBot="1">
      <c r="A45" s="89" t="s">
        <v>514</v>
      </c>
      <c r="B45" s="90"/>
      <c r="C45" s="90"/>
      <c r="D45" s="90"/>
      <c r="E45" s="91"/>
      <c r="F45" s="118">
        <f>+SALARIOS!C47</f>
        <v>0.05</v>
      </c>
      <c r="G45" s="119">
        <f>+F45*H40</f>
        <v>1821.8551974442487</v>
      </c>
      <c r="H45" s="80"/>
    </row>
    <row r="46" spans="1:8" ht="15.75" thickBot="1">
      <c r="A46" s="61"/>
      <c r="B46" s="61"/>
      <c r="C46" s="61"/>
      <c r="D46" s="61"/>
      <c r="E46" s="61"/>
      <c r="F46" s="61"/>
      <c r="G46" s="81" t="s">
        <v>491</v>
      </c>
      <c r="H46" s="120">
        <f>SUM(G43:G45)</f>
        <v>9109.2759872212428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45546</v>
      </c>
    </row>
  </sheetData>
  <mergeCells count="1">
    <mergeCell ref="A3:C4"/>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849</v>
      </c>
      <c r="H7" s="61"/>
    </row>
    <row r="8" spans="1:8">
      <c r="A8" s="60" t="s">
        <v>850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3680.5155503924225</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3680.5155503924225</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4.5</v>
      </c>
      <c r="G34" s="105">
        <f>+E34/F34</f>
        <v>20283.208407964099</v>
      </c>
      <c r="H34" s="72"/>
    </row>
    <row r="35" spans="1:8">
      <c r="A35" s="83" t="s">
        <v>624</v>
      </c>
      <c r="B35" s="84"/>
      <c r="C35" s="103">
        <f>+SALARIOS!C50</f>
        <v>41660</v>
      </c>
      <c r="D35" s="104">
        <f>+SALARIOS!C48</f>
        <v>1.7846558312967005</v>
      </c>
      <c r="E35" s="69">
        <f>+C35*D35</f>
        <v>74348.76193182054</v>
      </c>
      <c r="F35" s="69">
        <v>4.5</v>
      </c>
      <c r="G35" s="105">
        <f>+E35/F35</f>
        <v>16521.94709596012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36805.155503924223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40485.671054316648</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6072.8506581474967</v>
      </c>
      <c r="H43" s="117"/>
    </row>
    <row r="44" spans="1:8">
      <c r="A44" s="83" t="s">
        <v>513</v>
      </c>
      <c r="B44" s="84"/>
      <c r="C44" s="84"/>
      <c r="D44" s="84"/>
      <c r="E44" s="85"/>
      <c r="F44" s="115">
        <f>+SALARIOS!C46</f>
        <v>0.05</v>
      </c>
      <c r="G44" s="116">
        <f>+F44*H40</f>
        <v>2024.2835527158325</v>
      </c>
      <c r="H44" s="117"/>
    </row>
    <row r="45" spans="1:8" ht="15.75" thickBot="1">
      <c r="A45" s="89" t="s">
        <v>514</v>
      </c>
      <c r="B45" s="90"/>
      <c r="C45" s="90"/>
      <c r="D45" s="90"/>
      <c r="E45" s="91"/>
      <c r="F45" s="118">
        <f>+SALARIOS!C47</f>
        <v>0.05</v>
      </c>
      <c r="G45" s="119">
        <f>+F45*H40</f>
        <v>2024.2835527158325</v>
      </c>
      <c r="H45" s="80"/>
    </row>
    <row r="46" spans="1:8" ht="15.75" thickBot="1">
      <c r="A46" s="61"/>
      <c r="B46" s="61"/>
      <c r="C46" s="61"/>
      <c r="D46" s="61"/>
      <c r="E46" s="61"/>
      <c r="F46" s="61"/>
      <c r="G46" s="81" t="s">
        <v>491</v>
      </c>
      <c r="H46" s="120">
        <f>SUM(G43:G45)</f>
        <v>10121.417763579162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50607</v>
      </c>
    </row>
  </sheetData>
  <mergeCells count="1">
    <mergeCell ref="A3:C4"/>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851</v>
      </c>
      <c r="H7" s="61"/>
    </row>
    <row r="8" spans="1:8">
      <c r="A8" s="60" t="s">
        <v>852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4140.5799941914747</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4140.5799941914747</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4</v>
      </c>
      <c r="G34" s="105">
        <f>+E34/F34</f>
        <v>22818.60945895961</v>
      </c>
      <c r="H34" s="72"/>
    </row>
    <row r="35" spans="1:8">
      <c r="A35" s="83" t="s">
        <v>624</v>
      </c>
      <c r="B35" s="84"/>
      <c r="C35" s="103">
        <f>+SALARIOS!C50</f>
        <v>41660</v>
      </c>
      <c r="D35" s="104">
        <f>+SALARIOS!C48</f>
        <v>1.7846558312967005</v>
      </c>
      <c r="E35" s="69">
        <f>+C35*D35</f>
        <v>74348.76193182054</v>
      </c>
      <c r="F35" s="69">
        <v>4</v>
      </c>
      <c r="G35" s="105">
        <f>+E35/F35</f>
        <v>18587.190482955135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41405.799941914745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45546.379936106219</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6831.9569904159325</v>
      </c>
      <c r="H43" s="117"/>
    </row>
    <row r="44" spans="1:8">
      <c r="A44" s="83" t="s">
        <v>513</v>
      </c>
      <c r="B44" s="84"/>
      <c r="C44" s="84"/>
      <c r="D44" s="84"/>
      <c r="E44" s="85"/>
      <c r="F44" s="115">
        <f>+SALARIOS!C46</f>
        <v>0.05</v>
      </c>
      <c r="G44" s="116">
        <f>+F44*H40</f>
        <v>2277.3189968053111</v>
      </c>
      <c r="H44" s="117"/>
    </row>
    <row r="45" spans="1:8" ht="15.75" thickBot="1">
      <c r="A45" s="89" t="s">
        <v>514</v>
      </c>
      <c r="B45" s="90"/>
      <c r="C45" s="90"/>
      <c r="D45" s="90"/>
      <c r="E45" s="91"/>
      <c r="F45" s="118">
        <f>+SALARIOS!C47</f>
        <v>0.05</v>
      </c>
      <c r="G45" s="119">
        <f>+F45*H40</f>
        <v>2277.3189968053111</v>
      </c>
      <c r="H45" s="80"/>
    </row>
    <row r="46" spans="1:8" ht="15.75" thickBot="1">
      <c r="A46" s="61"/>
      <c r="B46" s="61"/>
      <c r="C46" s="61"/>
      <c r="D46" s="61"/>
      <c r="E46" s="61"/>
      <c r="F46" s="61"/>
      <c r="G46" s="81" t="s">
        <v>491</v>
      </c>
      <c r="H46" s="120">
        <f>SUM(G43:G45)</f>
        <v>11386.594984026557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56933</v>
      </c>
    </row>
  </sheetData>
  <mergeCells count="1">
    <mergeCell ref="A3:C4"/>
  </mergeCell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853</v>
      </c>
      <c r="H7" s="61"/>
    </row>
    <row r="8" spans="1:8">
      <c r="A8" s="60" t="s">
        <v>854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10</v>
      </c>
      <c r="G12" s="71">
        <f>+E12/F12</f>
        <v>8700</v>
      </c>
      <c r="H12" s="72"/>
    </row>
    <row r="13" spans="1:8">
      <c r="A13" s="175" t="s">
        <v>1327</v>
      </c>
      <c r="B13" s="790"/>
      <c r="C13" s="791"/>
      <c r="D13" s="68"/>
      <c r="E13" s="86"/>
      <c r="F13" s="161"/>
      <c r="G13" s="71">
        <f>H38*10%</f>
        <v>4732.0914219331144</v>
      </c>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13432.091421933113</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3.5</v>
      </c>
      <c r="G34" s="105">
        <f>+E34/F34</f>
        <v>26078.410810239555</v>
      </c>
      <c r="H34" s="72"/>
    </row>
    <row r="35" spans="1:8">
      <c r="A35" s="83" t="s">
        <v>624</v>
      </c>
      <c r="B35" s="84"/>
      <c r="C35" s="103">
        <f>+SALARIOS!C50</f>
        <v>41660</v>
      </c>
      <c r="D35" s="104">
        <f>+SALARIOS!C48</f>
        <v>1.7846558312967005</v>
      </c>
      <c r="E35" s="69">
        <f>+C35*D35</f>
        <v>74348.76193182054</v>
      </c>
      <c r="F35" s="69">
        <v>3.5</v>
      </c>
      <c r="G35" s="105">
        <f>+E35/F35</f>
        <v>21242.503409091583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47320.914219331142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60753.005641264259</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9112.9508461896385</v>
      </c>
      <c r="H43" s="117"/>
    </row>
    <row r="44" spans="1:8">
      <c r="A44" s="83" t="s">
        <v>513</v>
      </c>
      <c r="B44" s="84"/>
      <c r="C44" s="84"/>
      <c r="D44" s="84"/>
      <c r="E44" s="85"/>
      <c r="F44" s="115">
        <f>+SALARIOS!C46</f>
        <v>0.05</v>
      </c>
      <c r="G44" s="116">
        <f>+F44*H40</f>
        <v>3037.6502820632131</v>
      </c>
      <c r="H44" s="117"/>
    </row>
    <row r="45" spans="1:8" ht="15.75" thickBot="1">
      <c r="A45" s="89" t="s">
        <v>514</v>
      </c>
      <c r="B45" s="90"/>
      <c r="C45" s="90"/>
      <c r="D45" s="90"/>
      <c r="E45" s="91"/>
      <c r="F45" s="118">
        <f>+SALARIOS!C47</f>
        <v>0.05</v>
      </c>
      <c r="G45" s="119">
        <f>+F45*H40</f>
        <v>3037.6502820632131</v>
      </c>
      <c r="H45" s="80"/>
    </row>
    <row r="46" spans="1:8" ht="15.75" thickBot="1">
      <c r="A46" s="61"/>
      <c r="B46" s="61"/>
      <c r="C46" s="61"/>
      <c r="D46" s="61"/>
      <c r="E46" s="61"/>
      <c r="F46" s="61"/>
      <c r="G46" s="81" t="s">
        <v>491</v>
      </c>
      <c r="H46" s="120">
        <f>SUM(G43:G45)</f>
        <v>15188.251410316065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75941</v>
      </c>
    </row>
  </sheetData>
  <mergeCells count="1">
    <mergeCell ref="A3:C4"/>
  </mergeCell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855</v>
      </c>
      <c r="H7" s="61"/>
    </row>
    <row r="8" spans="1:8">
      <c r="A8" s="60" t="s">
        <v>856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10</v>
      </c>
      <c r="G12" s="71">
        <f>+E12/F12</f>
        <v>8700</v>
      </c>
      <c r="H12" s="72"/>
    </row>
    <row r="13" spans="1:8">
      <c r="A13" s="175" t="s">
        <v>1327</v>
      </c>
      <c r="B13" s="790"/>
      <c r="C13" s="791"/>
      <c r="D13" s="68"/>
      <c r="E13" s="86"/>
      <c r="F13" s="161"/>
      <c r="G13" s="71">
        <f>H38*10%</f>
        <v>5520.7733255886333</v>
      </c>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14220.773325588634</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3</v>
      </c>
      <c r="G34" s="105">
        <f>+E34/F34</f>
        <v>30424.812611946149</v>
      </c>
      <c r="H34" s="72"/>
    </row>
    <row r="35" spans="1:8">
      <c r="A35" s="83" t="s">
        <v>624</v>
      </c>
      <c r="B35" s="84"/>
      <c r="C35" s="103">
        <f>+SALARIOS!C50</f>
        <v>41660</v>
      </c>
      <c r="D35" s="104">
        <f>+SALARIOS!C48</f>
        <v>1.7846558312967005</v>
      </c>
      <c r="E35" s="69">
        <f>+C35*D35</f>
        <v>74348.76193182054</v>
      </c>
      <c r="F35" s="69">
        <v>3</v>
      </c>
      <c r="G35" s="105">
        <f>+E35/F35</f>
        <v>24782.920643940179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55207.733255886327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69428.506581474969</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10414.275987221245</v>
      </c>
      <c r="H43" s="117"/>
    </row>
    <row r="44" spans="1:8">
      <c r="A44" s="83" t="s">
        <v>513</v>
      </c>
      <c r="B44" s="84"/>
      <c r="C44" s="84"/>
      <c r="D44" s="84"/>
      <c r="E44" s="85"/>
      <c r="F44" s="115">
        <f>+SALARIOS!C46</f>
        <v>0.05</v>
      </c>
      <c r="G44" s="116">
        <f>+F44*H40</f>
        <v>3471.4253290737488</v>
      </c>
      <c r="H44" s="117"/>
    </row>
    <row r="45" spans="1:8" ht="15.75" thickBot="1">
      <c r="A45" s="89" t="s">
        <v>514</v>
      </c>
      <c r="B45" s="90"/>
      <c r="C45" s="90"/>
      <c r="D45" s="90"/>
      <c r="E45" s="91"/>
      <c r="F45" s="118">
        <f>+SALARIOS!C47</f>
        <v>0.05</v>
      </c>
      <c r="G45" s="119">
        <f>+F45*H40</f>
        <v>3471.4253290737488</v>
      </c>
      <c r="H45" s="80"/>
    </row>
    <row r="46" spans="1:8" ht="15.75" thickBot="1">
      <c r="A46" s="61"/>
      <c r="B46" s="61"/>
      <c r="C46" s="61"/>
      <c r="D46" s="61"/>
      <c r="E46" s="61"/>
      <c r="F46" s="61"/>
      <c r="G46" s="81" t="s">
        <v>491</v>
      </c>
      <c r="H46" s="120">
        <f>SUM(G43:G45)</f>
        <v>17357.126645368742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86786</v>
      </c>
    </row>
  </sheetData>
  <mergeCells count="1">
    <mergeCell ref="A3:C4"/>
  </mergeCell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857</v>
      </c>
      <c r="H7" s="61"/>
    </row>
    <row r="8" spans="1:8">
      <c r="A8" s="60" t="s">
        <v>858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10</v>
      </c>
      <c r="G12" s="71">
        <f>+E12/F12</f>
        <v>8700</v>
      </c>
      <c r="H12" s="72"/>
    </row>
    <row r="13" spans="1:8">
      <c r="A13" s="175" t="s">
        <v>1327</v>
      </c>
      <c r="B13" s="790"/>
      <c r="C13" s="791"/>
      <c r="D13" s="68"/>
      <c r="E13" s="86"/>
      <c r="F13" s="161"/>
      <c r="G13" s="71">
        <f>H38*10%</f>
        <v>6624.9279907063583</v>
      </c>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15324.927990706357</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2.5</v>
      </c>
      <c r="G34" s="105">
        <f>+E34/F34</f>
        <v>36509.775134335374</v>
      </c>
      <c r="H34" s="72"/>
    </row>
    <row r="35" spans="1:8">
      <c r="A35" s="83" t="s">
        <v>624</v>
      </c>
      <c r="B35" s="84"/>
      <c r="C35" s="103">
        <f>+SALARIOS!C50</f>
        <v>41660</v>
      </c>
      <c r="D35" s="104">
        <f>+SALARIOS!C48</f>
        <v>1.7846558312967005</v>
      </c>
      <c r="E35" s="69">
        <f>+C35*D35</f>
        <v>74348.76193182054</v>
      </c>
      <c r="F35" s="69">
        <v>2.5</v>
      </c>
      <c r="G35" s="105">
        <f>+E35/F35</f>
        <v>29739.504772728214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66249.279907063581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81574.207897769942</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12236.131184665492</v>
      </c>
      <c r="H43" s="117"/>
    </row>
    <row r="44" spans="1:8">
      <c r="A44" s="83" t="s">
        <v>513</v>
      </c>
      <c r="B44" s="84"/>
      <c r="C44" s="84"/>
      <c r="D44" s="84"/>
      <c r="E44" s="85"/>
      <c r="F44" s="115">
        <f>+SALARIOS!C46</f>
        <v>0.05</v>
      </c>
      <c r="G44" s="116">
        <f>+F44*H40</f>
        <v>4078.7103948884974</v>
      </c>
      <c r="H44" s="117"/>
    </row>
    <row r="45" spans="1:8" ht="15.75" thickBot="1">
      <c r="A45" s="89" t="s">
        <v>514</v>
      </c>
      <c r="B45" s="90"/>
      <c r="C45" s="90"/>
      <c r="D45" s="90"/>
      <c r="E45" s="91"/>
      <c r="F45" s="118">
        <f>+SALARIOS!C47</f>
        <v>0.05</v>
      </c>
      <c r="G45" s="119">
        <f>+F45*H40</f>
        <v>4078.7103948884974</v>
      </c>
      <c r="H45" s="80"/>
    </row>
    <row r="46" spans="1:8" ht="15.75" thickBot="1">
      <c r="A46" s="61"/>
      <c r="B46" s="61"/>
      <c r="C46" s="61"/>
      <c r="D46" s="61"/>
      <c r="E46" s="61"/>
      <c r="F46" s="61"/>
      <c r="G46" s="81" t="s">
        <v>491</v>
      </c>
      <c r="H46" s="120">
        <f>SUM(G43:G45)</f>
        <v>20393.551974442486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101968</v>
      </c>
    </row>
  </sheetData>
  <mergeCells count="1">
    <mergeCell ref="A3:C4"/>
  </mergeCell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859</v>
      </c>
      <c r="H7" s="61"/>
    </row>
    <row r="8" spans="1:8">
      <c r="A8" s="60" t="s">
        <v>1884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231"/>
      <c r="C12" s="232"/>
      <c r="D12" s="68"/>
      <c r="E12" s="86"/>
      <c r="F12" s="161"/>
      <c r="G12" s="71">
        <f>H38*10%</f>
        <v>1499.8247606217471</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1499.8247606217471</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697</v>
      </c>
      <c r="B34" s="84"/>
      <c r="C34" s="103">
        <f>+SALARIOS!C49*1</f>
        <v>25572</v>
      </c>
      <c r="D34" s="104">
        <f>+SALARIOS!C48</f>
        <v>1.7846558312967005</v>
      </c>
      <c r="E34" s="69">
        <f>+C34*D34</f>
        <v>45637.218917919221</v>
      </c>
      <c r="F34" s="69">
        <v>8</v>
      </c>
      <c r="G34" s="105">
        <f>+E34/F34</f>
        <v>5704.6523647399026</v>
      </c>
      <c r="H34" s="72"/>
    </row>
    <row r="35" spans="1:8">
      <c r="A35" s="83" t="s">
        <v>624</v>
      </c>
      <c r="B35" s="84"/>
      <c r="C35" s="103">
        <f>+SALARIOS!C50</f>
        <v>41660</v>
      </c>
      <c r="D35" s="104">
        <f>+SALARIOS!C48</f>
        <v>1.7846558312967005</v>
      </c>
      <c r="E35" s="69">
        <f>+C35*D35</f>
        <v>74348.76193182054</v>
      </c>
      <c r="F35" s="69">
        <v>8</v>
      </c>
      <c r="G35" s="105">
        <f>+E35/F35</f>
        <v>9293.5952414775675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14998.24760621747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16498.072366839217</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2474.7108550258822</v>
      </c>
      <c r="H43" s="117"/>
    </row>
    <row r="44" spans="1:8">
      <c r="A44" s="83" t="s">
        <v>513</v>
      </c>
      <c r="B44" s="84"/>
      <c r="C44" s="84"/>
      <c r="D44" s="84"/>
      <c r="E44" s="85"/>
      <c r="F44" s="115">
        <f>+SALARIOS!C46</f>
        <v>0.05</v>
      </c>
      <c r="G44" s="116">
        <f>+F44*H40</f>
        <v>824.90361834196085</v>
      </c>
      <c r="H44" s="117"/>
    </row>
    <row r="45" spans="1:8" ht="15.75" thickBot="1">
      <c r="A45" s="89" t="s">
        <v>514</v>
      </c>
      <c r="B45" s="90"/>
      <c r="C45" s="90"/>
      <c r="D45" s="90"/>
      <c r="E45" s="91"/>
      <c r="F45" s="118">
        <f>+SALARIOS!C47</f>
        <v>0.05</v>
      </c>
      <c r="G45" s="119">
        <f>+F45*H40</f>
        <v>824.90361834196085</v>
      </c>
      <c r="H45" s="80"/>
    </row>
    <row r="46" spans="1:8" ht="15.75" thickBot="1">
      <c r="A46" s="61"/>
      <c r="B46" s="61"/>
      <c r="C46" s="61"/>
      <c r="D46" s="61"/>
      <c r="E46" s="61"/>
      <c r="F46" s="61"/>
      <c r="G46" s="81" t="s">
        <v>491</v>
      </c>
      <c r="H46" s="120">
        <f>SUM(G43:G45)</f>
        <v>4124.5180917098041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20623</v>
      </c>
    </row>
  </sheetData>
  <mergeCells count="1">
    <mergeCell ref="A3:C4"/>
  </mergeCell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J12" sqref="J1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860</v>
      </c>
      <c r="H7" s="61"/>
    </row>
    <row r="8" spans="1:8">
      <c r="A8" s="60" t="s">
        <v>1883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1599.8130779965302</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1599.8130779965302</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697</v>
      </c>
      <c r="B34" s="84"/>
      <c r="C34" s="103">
        <f>+SALARIOS!C49*1</f>
        <v>25572</v>
      </c>
      <c r="D34" s="104">
        <f>+SALARIOS!C48</f>
        <v>1.7846558312967005</v>
      </c>
      <c r="E34" s="69">
        <f>+C34*D34</f>
        <v>45637.218917919221</v>
      </c>
      <c r="F34" s="69">
        <v>7.5</v>
      </c>
      <c r="G34" s="105">
        <f>+E34/F34</f>
        <v>6084.9625223892299</v>
      </c>
      <c r="H34" s="72"/>
    </row>
    <row r="35" spans="1:8">
      <c r="A35" s="83" t="s">
        <v>624</v>
      </c>
      <c r="B35" s="84"/>
      <c r="C35" s="103">
        <f>+SALARIOS!C50</f>
        <v>41660</v>
      </c>
      <c r="D35" s="104">
        <f>+SALARIOS!C48</f>
        <v>1.7846558312967005</v>
      </c>
      <c r="E35" s="69">
        <f>+C35*D35</f>
        <v>74348.76193182054</v>
      </c>
      <c r="F35" s="69">
        <v>7.5</v>
      </c>
      <c r="G35" s="105">
        <f>+E35/F35</f>
        <v>9913.1682575760715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15998.1307799653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17597.943857961829</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2639.6915786942741</v>
      </c>
      <c r="H43" s="117"/>
    </row>
    <row r="44" spans="1:8">
      <c r="A44" s="83" t="s">
        <v>513</v>
      </c>
      <c r="B44" s="84"/>
      <c r="C44" s="84"/>
      <c r="D44" s="84"/>
      <c r="E44" s="85"/>
      <c r="F44" s="115">
        <f>+SALARIOS!C46</f>
        <v>0.05</v>
      </c>
      <c r="G44" s="116">
        <f>+F44*H40</f>
        <v>879.89719289809148</v>
      </c>
      <c r="H44" s="117"/>
    </row>
    <row r="45" spans="1:8" ht="15.75" thickBot="1">
      <c r="A45" s="89" t="s">
        <v>514</v>
      </c>
      <c r="B45" s="90"/>
      <c r="C45" s="90"/>
      <c r="D45" s="90"/>
      <c r="E45" s="91"/>
      <c r="F45" s="118">
        <f>+SALARIOS!C47</f>
        <v>0.05</v>
      </c>
      <c r="G45" s="119">
        <f>+F45*H40</f>
        <v>879.89719289809148</v>
      </c>
      <c r="H45" s="80"/>
    </row>
    <row r="46" spans="1:8" ht="15.75" thickBot="1">
      <c r="A46" s="61"/>
      <c r="B46" s="61"/>
      <c r="C46" s="61"/>
      <c r="D46" s="61"/>
      <c r="E46" s="61"/>
      <c r="F46" s="61"/>
      <c r="G46" s="81" t="s">
        <v>491</v>
      </c>
      <c r="H46" s="120">
        <f>SUM(G43:G45)</f>
        <v>4399.4859644904573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21997</v>
      </c>
    </row>
  </sheetData>
  <mergeCells count="1">
    <mergeCell ref="A3:C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7"/>
  <sheetViews>
    <sheetView workbookViewId="0"/>
  </sheetViews>
  <sheetFormatPr baseColWidth="10" defaultRowHeight="15"/>
  <sheetData>
    <row r="1" spans="1:8" ht="15.75" thickBot="1">
      <c r="A1" s="16"/>
      <c r="B1" s="16"/>
      <c r="C1" s="16"/>
      <c r="D1" s="16"/>
      <c r="E1" s="16"/>
      <c r="F1" s="16"/>
      <c r="G1" s="16"/>
      <c r="H1" s="16"/>
    </row>
    <row r="2" spans="1:8">
      <c r="A2" s="1445" t="s">
        <v>519</v>
      </c>
      <c r="B2" s="1446"/>
      <c r="C2" s="1447"/>
      <c r="D2" s="55"/>
      <c r="E2" s="56"/>
      <c r="F2" s="55"/>
      <c r="G2" s="55"/>
      <c r="H2" s="57"/>
    </row>
    <row r="3" spans="1:8">
      <c r="A3" s="1448"/>
      <c r="B3" s="1449"/>
      <c r="C3" s="1450"/>
      <c r="D3" s="58"/>
      <c r="E3" s="51" t="s">
        <v>483</v>
      </c>
      <c r="F3" s="58"/>
      <c r="G3" s="58"/>
      <c r="H3" s="59"/>
    </row>
    <row r="4" spans="1:8" ht="15.75" thickBot="1">
      <c r="A4" s="1451" t="s">
        <v>520</v>
      </c>
      <c r="B4" s="1452"/>
      <c r="C4" s="1453"/>
      <c r="D4" s="1457"/>
      <c r="E4" s="1458"/>
      <c r="F4" s="1458"/>
      <c r="G4" s="1458"/>
      <c r="H4" s="1459"/>
    </row>
    <row r="5" spans="1:8">
      <c r="A5" s="60"/>
      <c r="B5" s="61"/>
      <c r="C5" s="61"/>
      <c r="D5" s="61"/>
      <c r="E5" s="61"/>
      <c r="F5" s="61"/>
      <c r="G5" s="61"/>
      <c r="H5" s="61"/>
    </row>
    <row r="6" spans="1:8">
      <c r="A6" s="60" t="s">
        <v>521</v>
      </c>
      <c r="B6" s="62"/>
      <c r="C6" s="61"/>
      <c r="D6" s="16"/>
      <c r="E6" s="62"/>
      <c r="F6" s="16"/>
      <c r="G6" s="62" t="s">
        <v>543</v>
      </c>
      <c r="H6" s="61"/>
    </row>
    <row r="7" spans="1:8">
      <c r="A7" s="60" t="s">
        <v>541</v>
      </c>
      <c r="B7" s="62"/>
      <c r="C7" s="61"/>
      <c r="D7" s="62"/>
      <c r="E7" s="62"/>
      <c r="F7" s="62"/>
      <c r="G7" s="62" t="s">
        <v>537</v>
      </c>
      <c r="H7" s="61"/>
    </row>
    <row r="8" spans="1:8">
      <c r="A8" s="62"/>
      <c r="B8" s="62"/>
      <c r="C8" s="61"/>
      <c r="D8" s="62"/>
      <c r="E8" s="62"/>
      <c r="F8" s="62"/>
      <c r="G8" s="62"/>
      <c r="H8" s="61"/>
    </row>
    <row r="9" spans="1:8" ht="15.75" thickBot="1">
      <c r="A9" s="63" t="s">
        <v>484</v>
      </c>
      <c r="B9" s="63"/>
      <c r="C9" s="61"/>
      <c r="D9" s="61"/>
      <c r="E9" s="61"/>
      <c r="F9" s="61"/>
      <c r="G9" s="61"/>
      <c r="H9" s="61"/>
    </row>
    <row r="10" spans="1:8">
      <c r="A10" s="1454" t="s">
        <v>485</v>
      </c>
      <c r="B10" s="1455"/>
      <c r="C10" s="1456"/>
      <c r="D10" s="151" t="s">
        <v>486</v>
      </c>
      <c r="E10" s="65" t="s">
        <v>487</v>
      </c>
      <c r="F10" s="151" t="s">
        <v>488</v>
      </c>
      <c r="G10" s="150" t="s">
        <v>489</v>
      </c>
      <c r="H10" s="67"/>
    </row>
    <row r="11" spans="1:8">
      <c r="A11" s="1460" t="s">
        <v>14</v>
      </c>
      <c r="B11" s="1461"/>
      <c r="C11" s="1462"/>
      <c r="D11" s="68"/>
      <c r="E11" s="69">
        <f>'EQUIPOS '!D10</f>
        <v>87000</v>
      </c>
      <c r="F11" s="69">
        <v>16.5</v>
      </c>
      <c r="G11" s="71">
        <f>+E11/F11</f>
        <v>5272.727272727273</v>
      </c>
      <c r="H11" s="72"/>
    </row>
    <row r="12" spans="1:8">
      <c r="A12" s="1463"/>
      <c r="B12" s="1464"/>
      <c r="C12" s="1465"/>
      <c r="D12" s="73"/>
      <c r="E12" s="74"/>
      <c r="F12" s="75"/>
      <c r="G12" s="71"/>
      <c r="H12" s="72"/>
    </row>
    <row r="13" spans="1:8">
      <c r="A13" s="1463"/>
      <c r="B13" s="1464"/>
      <c r="C13" s="1465"/>
      <c r="D13" s="73"/>
      <c r="E13" s="74"/>
      <c r="F13" s="69"/>
      <c r="G13" s="71"/>
      <c r="H13" s="72"/>
    </row>
    <row r="14" spans="1:8">
      <c r="A14" s="1463"/>
      <c r="B14" s="1464"/>
      <c r="C14" s="1465"/>
      <c r="D14" s="73"/>
      <c r="E14" s="74"/>
      <c r="F14" s="69"/>
      <c r="G14" s="71"/>
      <c r="H14" s="72"/>
    </row>
    <row r="15" spans="1:8">
      <c r="A15" s="1463"/>
      <c r="B15" s="1464"/>
      <c r="C15" s="1465"/>
      <c r="D15" s="73"/>
      <c r="E15" s="74"/>
      <c r="F15" s="69"/>
      <c r="G15" s="71"/>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SUM(G11:G16)</f>
        <v>5272.727272727273</v>
      </c>
    </row>
    <row r="18" spans="1:8" ht="15.75" thickBot="1">
      <c r="A18" s="63" t="s">
        <v>492</v>
      </c>
      <c r="B18" s="63"/>
      <c r="C18" s="61"/>
      <c r="D18" s="61"/>
      <c r="E18" s="61"/>
      <c r="F18" s="61"/>
      <c r="G18" s="61"/>
      <c r="H18" s="61"/>
    </row>
    <row r="19" spans="1:8">
      <c r="A19" s="1472" t="s">
        <v>485</v>
      </c>
      <c r="B19" s="1473"/>
      <c r="C19" s="1474"/>
      <c r="D19" s="153" t="s">
        <v>493</v>
      </c>
      <c r="E19" s="153" t="s">
        <v>494</v>
      </c>
      <c r="F19" s="153" t="s">
        <v>495</v>
      </c>
      <c r="G19" s="152" t="s">
        <v>489</v>
      </c>
      <c r="H19" s="67"/>
    </row>
    <row r="20" spans="1:8" ht="23.25" customHeight="1">
      <c r="A20" s="1478" t="s">
        <v>374</v>
      </c>
      <c r="B20" s="1470"/>
      <c r="C20" s="1471"/>
      <c r="D20" s="68" t="s">
        <v>19</v>
      </c>
      <c r="E20" s="142">
        <f>MATERIALES!D67</f>
        <v>3000</v>
      </c>
      <c r="F20" s="156">
        <v>1</v>
      </c>
      <c r="G20" s="71">
        <f>E20*F20</f>
        <v>3000</v>
      </c>
      <c r="H20" s="72"/>
    </row>
    <row r="21" spans="1:8">
      <c r="A21" s="134"/>
      <c r="B21" s="129"/>
      <c r="C21" s="129"/>
      <c r="D21" s="135"/>
      <c r="E21" s="140"/>
      <c r="F21" s="136"/>
      <c r="G21" s="155"/>
      <c r="H21" s="72"/>
    </row>
    <row r="22" spans="1:8">
      <c r="A22" s="128"/>
      <c r="B22" s="129"/>
      <c r="C22" s="130"/>
      <c r="D22" s="131"/>
      <c r="E22" s="132"/>
      <c r="F22" s="133"/>
      <c r="G22" s="155"/>
      <c r="H22" s="72"/>
    </row>
    <row r="23" spans="1:8" ht="15.75" thickBot="1">
      <c r="A23" s="89"/>
      <c r="B23" s="90"/>
      <c r="C23" s="91"/>
      <c r="D23" s="76"/>
      <c r="E23" s="77"/>
      <c r="F23" s="78"/>
      <c r="G23" s="79"/>
      <c r="H23" s="80"/>
    </row>
    <row r="24" spans="1:8" ht="15.75" thickBot="1">
      <c r="A24" s="61"/>
      <c r="B24" s="61"/>
      <c r="C24" s="61"/>
      <c r="D24" s="61"/>
      <c r="E24" s="61"/>
      <c r="F24" s="61"/>
      <c r="G24" s="81" t="s">
        <v>491</v>
      </c>
      <c r="H24" s="82">
        <f>SUM(G20:G23)</f>
        <v>3000</v>
      </c>
    </row>
    <row r="25" spans="1:8" ht="15.75" thickBot="1">
      <c r="A25" s="92" t="s">
        <v>496</v>
      </c>
      <c r="B25" s="92"/>
      <c r="C25" s="90"/>
      <c r="D25" s="61"/>
      <c r="E25" s="61"/>
      <c r="F25" s="61"/>
      <c r="G25" s="61"/>
      <c r="H25" s="61"/>
    </row>
    <row r="26" spans="1:8">
      <c r="A26" s="1454" t="s">
        <v>497</v>
      </c>
      <c r="B26" s="1456"/>
      <c r="C26" s="93" t="s">
        <v>498</v>
      </c>
      <c r="D26" s="151" t="s">
        <v>499</v>
      </c>
      <c r="E26" s="151" t="s">
        <v>500</v>
      </c>
      <c r="F26" s="151" t="s">
        <v>501</v>
      </c>
      <c r="G26" s="94" t="s">
        <v>489</v>
      </c>
      <c r="H26" s="67"/>
    </row>
    <row r="27" spans="1:8">
      <c r="A27" s="83" t="s">
        <v>15</v>
      </c>
      <c r="B27" s="84"/>
      <c r="C27" s="95"/>
      <c r="D27" s="96">
        <v>24</v>
      </c>
      <c r="E27" s="96">
        <v>1</v>
      </c>
      <c r="F27" s="97">
        <f>+'EQUIPOS '!D31</f>
        <v>1060</v>
      </c>
      <c r="G27" s="69">
        <f>(D27*E27*F27)</f>
        <v>25440</v>
      </c>
      <c r="H27" s="72"/>
    </row>
    <row r="28" spans="1:8">
      <c r="A28" s="83"/>
      <c r="B28" s="84"/>
      <c r="C28" s="98"/>
      <c r="D28" s="68"/>
      <c r="E28" s="99"/>
      <c r="F28" s="69"/>
      <c r="G28" s="69"/>
      <c r="H28" s="72"/>
    </row>
    <row r="29" spans="1:8" ht="15.75" thickBot="1">
      <c r="A29" s="100"/>
      <c r="B29" s="101"/>
      <c r="C29" s="76"/>
      <c r="D29" s="77"/>
      <c r="E29" s="78"/>
      <c r="F29" s="79"/>
      <c r="G29" s="76"/>
      <c r="H29" s="72"/>
    </row>
    <row r="30" spans="1:8" ht="15.75" thickBot="1">
      <c r="A30" s="61"/>
      <c r="B30" s="61"/>
      <c r="C30" s="61"/>
      <c r="D30" s="61"/>
      <c r="E30" s="61"/>
      <c r="F30" s="61"/>
      <c r="G30" s="81" t="s">
        <v>491</v>
      </c>
      <c r="H30" s="82">
        <f>SUM(G27:G29)</f>
        <v>25440</v>
      </c>
    </row>
    <row r="31" spans="1:8" ht="15.75" thickBot="1">
      <c r="A31" s="92" t="s">
        <v>502</v>
      </c>
      <c r="B31" s="92"/>
      <c r="C31" s="61"/>
      <c r="D31" s="61"/>
      <c r="E31" s="61"/>
      <c r="F31" s="61"/>
      <c r="G31" s="61"/>
      <c r="H31" s="61"/>
    </row>
    <row r="32" spans="1:8">
      <c r="A32" s="1454" t="s">
        <v>503</v>
      </c>
      <c r="B32" s="1456"/>
      <c r="C32" s="151" t="s">
        <v>504</v>
      </c>
      <c r="D32" s="151" t="s">
        <v>505</v>
      </c>
      <c r="E32" s="124" t="s">
        <v>506</v>
      </c>
      <c r="F32" s="102" t="s">
        <v>488</v>
      </c>
      <c r="G32" s="150" t="s">
        <v>489</v>
      </c>
      <c r="H32" s="67"/>
    </row>
    <row r="33" spans="1:8">
      <c r="A33" s="83"/>
      <c r="B33" s="84"/>
      <c r="C33" s="103"/>
      <c r="D33" s="123"/>
      <c r="E33" s="69"/>
      <c r="F33" s="69"/>
      <c r="G33" s="105"/>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91"/>
      <c r="F36" s="91"/>
      <c r="G36" s="90"/>
      <c r="H36" s="80"/>
    </row>
    <row r="37" spans="1:8" ht="15.75" thickBot="1">
      <c r="A37" s="61"/>
      <c r="B37" s="61"/>
      <c r="C37" s="61"/>
      <c r="D37" s="61"/>
      <c r="E37" s="61"/>
      <c r="F37" s="61"/>
      <c r="G37" s="81" t="s">
        <v>491</v>
      </c>
      <c r="H37" s="82">
        <f>SUM(G33:G36)</f>
        <v>0</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33712.727272727272</v>
      </c>
    </row>
    <row r="40" spans="1:8" ht="15.75" thickBot="1">
      <c r="A40" s="63" t="s">
        <v>509</v>
      </c>
      <c r="B40" s="63"/>
      <c r="C40" s="61"/>
      <c r="D40" s="61"/>
      <c r="E40" s="61"/>
      <c r="F40" s="61"/>
      <c r="G40" s="61"/>
      <c r="H40" s="61"/>
    </row>
    <row r="41" spans="1:8">
      <c r="A41" s="110" t="s">
        <v>485</v>
      </c>
      <c r="B41" s="111"/>
      <c r="C41" s="111"/>
      <c r="D41" s="111"/>
      <c r="E41" s="112"/>
      <c r="F41" s="153" t="s">
        <v>510</v>
      </c>
      <c r="G41" s="152" t="s">
        <v>511</v>
      </c>
      <c r="H41" s="67"/>
    </row>
    <row r="42" spans="1:8">
      <c r="A42" s="83" t="s">
        <v>512</v>
      </c>
      <c r="B42" s="84"/>
      <c r="C42" s="84"/>
      <c r="D42" s="84"/>
      <c r="E42" s="85"/>
      <c r="F42" s="115">
        <f>(SALARIOS!C45)</f>
        <v>0.15</v>
      </c>
      <c r="G42" s="116">
        <f>++F42*H39</f>
        <v>5056.909090909091</v>
      </c>
      <c r="H42" s="117"/>
    </row>
    <row r="43" spans="1:8">
      <c r="A43" s="83" t="s">
        <v>513</v>
      </c>
      <c r="B43" s="84"/>
      <c r="C43" s="84"/>
      <c r="D43" s="84"/>
      <c r="E43" s="85"/>
      <c r="F43" s="115">
        <f>(SALARIOS!C46)</f>
        <v>0.05</v>
      </c>
      <c r="G43" s="116">
        <f>+F43*H39</f>
        <v>1685.6363636363637</v>
      </c>
      <c r="H43" s="117"/>
    </row>
    <row r="44" spans="1:8" ht="15.75" thickBot="1">
      <c r="A44" s="89" t="s">
        <v>514</v>
      </c>
      <c r="B44" s="90"/>
      <c r="C44" s="90"/>
      <c r="D44" s="90"/>
      <c r="E44" s="91"/>
      <c r="F44" s="118">
        <f>(SALARIOS!C47)</f>
        <v>0.05</v>
      </c>
      <c r="G44" s="119">
        <f>+F44*H39</f>
        <v>1685.6363636363637</v>
      </c>
      <c r="H44" s="80"/>
    </row>
    <row r="45" spans="1:8" ht="15.75" thickBot="1">
      <c r="A45" s="61"/>
      <c r="B45" s="61"/>
      <c r="C45" s="61"/>
      <c r="D45" s="61"/>
      <c r="E45" s="61"/>
      <c r="F45" s="61"/>
      <c r="G45" s="81" t="s">
        <v>491</v>
      </c>
      <c r="H45" s="120">
        <f>SUM(G42:G44)</f>
        <v>8428.181818181818</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42141</v>
      </c>
    </row>
  </sheetData>
  <mergeCells count="14">
    <mergeCell ref="A26:B26"/>
    <mergeCell ref="A32:B32"/>
    <mergeCell ref="A13:C13"/>
    <mergeCell ref="A14:C14"/>
    <mergeCell ref="A15:C15"/>
    <mergeCell ref="A16:C16"/>
    <mergeCell ref="A19:C19"/>
    <mergeCell ref="A20:C20"/>
    <mergeCell ref="A12:C12"/>
    <mergeCell ref="A2:C3"/>
    <mergeCell ref="A4:C4"/>
    <mergeCell ref="D4:H4"/>
    <mergeCell ref="A10:C10"/>
    <mergeCell ref="A11:C11"/>
  </mergeCells>
  <pageMargins left="0.7" right="0.7" top="0.75" bottom="0.75" header="0.3" footer="0.3"/>
  <pageSetup paperSize="9" scale="90"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861</v>
      </c>
      <c r="H7" s="61"/>
    </row>
    <row r="8" spans="1:8">
      <c r="A8" s="60" t="s">
        <v>1901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2399.7196169947952</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2399.7196169947952</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697</v>
      </c>
      <c r="B34" s="84"/>
      <c r="C34" s="103">
        <f>+SALARIOS!C49*1</f>
        <v>25572</v>
      </c>
      <c r="D34" s="104">
        <f>+SALARIOS!C48</f>
        <v>1.7846558312967005</v>
      </c>
      <c r="E34" s="69">
        <f>+C34*D34</f>
        <v>45637.218917919221</v>
      </c>
      <c r="F34" s="69">
        <v>5</v>
      </c>
      <c r="G34" s="105">
        <f>+E34/F34</f>
        <v>9127.4437835838435</v>
      </c>
      <c r="H34" s="72"/>
    </row>
    <row r="35" spans="1:8">
      <c r="A35" s="83" t="s">
        <v>624</v>
      </c>
      <c r="B35" s="84"/>
      <c r="C35" s="103">
        <f>+SALARIOS!C50</f>
        <v>41660</v>
      </c>
      <c r="D35" s="104">
        <f>+SALARIOS!C48</f>
        <v>1.7846558312967005</v>
      </c>
      <c r="E35" s="69">
        <f>+C35*D35</f>
        <v>74348.76193182054</v>
      </c>
      <c r="F35" s="69">
        <v>5</v>
      </c>
      <c r="G35" s="105">
        <f>+E35/F35</f>
        <v>14869.752386364107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23997.196169947951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26396.915786942747</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3959.5373680414118</v>
      </c>
      <c r="H43" s="117"/>
    </row>
    <row r="44" spans="1:8">
      <c r="A44" s="83" t="s">
        <v>513</v>
      </c>
      <c r="B44" s="84"/>
      <c r="C44" s="84"/>
      <c r="D44" s="84"/>
      <c r="E44" s="85"/>
      <c r="F44" s="115">
        <f>+SALARIOS!C46</f>
        <v>0.05</v>
      </c>
      <c r="G44" s="116">
        <f>+F44*H40</f>
        <v>1319.8457893471375</v>
      </c>
      <c r="H44" s="117"/>
    </row>
    <row r="45" spans="1:8" ht="15.75" thickBot="1">
      <c r="A45" s="89" t="s">
        <v>514</v>
      </c>
      <c r="B45" s="90"/>
      <c r="C45" s="90"/>
      <c r="D45" s="90"/>
      <c r="E45" s="91"/>
      <c r="F45" s="118">
        <f>+SALARIOS!C47</f>
        <v>0.05</v>
      </c>
      <c r="G45" s="119">
        <f>+F45*H40</f>
        <v>1319.8457893471375</v>
      </c>
      <c r="H45" s="80"/>
    </row>
    <row r="46" spans="1:8" ht="15.75" thickBot="1">
      <c r="A46" s="61"/>
      <c r="B46" s="61"/>
      <c r="C46" s="61"/>
      <c r="D46" s="61"/>
      <c r="E46" s="61"/>
      <c r="F46" s="61"/>
      <c r="G46" s="81" t="s">
        <v>491</v>
      </c>
      <c r="H46" s="120">
        <f>SUM(G43:G45)</f>
        <v>6599.2289467356868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32996</v>
      </c>
    </row>
  </sheetData>
  <mergeCells count="1">
    <mergeCell ref="A3:C4"/>
  </mergeCell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792" t="s">
        <v>520</v>
      </c>
      <c r="B5" s="793"/>
      <c r="C5" s="794"/>
      <c r="D5" s="798"/>
      <c r="E5" s="799"/>
      <c r="F5" s="799"/>
      <c r="G5" s="799"/>
      <c r="H5" s="800"/>
    </row>
    <row r="6" spans="1:8">
      <c r="A6" s="60"/>
      <c r="B6" s="61"/>
      <c r="C6" s="61"/>
      <c r="D6" s="61"/>
      <c r="E6" s="61"/>
      <c r="F6" s="61"/>
      <c r="G6" s="61"/>
      <c r="H6" s="61"/>
    </row>
    <row r="7" spans="1:8">
      <c r="A7" s="60" t="s">
        <v>834</v>
      </c>
      <c r="B7" s="62"/>
      <c r="C7" s="61"/>
      <c r="D7" s="16"/>
      <c r="E7" s="62"/>
      <c r="F7" s="16"/>
      <c r="G7" s="62" t="s">
        <v>861</v>
      </c>
      <c r="H7" s="61"/>
    </row>
    <row r="8" spans="1:8">
      <c r="A8" s="60" t="s">
        <v>1874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795" t="s">
        <v>485</v>
      </c>
      <c r="B11" s="796"/>
      <c r="C11" s="797"/>
      <c r="D11" s="797" t="s">
        <v>486</v>
      </c>
      <c r="E11" s="65" t="s">
        <v>487</v>
      </c>
      <c r="F11" s="797" t="s">
        <v>488</v>
      </c>
      <c r="G11" s="796" t="s">
        <v>489</v>
      </c>
      <c r="H11" s="67"/>
    </row>
    <row r="12" spans="1:8">
      <c r="A12" s="175" t="s">
        <v>1327</v>
      </c>
      <c r="B12" s="810"/>
      <c r="C12" s="811"/>
      <c r="D12" s="68"/>
      <c r="E12" s="86"/>
      <c r="F12" s="161"/>
      <c r="G12" s="71">
        <f>H38*10%</f>
        <v>2856.0453315371255</v>
      </c>
      <c r="H12" s="72"/>
    </row>
    <row r="13" spans="1:8">
      <c r="A13" s="175"/>
      <c r="B13" s="176"/>
      <c r="C13" s="174"/>
      <c r="D13" s="174"/>
      <c r="E13" s="173"/>
      <c r="F13" s="69"/>
      <c r="G13" s="173"/>
      <c r="H13" s="72"/>
    </row>
    <row r="14" spans="1:8">
      <c r="A14" s="801"/>
      <c r="B14" s="802"/>
      <c r="C14" s="803"/>
      <c r="D14" s="73"/>
      <c r="E14" s="74"/>
      <c r="F14" s="69"/>
      <c r="G14" s="71"/>
      <c r="H14" s="72"/>
    </row>
    <row r="15" spans="1:8">
      <c r="A15" s="801"/>
      <c r="B15" s="802"/>
      <c r="C15" s="803"/>
      <c r="D15" s="73"/>
      <c r="E15" s="74"/>
      <c r="F15" s="69"/>
      <c r="G15" s="71"/>
      <c r="H15" s="72"/>
    </row>
    <row r="16" spans="1:8">
      <c r="A16" s="801"/>
      <c r="B16" s="802"/>
      <c r="C16" s="803"/>
      <c r="D16" s="73"/>
      <c r="E16" s="74"/>
      <c r="F16" s="69"/>
      <c r="G16" s="71"/>
      <c r="H16" s="72"/>
    </row>
    <row r="17" spans="1:8" ht="15.75" thickBot="1">
      <c r="A17" s="804"/>
      <c r="B17" s="805"/>
      <c r="C17" s="806"/>
      <c r="D17" s="76"/>
      <c r="E17" s="77"/>
      <c r="F17" s="78"/>
      <c r="G17" s="79"/>
      <c r="H17" s="80"/>
    </row>
    <row r="18" spans="1:8" ht="15.75" thickBot="1">
      <c r="A18" s="61"/>
      <c r="B18" s="61"/>
      <c r="C18" s="61"/>
      <c r="D18" s="61"/>
      <c r="E18" s="61"/>
      <c r="F18" s="61"/>
      <c r="G18" s="81" t="s">
        <v>491</v>
      </c>
      <c r="H18" s="82">
        <f>SUM(G12:G17)</f>
        <v>2856.0453315371255</v>
      </c>
    </row>
    <row r="19" spans="1:8" ht="15.75" thickBot="1">
      <c r="A19" s="63" t="s">
        <v>492</v>
      </c>
      <c r="B19" s="63"/>
      <c r="C19" s="61"/>
      <c r="D19" s="61"/>
      <c r="E19" s="61"/>
      <c r="F19" s="61"/>
      <c r="G19" s="61"/>
      <c r="H19" s="61"/>
    </row>
    <row r="20" spans="1:8">
      <c r="A20" s="807" t="s">
        <v>485</v>
      </c>
      <c r="B20" s="808"/>
      <c r="C20" s="809"/>
      <c r="D20" s="809" t="s">
        <v>493</v>
      </c>
      <c r="E20" s="809" t="s">
        <v>494</v>
      </c>
      <c r="F20" s="809" t="s">
        <v>495</v>
      </c>
      <c r="G20" s="808"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795" t="s">
        <v>497</v>
      </c>
      <c r="B27" s="797"/>
      <c r="C27" s="93" t="s">
        <v>498</v>
      </c>
      <c r="D27" s="797" t="s">
        <v>499</v>
      </c>
      <c r="E27" s="797" t="s">
        <v>500</v>
      </c>
      <c r="F27" s="797"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795" t="s">
        <v>503</v>
      </c>
      <c r="B33" s="797"/>
      <c r="C33" s="797" t="s">
        <v>504</v>
      </c>
      <c r="D33" s="797" t="s">
        <v>505</v>
      </c>
      <c r="E33" s="124" t="s">
        <v>506</v>
      </c>
      <c r="F33" s="102" t="s">
        <v>488</v>
      </c>
      <c r="G33" s="796" t="s">
        <v>489</v>
      </c>
      <c r="H33" s="67"/>
    </row>
    <row r="34" spans="1:8">
      <c r="A34" s="83" t="s">
        <v>697</v>
      </c>
      <c r="B34" s="84"/>
      <c r="C34" s="103">
        <f>+SALARIOS!C49*1</f>
        <v>25572</v>
      </c>
      <c r="D34" s="104">
        <f>+SALARIOS!C48</f>
        <v>1.7846558312967005</v>
      </c>
      <c r="E34" s="69">
        <f>+C34*D34</f>
        <v>45637.218917919221</v>
      </c>
      <c r="F34" s="69">
        <v>3.3334464871134131</v>
      </c>
      <c r="G34" s="105">
        <f>+E34/F34</f>
        <v>13690.700929007149</v>
      </c>
      <c r="H34" s="72"/>
    </row>
    <row r="35" spans="1:8">
      <c r="A35" s="83" t="s">
        <v>624</v>
      </c>
      <c r="B35" s="84"/>
      <c r="C35" s="103">
        <f>+SALARIOS!C50</f>
        <v>41660</v>
      </c>
      <c r="D35" s="104">
        <f>+SALARIOS!C48</f>
        <v>1.7846558312967005</v>
      </c>
      <c r="E35" s="69">
        <f>+C35*D35</f>
        <v>74348.76193182054</v>
      </c>
      <c r="F35" s="69">
        <v>5</v>
      </c>
      <c r="G35" s="105">
        <f>+E35/F35</f>
        <v>14869.752386364107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28560.453315371255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31416.498646908381</v>
      </c>
    </row>
    <row r="41" spans="1:8" ht="15.75" thickBot="1">
      <c r="A41" s="63" t="s">
        <v>509</v>
      </c>
      <c r="B41" s="63"/>
      <c r="C41" s="61"/>
      <c r="D41" s="61"/>
      <c r="E41" s="61"/>
      <c r="F41" s="61"/>
      <c r="G41" s="61"/>
      <c r="H41" s="61"/>
    </row>
    <row r="42" spans="1:8">
      <c r="A42" s="233" t="s">
        <v>485</v>
      </c>
      <c r="B42" s="808"/>
      <c r="C42" s="808"/>
      <c r="D42" s="808"/>
      <c r="E42" s="809"/>
      <c r="F42" s="809" t="s">
        <v>510</v>
      </c>
      <c r="G42" s="808" t="s">
        <v>511</v>
      </c>
      <c r="H42" s="67"/>
    </row>
    <row r="43" spans="1:8">
      <c r="A43" s="83" t="s">
        <v>512</v>
      </c>
      <c r="B43" s="84"/>
      <c r="C43" s="84"/>
      <c r="D43" s="84"/>
      <c r="E43" s="85"/>
      <c r="F43" s="115">
        <f>+SALARIOS!C45</f>
        <v>0.15</v>
      </c>
      <c r="G43" s="116">
        <f>++F43*H40</f>
        <v>4712.4747970362569</v>
      </c>
      <c r="H43" s="117"/>
    </row>
    <row r="44" spans="1:8">
      <c r="A44" s="83" t="s">
        <v>513</v>
      </c>
      <c r="B44" s="84"/>
      <c r="C44" s="84"/>
      <c r="D44" s="84"/>
      <c r="E44" s="85"/>
      <c r="F44" s="115">
        <f>+SALARIOS!C46</f>
        <v>0.05</v>
      </c>
      <c r="G44" s="116">
        <f>+F44*H40</f>
        <v>1570.8249323454193</v>
      </c>
      <c r="H44" s="117"/>
    </row>
    <row r="45" spans="1:8" ht="15.75" thickBot="1">
      <c r="A45" s="89" t="s">
        <v>514</v>
      </c>
      <c r="B45" s="90"/>
      <c r="C45" s="90"/>
      <c r="D45" s="90"/>
      <c r="E45" s="91"/>
      <c r="F45" s="118">
        <f>+SALARIOS!C47</f>
        <v>0.05</v>
      </c>
      <c r="G45" s="119">
        <f>+F45*H40</f>
        <v>1570.8249323454193</v>
      </c>
      <c r="H45" s="80"/>
    </row>
    <row r="46" spans="1:8" ht="15.75" thickBot="1">
      <c r="A46" s="61"/>
      <c r="B46" s="61"/>
      <c r="C46" s="61"/>
      <c r="D46" s="61"/>
      <c r="E46" s="61"/>
      <c r="F46" s="61"/>
      <c r="G46" s="81" t="s">
        <v>491</v>
      </c>
      <c r="H46" s="120">
        <f>SUM(G43:G45)</f>
        <v>7854.1246617270954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39271</v>
      </c>
    </row>
  </sheetData>
  <mergeCells count="1">
    <mergeCell ref="A3:C4"/>
  </mergeCell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862</v>
      </c>
      <c r="H7" s="61"/>
    </row>
    <row r="8" spans="1:8">
      <c r="A8" s="60" t="s">
        <v>1903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3312.4639953531791</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3312.4639953531791</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5</v>
      </c>
      <c r="G34" s="105">
        <f>+E34/F34</f>
        <v>18254.887567167687</v>
      </c>
      <c r="H34" s="72"/>
    </row>
    <row r="35" spans="1:8">
      <c r="A35" s="83" t="s">
        <v>624</v>
      </c>
      <c r="B35" s="84"/>
      <c r="C35" s="103">
        <f>+SALARIOS!C50</f>
        <v>41660</v>
      </c>
      <c r="D35" s="104">
        <f>+SALARIOS!C48</f>
        <v>1.7846558312967005</v>
      </c>
      <c r="E35" s="69">
        <f>+C35*D35</f>
        <v>74348.76193182054</v>
      </c>
      <c r="F35" s="69">
        <v>5</v>
      </c>
      <c r="G35" s="105">
        <f>+E35/F35</f>
        <v>14869.752386364107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33124.639953531791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36437.103948884971</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5465.5655923327458</v>
      </c>
      <c r="H43" s="117"/>
    </row>
    <row r="44" spans="1:8">
      <c r="A44" s="83" t="s">
        <v>513</v>
      </c>
      <c r="B44" s="84"/>
      <c r="C44" s="84"/>
      <c r="D44" s="84"/>
      <c r="E44" s="85"/>
      <c r="F44" s="115">
        <f>+SALARIOS!C46</f>
        <v>0.05</v>
      </c>
      <c r="G44" s="116">
        <f>+F44*H40</f>
        <v>1821.8551974442487</v>
      </c>
      <c r="H44" s="117"/>
    </row>
    <row r="45" spans="1:8" ht="15.75" thickBot="1">
      <c r="A45" s="89" t="s">
        <v>514</v>
      </c>
      <c r="B45" s="90"/>
      <c r="C45" s="90"/>
      <c r="D45" s="90"/>
      <c r="E45" s="91"/>
      <c r="F45" s="118">
        <f>+SALARIOS!C47</f>
        <v>0.05</v>
      </c>
      <c r="G45" s="119">
        <f>+F45*H40</f>
        <v>1821.8551974442487</v>
      </c>
      <c r="H45" s="80"/>
    </row>
    <row r="46" spans="1:8" ht="15.75" thickBot="1">
      <c r="A46" s="61"/>
      <c r="B46" s="61"/>
      <c r="C46" s="61"/>
      <c r="D46" s="61"/>
      <c r="E46" s="61"/>
      <c r="F46" s="61"/>
      <c r="G46" s="81" t="s">
        <v>491</v>
      </c>
      <c r="H46" s="120">
        <f>SUM(G43:G45)</f>
        <v>9109.2759872212428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45546</v>
      </c>
    </row>
  </sheetData>
  <mergeCells count="1">
    <mergeCell ref="A3:C4"/>
  </mergeCell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863</v>
      </c>
      <c r="H7" s="61"/>
    </row>
    <row r="8" spans="1:8">
      <c r="A8" s="60" t="s">
        <v>1906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3680.5155503924225</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3680.5155503924225</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4.5</v>
      </c>
      <c r="G34" s="105">
        <f>+E34/F34</f>
        <v>20283.208407964099</v>
      </c>
      <c r="H34" s="72"/>
    </row>
    <row r="35" spans="1:8">
      <c r="A35" s="83" t="s">
        <v>624</v>
      </c>
      <c r="B35" s="84"/>
      <c r="C35" s="103">
        <f>+SALARIOS!C50</f>
        <v>41660</v>
      </c>
      <c r="D35" s="104">
        <f>+SALARIOS!C48</f>
        <v>1.7846558312967005</v>
      </c>
      <c r="E35" s="69">
        <f>+C35*D35</f>
        <v>74348.76193182054</v>
      </c>
      <c r="F35" s="69">
        <v>4.5</v>
      </c>
      <c r="G35" s="105">
        <f>+E35/F35</f>
        <v>16521.94709596012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36805.155503924223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40485.671054316648</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6072.8506581474967</v>
      </c>
      <c r="H43" s="117"/>
    </row>
    <row r="44" spans="1:8">
      <c r="A44" s="83" t="s">
        <v>513</v>
      </c>
      <c r="B44" s="84"/>
      <c r="C44" s="84"/>
      <c r="D44" s="84"/>
      <c r="E44" s="85"/>
      <c r="F44" s="115">
        <f>+SALARIOS!C46</f>
        <v>0.05</v>
      </c>
      <c r="G44" s="116">
        <f>+F44*H40</f>
        <v>2024.2835527158325</v>
      </c>
      <c r="H44" s="117"/>
    </row>
    <row r="45" spans="1:8" ht="15.75" thickBot="1">
      <c r="A45" s="89" t="s">
        <v>514</v>
      </c>
      <c r="B45" s="90"/>
      <c r="C45" s="90"/>
      <c r="D45" s="90"/>
      <c r="E45" s="91"/>
      <c r="F45" s="118">
        <f>+SALARIOS!C47</f>
        <v>0.05</v>
      </c>
      <c r="G45" s="119">
        <f>+F45*H40</f>
        <v>2024.2835527158325</v>
      </c>
      <c r="H45" s="80"/>
    </row>
    <row r="46" spans="1:8" ht="15.75" thickBot="1">
      <c r="A46" s="61"/>
      <c r="B46" s="61"/>
      <c r="C46" s="61"/>
      <c r="D46" s="61"/>
      <c r="E46" s="61"/>
      <c r="F46" s="61"/>
      <c r="G46" s="81" t="s">
        <v>491</v>
      </c>
      <c r="H46" s="120">
        <f>SUM(G43:G45)</f>
        <v>10121.417763579162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50607</v>
      </c>
    </row>
  </sheetData>
  <mergeCells count="1">
    <mergeCell ref="A3:C4"/>
  </mergeCell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864</v>
      </c>
      <c r="H7" s="61"/>
    </row>
    <row r="8" spans="1:8">
      <c r="A8" s="60" t="s">
        <v>1908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4140.5799941914747</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4140.5799941914747</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4</v>
      </c>
      <c r="G34" s="105">
        <f>+E34/F34</f>
        <v>22818.60945895961</v>
      </c>
      <c r="H34" s="72"/>
    </row>
    <row r="35" spans="1:8">
      <c r="A35" s="83" t="s">
        <v>624</v>
      </c>
      <c r="B35" s="84"/>
      <c r="C35" s="103">
        <f>+SALARIOS!C50</f>
        <v>41660</v>
      </c>
      <c r="D35" s="104">
        <f>+SALARIOS!C48</f>
        <v>1.7846558312967005</v>
      </c>
      <c r="E35" s="69">
        <f>+C35*D35</f>
        <v>74348.76193182054</v>
      </c>
      <c r="F35" s="69">
        <v>4</v>
      </c>
      <c r="G35" s="105">
        <f>+E35/F35</f>
        <v>18587.190482955135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41405.799941914745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45546.379936106219</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6831.9569904159325</v>
      </c>
      <c r="H43" s="117"/>
    </row>
    <row r="44" spans="1:8">
      <c r="A44" s="83" t="s">
        <v>513</v>
      </c>
      <c r="B44" s="84"/>
      <c r="C44" s="84"/>
      <c r="D44" s="84"/>
      <c r="E44" s="85"/>
      <c r="F44" s="115">
        <f>+SALARIOS!C46</f>
        <v>0.05</v>
      </c>
      <c r="G44" s="116">
        <f>+F44*H40</f>
        <v>2277.3189968053111</v>
      </c>
      <c r="H44" s="117"/>
    </row>
    <row r="45" spans="1:8" ht="15.75" thickBot="1">
      <c r="A45" s="89" t="s">
        <v>514</v>
      </c>
      <c r="B45" s="90"/>
      <c r="C45" s="90"/>
      <c r="D45" s="90"/>
      <c r="E45" s="91"/>
      <c r="F45" s="118">
        <f>+SALARIOS!C47</f>
        <v>0.05</v>
      </c>
      <c r="G45" s="119">
        <f>+F45*H40</f>
        <v>2277.3189968053111</v>
      </c>
      <c r="H45" s="80"/>
    </row>
    <row r="46" spans="1:8" ht="15.75" thickBot="1">
      <c r="A46" s="61"/>
      <c r="B46" s="61"/>
      <c r="C46" s="61"/>
      <c r="D46" s="61"/>
      <c r="E46" s="61"/>
      <c r="F46" s="61"/>
      <c r="G46" s="81" t="s">
        <v>491</v>
      </c>
      <c r="H46" s="120">
        <f>SUM(G43:G45)</f>
        <v>11386.594984026557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56933</v>
      </c>
    </row>
  </sheetData>
  <mergeCells count="1">
    <mergeCell ref="A3:C4"/>
  </mergeCell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4"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865</v>
      </c>
      <c r="H7" s="61"/>
    </row>
    <row r="8" spans="1:8">
      <c r="A8" s="60" t="s">
        <v>753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4732.0914219331144</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4732.0914219331144</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3.5</v>
      </c>
      <c r="G34" s="105">
        <f>+E34/F34</f>
        <v>26078.410810239555</v>
      </c>
      <c r="H34" s="72"/>
    </row>
    <row r="35" spans="1:8">
      <c r="A35" s="83" t="s">
        <v>624</v>
      </c>
      <c r="B35" s="84"/>
      <c r="C35" s="103">
        <f>+SALARIOS!C50</f>
        <v>41660</v>
      </c>
      <c r="D35" s="104">
        <f>+SALARIOS!C48</f>
        <v>1.7846558312967005</v>
      </c>
      <c r="E35" s="69">
        <f>+C35*D35</f>
        <v>74348.76193182054</v>
      </c>
      <c r="F35" s="69">
        <v>3.5</v>
      </c>
      <c r="G35" s="105">
        <f>+E35/F35</f>
        <v>21242.503409091583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47320.914219331142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52053.005641264259</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7807.9508461896385</v>
      </c>
      <c r="H43" s="117"/>
    </row>
    <row r="44" spans="1:8">
      <c r="A44" s="83" t="s">
        <v>513</v>
      </c>
      <c r="B44" s="84"/>
      <c r="C44" s="84"/>
      <c r="D44" s="84"/>
      <c r="E44" s="85"/>
      <c r="F44" s="115">
        <f>+SALARIOS!C46</f>
        <v>0.05</v>
      </c>
      <c r="G44" s="116">
        <f>+F44*H40</f>
        <v>2602.6502820632131</v>
      </c>
      <c r="H44" s="117"/>
    </row>
    <row r="45" spans="1:8" ht="15.75" thickBot="1">
      <c r="A45" s="89" t="s">
        <v>514</v>
      </c>
      <c r="B45" s="90"/>
      <c r="C45" s="90"/>
      <c r="D45" s="90"/>
      <c r="E45" s="91"/>
      <c r="F45" s="118">
        <f>+SALARIOS!C47</f>
        <v>0.05</v>
      </c>
      <c r="G45" s="119">
        <f>+F45*H40</f>
        <v>2602.6502820632131</v>
      </c>
      <c r="H45" s="80"/>
    </row>
    <row r="46" spans="1:8" ht="15.75" thickBot="1">
      <c r="A46" s="61"/>
      <c r="B46" s="61"/>
      <c r="C46" s="61"/>
      <c r="D46" s="61"/>
      <c r="E46" s="61"/>
      <c r="F46" s="61"/>
      <c r="G46" s="81" t="s">
        <v>491</v>
      </c>
      <c r="H46" s="120">
        <f>SUM(G43:G45)</f>
        <v>13013.251410316065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65066</v>
      </c>
    </row>
  </sheetData>
  <mergeCells count="1">
    <mergeCell ref="A3:C4"/>
  </mergeCell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866</v>
      </c>
      <c r="H7" s="61"/>
    </row>
    <row r="8" spans="1:8">
      <c r="A8" s="60" t="s">
        <v>839</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790"/>
      <c r="C12" s="791"/>
      <c r="D12" s="68"/>
      <c r="E12" s="86"/>
      <c r="F12" s="161"/>
      <c r="G12" s="71">
        <f>H38*10%</f>
        <v>5018.8848414442127</v>
      </c>
      <c r="H12" s="72"/>
    </row>
    <row r="13" spans="1:8">
      <c r="A13" s="175"/>
      <c r="B13" s="176"/>
      <c r="C13" s="174"/>
      <c r="D13" s="174"/>
      <c r="E13" s="173"/>
      <c r="F13" s="69"/>
      <c r="G13" s="173"/>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5018.8848414442127</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3.3</v>
      </c>
      <c r="G34" s="105">
        <f>+E34/F34</f>
        <v>27658.920556314682</v>
      </c>
      <c r="H34" s="72"/>
    </row>
    <row r="35" spans="1:8">
      <c r="A35" s="83" t="s">
        <v>624</v>
      </c>
      <c r="B35" s="84"/>
      <c r="C35" s="103">
        <f>+SALARIOS!C50</f>
        <v>41660</v>
      </c>
      <c r="D35" s="104">
        <f>+SALARIOS!C48</f>
        <v>1.7846558312967005</v>
      </c>
      <c r="E35" s="69">
        <f>+C35*D35</f>
        <v>74348.76193182054</v>
      </c>
      <c r="F35" s="69">
        <v>3.3</v>
      </c>
      <c r="G35" s="105">
        <f>+E35/F35</f>
        <v>22529.927858127438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50188.848414442124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55207.733255886335</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8281.1599883829495</v>
      </c>
      <c r="H43" s="117"/>
    </row>
    <row r="44" spans="1:8">
      <c r="A44" s="83" t="s">
        <v>513</v>
      </c>
      <c r="B44" s="84"/>
      <c r="C44" s="84"/>
      <c r="D44" s="84"/>
      <c r="E44" s="85"/>
      <c r="F44" s="115">
        <f>+SALARIOS!C46</f>
        <v>0.05</v>
      </c>
      <c r="G44" s="116">
        <f>+F44*H40</f>
        <v>2760.3866627943171</v>
      </c>
      <c r="H44" s="117"/>
    </row>
    <row r="45" spans="1:8" ht="15.75" thickBot="1">
      <c r="A45" s="89" t="s">
        <v>514</v>
      </c>
      <c r="B45" s="90"/>
      <c r="C45" s="90"/>
      <c r="D45" s="90"/>
      <c r="E45" s="91"/>
      <c r="F45" s="118">
        <f>+SALARIOS!C47</f>
        <v>0.05</v>
      </c>
      <c r="G45" s="119">
        <f>+F45*H40</f>
        <v>2760.3866627943171</v>
      </c>
      <c r="H45" s="80"/>
    </row>
    <row r="46" spans="1:8" ht="15.75" thickBot="1">
      <c r="A46" s="61"/>
      <c r="B46" s="61"/>
      <c r="C46" s="61"/>
      <c r="D46" s="61"/>
      <c r="E46" s="61"/>
      <c r="F46" s="61"/>
      <c r="G46" s="81" t="s">
        <v>491</v>
      </c>
      <c r="H46" s="120">
        <f>SUM(G43:G45)</f>
        <v>13801.933313971584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69010</v>
      </c>
    </row>
  </sheetData>
  <mergeCells count="1">
    <mergeCell ref="A3:C4"/>
  </mergeCell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867</v>
      </c>
      <c r="H7" s="61"/>
    </row>
    <row r="8" spans="1:8">
      <c r="A8" s="60" t="s">
        <v>840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10</v>
      </c>
      <c r="G12" s="71">
        <f>+E12/F12</f>
        <v>8700</v>
      </c>
      <c r="H12" s="72"/>
    </row>
    <row r="13" spans="1:8">
      <c r="A13" s="175" t="s">
        <v>1327</v>
      </c>
      <c r="B13" s="790"/>
      <c r="C13" s="791"/>
      <c r="D13" s="68"/>
      <c r="E13" s="86"/>
      <c r="F13" s="161"/>
      <c r="G13" s="71">
        <f>H38*10%</f>
        <v>5342.6838634728701</v>
      </c>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14042.68386347287</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3.1</v>
      </c>
      <c r="G34" s="105">
        <f>+E34/F34</f>
        <v>29443.367043818853</v>
      </c>
      <c r="H34" s="72"/>
    </row>
    <row r="35" spans="1:8">
      <c r="A35" s="83" t="s">
        <v>624</v>
      </c>
      <c r="B35" s="84"/>
      <c r="C35" s="103">
        <f>+SALARIOS!C50</f>
        <v>41660</v>
      </c>
      <c r="D35" s="104">
        <f>+SALARIOS!C48</f>
        <v>1.7846558312967005</v>
      </c>
      <c r="E35" s="69">
        <f>+C35*D35</f>
        <v>74348.76193182054</v>
      </c>
      <c r="F35" s="69">
        <v>3.1</v>
      </c>
      <c r="G35" s="105">
        <f>+E35/F35</f>
        <v>23983.471590909852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53426.838634728701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67469.522498201579</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10120.428374730236</v>
      </c>
      <c r="H43" s="117"/>
    </row>
    <row r="44" spans="1:8">
      <c r="A44" s="83" t="s">
        <v>513</v>
      </c>
      <c r="B44" s="84"/>
      <c r="C44" s="84"/>
      <c r="D44" s="84"/>
      <c r="E44" s="85"/>
      <c r="F44" s="115">
        <f>+SALARIOS!C46</f>
        <v>0.05</v>
      </c>
      <c r="G44" s="116">
        <f>+F44*H40</f>
        <v>3373.4761249100793</v>
      </c>
      <c r="H44" s="117"/>
    </row>
    <row r="45" spans="1:8" ht="15.75" thickBot="1">
      <c r="A45" s="89" t="s">
        <v>514</v>
      </c>
      <c r="B45" s="90"/>
      <c r="C45" s="90"/>
      <c r="D45" s="90"/>
      <c r="E45" s="91"/>
      <c r="F45" s="118">
        <f>+SALARIOS!C47</f>
        <v>0.05</v>
      </c>
      <c r="G45" s="119">
        <f>+F45*H40</f>
        <v>3373.4761249100793</v>
      </c>
      <c r="H45" s="80"/>
    </row>
    <row r="46" spans="1:8" ht="15.75" thickBot="1">
      <c r="A46" s="61"/>
      <c r="B46" s="61"/>
      <c r="C46" s="61"/>
      <c r="D46" s="61"/>
      <c r="E46" s="61"/>
      <c r="F46" s="61"/>
      <c r="G46" s="81" t="s">
        <v>491</v>
      </c>
      <c r="H46" s="120">
        <f>SUM(G43:G45)</f>
        <v>16867.380624550395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84337</v>
      </c>
    </row>
  </sheetData>
  <mergeCells count="1">
    <mergeCell ref="A3:C4"/>
  </mergeCell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868</v>
      </c>
      <c r="H7" s="61"/>
    </row>
    <row r="8" spans="1:8">
      <c r="A8" s="60" t="s">
        <v>869</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10</v>
      </c>
      <c r="G12" s="71">
        <f>+E12/F12</f>
        <v>8700</v>
      </c>
      <c r="H12" s="72"/>
    </row>
    <row r="13" spans="1:8">
      <c r="A13" s="175" t="s">
        <v>1327</v>
      </c>
      <c r="B13" s="790"/>
      <c r="C13" s="791"/>
      <c r="D13" s="68"/>
      <c r="E13" s="86"/>
      <c r="F13" s="161"/>
      <c r="G13" s="71">
        <f>H38*10%</f>
        <v>5915.1142774163927</v>
      </c>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14615.114277416393</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2.8</v>
      </c>
      <c r="G34" s="105">
        <f>+E34/F34</f>
        <v>32598.013512799447</v>
      </c>
      <c r="H34" s="72"/>
    </row>
    <row r="35" spans="1:8">
      <c r="A35" s="83" t="s">
        <v>624</v>
      </c>
      <c r="B35" s="84"/>
      <c r="C35" s="103">
        <f>+SALARIOS!C50</f>
        <v>41660</v>
      </c>
      <c r="D35" s="104">
        <f>+SALARIOS!C48</f>
        <v>1.7846558312967005</v>
      </c>
      <c r="E35" s="69">
        <f>+C35*D35</f>
        <v>74348.76193182054</v>
      </c>
      <c r="F35" s="69">
        <v>2.8</v>
      </c>
      <c r="G35" s="105">
        <f>+E35/F35</f>
        <v>26553.12926136448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59151.142774163927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73766.257051580324</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11064.938557737049</v>
      </c>
      <c r="H43" s="117"/>
    </row>
    <row r="44" spans="1:8">
      <c r="A44" s="83" t="s">
        <v>513</v>
      </c>
      <c r="B44" s="84"/>
      <c r="C44" s="84"/>
      <c r="D44" s="84"/>
      <c r="E44" s="85"/>
      <c r="F44" s="115">
        <f>+SALARIOS!C46</f>
        <v>0.05</v>
      </c>
      <c r="G44" s="116">
        <f>+F44*H40</f>
        <v>3688.3128525790162</v>
      </c>
      <c r="H44" s="117"/>
    </row>
    <row r="45" spans="1:8" ht="15.75" thickBot="1">
      <c r="A45" s="89" t="s">
        <v>514</v>
      </c>
      <c r="B45" s="90"/>
      <c r="C45" s="90"/>
      <c r="D45" s="90"/>
      <c r="E45" s="91"/>
      <c r="F45" s="118">
        <f>+SALARIOS!C47</f>
        <v>0.05</v>
      </c>
      <c r="G45" s="119">
        <f>+F45*H40</f>
        <v>3688.3128525790162</v>
      </c>
      <c r="H45" s="80"/>
    </row>
    <row r="46" spans="1:8" ht="15.75" thickBot="1">
      <c r="A46" s="61"/>
      <c r="B46" s="61"/>
      <c r="C46" s="61"/>
      <c r="D46" s="61"/>
      <c r="E46" s="61"/>
      <c r="F46" s="61"/>
      <c r="G46" s="81" t="s">
        <v>491</v>
      </c>
      <c r="H46" s="120">
        <f>SUM(G43:G45)</f>
        <v>18441.564262895081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92208</v>
      </c>
    </row>
  </sheetData>
  <mergeCells count="1">
    <mergeCell ref="A3:C4"/>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834</v>
      </c>
      <c r="B7" s="62"/>
      <c r="C7" s="61"/>
      <c r="D7" s="16"/>
      <c r="E7" s="62"/>
      <c r="F7" s="16"/>
      <c r="G7" s="62" t="s">
        <v>870</v>
      </c>
      <c r="H7" s="61"/>
    </row>
    <row r="8" spans="1:8">
      <c r="A8" s="60" t="s">
        <v>838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234" t="s">
        <v>14</v>
      </c>
      <c r="B12" s="231"/>
      <c r="C12" s="232"/>
      <c r="D12" s="68" t="s">
        <v>6</v>
      </c>
      <c r="E12" s="86">
        <f>+'EQUIPOS '!D10</f>
        <v>87000</v>
      </c>
      <c r="F12" s="161">
        <v>10</v>
      </c>
      <c r="G12" s="71">
        <f>+E12/F12</f>
        <v>8700</v>
      </c>
      <c r="H12" s="72"/>
    </row>
    <row r="13" spans="1:8">
      <c r="A13" s="175" t="s">
        <v>1327</v>
      </c>
      <c r="B13" s="790"/>
      <c r="C13" s="791"/>
      <c r="D13" s="68"/>
      <c r="E13" s="86"/>
      <c r="F13" s="161"/>
      <c r="G13" s="71">
        <f>H38*10%</f>
        <v>6624.9279907063583</v>
      </c>
      <c r="H13" s="72"/>
    </row>
    <row r="14" spans="1:8">
      <c r="A14" s="222"/>
      <c r="B14" s="223"/>
      <c r="C14" s="224"/>
      <c r="D14" s="73"/>
      <c r="E14" s="74"/>
      <c r="F14" s="69"/>
      <c r="G14" s="71"/>
      <c r="H14" s="72"/>
    </row>
    <row r="15" spans="1:8">
      <c r="A15" s="222"/>
      <c r="B15" s="223"/>
      <c r="C15" s="224"/>
      <c r="D15" s="73"/>
      <c r="E15" s="74"/>
      <c r="F15" s="69"/>
      <c r="G15" s="71"/>
      <c r="H15" s="72"/>
    </row>
    <row r="16" spans="1:8">
      <c r="A16" s="222"/>
      <c r="B16" s="223"/>
      <c r="C16" s="224"/>
      <c r="D16" s="73"/>
      <c r="E16" s="74"/>
      <c r="F16" s="69"/>
      <c r="G16" s="71"/>
      <c r="H16" s="72"/>
    </row>
    <row r="17" spans="1:8" ht="15.75" thickBot="1">
      <c r="A17" s="225"/>
      <c r="B17" s="226"/>
      <c r="C17" s="227"/>
      <c r="D17" s="76"/>
      <c r="E17" s="77"/>
      <c r="F17" s="78"/>
      <c r="G17" s="79"/>
      <c r="H17" s="80"/>
    </row>
    <row r="18" spans="1:8" ht="15.75" thickBot="1">
      <c r="A18" s="61"/>
      <c r="B18" s="61"/>
      <c r="C18" s="61"/>
      <c r="D18" s="61"/>
      <c r="E18" s="61"/>
      <c r="F18" s="61"/>
      <c r="G18" s="81" t="s">
        <v>491</v>
      </c>
      <c r="H18" s="82">
        <f>SUM(G12:G17)</f>
        <v>15324.927990706357</v>
      </c>
    </row>
    <row r="19" spans="1:8" ht="15.75" thickBot="1">
      <c r="A19" s="63" t="s">
        <v>492</v>
      </c>
      <c r="B19" s="63"/>
      <c r="C19" s="61"/>
      <c r="D19" s="61"/>
      <c r="E19" s="61"/>
      <c r="F19" s="61"/>
      <c r="G19" s="61"/>
      <c r="H19" s="61"/>
    </row>
    <row r="20" spans="1:8">
      <c r="A20" s="228" t="s">
        <v>485</v>
      </c>
      <c r="B20" s="229"/>
      <c r="C20" s="230"/>
      <c r="D20" s="230" t="s">
        <v>493</v>
      </c>
      <c r="E20" s="230" t="s">
        <v>494</v>
      </c>
      <c r="F20" s="230" t="s">
        <v>495</v>
      </c>
      <c r="G20" s="22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16" t="s">
        <v>497</v>
      </c>
      <c r="B27" s="218"/>
      <c r="C27" s="93" t="s">
        <v>498</v>
      </c>
      <c r="D27" s="218" t="s">
        <v>499</v>
      </c>
      <c r="E27" s="218" t="s">
        <v>500</v>
      </c>
      <c r="F27" s="218" t="s">
        <v>501</v>
      </c>
      <c r="G27" s="94" t="s">
        <v>489</v>
      </c>
      <c r="H27" s="67"/>
    </row>
    <row r="28" spans="1:8">
      <c r="A28" s="83" t="s">
        <v>842</v>
      </c>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16" t="s">
        <v>503</v>
      </c>
      <c r="B33" s="218"/>
      <c r="C33" s="218" t="s">
        <v>504</v>
      </c>
      <c r="D33" s="218" t="s">
        <v>505</v>
      </c>
      <c r="E33" s="124" t="s">
        <v>506</v>
      </c>
      <c r="F33" s="102" t="s">
        <v>488</v>
      </c>
      <c r="G33" s="217" t="s">
        <v>489</v>
      </c>
      <c r="H33" s="67"/>
    </row>
    <row r="34" spans="1:8">
      <c r="A34" s="83" t="s">
        <v>553</v>
      </c>
      <c r="B34" s="84"/>
      <c r="C34" s="103">
        <f>+SALARIOS!C49*2</f>
        <v>51144</v>
      </c>
      <c r="D34" s="104">
        <f>+SALARIOS!C48</f>
        <v>1.7846558312967005</v>
      </c>
      <c r="E34" s="69">
        <f>+C34*D34</f>
        <v>91274.437835838442</v>
      </c>
      <c r="F34" s="69">
        <v>2.5</v>
      </c>
      <c r="G34" s="105">
        <f>+E34/F34</f>
        <v>36509.775134335374</v>
      </c>
      <c r="H34" s="72"/>
    </row>
    <row r="35" spans="1:8">
      <c r="A35" s="83" t="s">
        <v>624</v>
      </c>
      <c r="B35" s="84"/>
      <c r="C35" s="103">
        <f>+SALARIOS!C50</f>
        <v>41660</v>
      </c>
      <c r="D35" s="104">
        <f>+SALARIOS!C48</f>
        <v>1.7846558312967005</v>
      </c>
      <c r="E35" s="69">
        <f>+C35*D35</f>
        <v>74348.76193182054</v>
      </c>
      <c r="F35" s="69">
        <v>2.5</v>
      </c>
      <c r="G35" s="105">
        <f>+E35/F35</f>
        <v>29739.504772728214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66249.279907063581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81574.207897769942</v>
      </c>
    </row>
    <row r="41" spans="1:8" ht="15.75" thickBot="1">
      <c r="A41" s="63" t="s">
        <v>509</v>
      </c>
      <c r="B41" s="63"/>
      <c r="C41" s="61"/>
      <c r="D41" s="61"/>
      <c r="E41" s="61"/>
      <c r="F41" s="61"/>
      <c r="G41" s="61"/>
      <c r="H41" s="61"/>
    </row>
    <row r="42" spans="1:8">
      <c r="A42" s="233" t="s">
        <v>485</v>
      </c>
      <c r="B42" s="229"/>
      <c r="C42" s="229"/>
      <c r="D42" s="229"/>
      <c r="E42" s="230"/>
      <c r="F42" s="230" t="s">
        <v>510</v>
      </c>
      <c r="G42" s="229" t="s">
        <v>511</v>
      </c>
      <c r="H42" s="67"/>
    </row>
    <row r="43" spans="1:8">
      <c r="A43" s="83" t="s">
        <v>512</v>
      </c>
      <c r="B43" s="84"/>
      <c r="C43" s="84"/>
      <c r="D43" s="84"/>
      <c r="E43" s="85"/>
      <c r="F43" s="115">
        <f>+SALARIOS!C45</f>
        <v>0.15</v>
      </c>
      <c r="G43" s="116">
        <f>++F43*H40</f>
        <v>12236.131184665492</v>
      </c>
      <c r="H43" s="117"/>
    </row>
    <row r="44" spans="1:8">
      <c r="A44" s="83" t="s">
        <v>513</v>
      </c>
      <c r="B44" s="84"/>
      <c r="C44" s="84"/>
      <c r="D44" s="84"/>
      <c r="E44" s="85"/>
      <c r="F44" s="115">
        <f>+SALARIOS!C46</f>
        <v>0.05</v>
      </c>
      <c r="G44" s="116">
        <f>+F44*H40</f>
        <v>4078.7103948884974</v>
      </c>
      <c r="H44" s="117"/>
    </row>
    <row r="45" spans="1:8" ht="15.75" thickBot="1">
      <c r="A45" s="89" t="s">
        <v>514</v>
      </c>
      <c r="B45" s="90"/>
      <c r="C45" s="90"/>
      <c r="D45" s="90"/>
      <c r="E45" s="91"/>
      <c r="F45" s="118">
        <f>+SALARIOS!C47</f>
        <v>0.05</v>
      </c>
      <c r="G45" s="119">
        <f>+F45*H40</f>
        <v>4078.7103948884974</v>
      </c>
      <c r="H45" s="80"/>
    </row>
    <row r="46" spans="1:8" ht="15.75" thickBot="1">
      <c r="A46" s="61"/>
      <c r="B46" s="61"/>
      <c r="C46" s="61"/>
      <c r="D46" s="61"/>
      <c r="E46" s="61"/>
      <c r="F46" s="61"/>
      <c r="G46" s="81" t="s">
        <v>491</v>
      </c>
      <c r="H46" s="120">
        <f>SUM(G43:G45)</f>
        <v>20393.551974442486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101968</v>
      </c>
    </row>
  </sheetData>
  <mergeCells count="1">
    <mergeCell ref="A3:C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6"/>
  <sheetViews>
    <sheetView topLeftCell="A25" zoomScaleNormal="100" workbookViewId="0">
      <selection activeCell="F19" sqref="F19"/>
    </sheetView>
  </sheetViews>
  <sheetFormatPr baseColWidth="10" defaultRowHeight="15"/>
  <cols>
    <col min="3" max="3" width="15.5703125" customWidth="1"/>
  </cols>
  <sheetData>
    <row r="1" spans="1:8">
      <c r="A1" s="1445" t="s">
        <v>519</v>
      </c>
      <c r="B1" s="1446"/>
      <c r="C1" s="1447"/>
      <c r="D1" s="55"/>
      <c r="E1" s="56"/>
      <c r="F1" s="55"/>
      <c r="G1" s="55"/>
      <c r="H1" s="57"/>
    </row>
    <row r="2" spans="1:8">
      <c r="A2" s="1448"/>
      <c r="B2" s="1449"/>
      <c r="C2" s="1450"/>
      <c r="D2" s="58"/>
      <c r="E2" s="51" t="s">
        <v>483</v>
      </c>
      <c r="F2" s="58"/>
      <c r="G2" s="58"/>
      <c r="H2" s="59"/>
    </row>
    <row r="3" spans="1:8" ht="15.75" thickBot="1">
      <c r="A3" s="1451" t="s">
        <v>520</v>
      </c>
      <c r="B3" s="1452"/>
      <c r="C3" s="1453"/>
      <c r="D3" s="1457"/>
      <c r="E3" s="1458"/>
      <c r="F3" s="1458"/>
      <c r="G3" s="1458"/>
      <c r="H3" s="1459"/>
    </row>
    <row r="4" spans="1:8">
      <c r="A4" s="60"/>
      <c r="B4" s="61"/>
      <c r="C4" s="61"/>
      <c r="D4" s="61"/>
      <c r="E4" s="61"/>
      <c r="F4" s="61"/>
      <c r="G4" s="61"/>
      <c r="H4" s="61"/>
    </row>
    <row r="5" spans="1:8">
      <c r="A5" s="60" t="s">
        <v>521</v>
      </c>
      <c r="B5" s="62"/>
      <c r="C5" s="61"/>
      <c r="D5" s="16"/>
      <c r="E5" s="62"/>
      <c r="F5" s="16"/>
      <c r="G5" s="62" t="s">
        <v>544</v>
      </c>
      <c r="H5" s="61"/>
    </row>
    <row r="6" spans="1:8">
      <c r="A6" s="60" t="s">
        <v>545</v>
      </c>
      <c r="B6" s="62"/>
      <c r="C6" s="61"/>
      <c r="D6" s="62"/>
      <c r="E6" s="62"/>
      <c r="F6" s="62"/>
      <c r="G6" s="62" t="s">
        <v>537</v>
      </c>
      <c r="H6" s="61"/>
    </row>
    <row r="7" spans="1:8">
      <c r="A7" s="62"/>
      <c r="B7" s="62"/>
      <c r="C7" s="61"/>
      <c r="D7" s="62"/>
      <c r="E7" s="62"/>
      <c r="F7" s="62"/>
      <c r="G7" s="62"/>
      <c r="H7" s="61"/>
    </row>
    <row r="8" spans="1:8" ht="15.75" thickBot="1">
      <c r="A8" s="63" t="s">
        <v>484</v>
      </c>
      <c r="B8" s="63"/>
      <c r="C8" s="61"/>
      <c r="D8" s="61"/>
      <c r="E8" s="61"/>
      <c r="F8" s="61"/>
      <c r="G8" s="61"/>
      <c r="H8" s="61"/>
    </row>
    <row r="9" spans="1:8">
      <c r="A9" s="1454" t="s">
        <v>485</v>
      </c>
      <c r="B9" s="1455"/>
      <c r="C9" s="1456"/>
      <c r="D9" s="64" t="s">
        <v>486</v>
      </c>
      <c r="E9" s="65" t="s">
        <v>487</v>
      </c>
      <c r="F9" s="64" t="s">
        <v>488</v>
      </c>
      <c r="G9" s="66" t="s">
        <v>489</v>
      </c>
      <c r="H9" s="67"/>
    </row>
    <row r="10" spans="1:8" ht="15" customHeight="1">
      <c r="A10" s="1460" t="s">
        <v>188</v>
      </c>
      <c r="B10" s="1461"/>
      <c r="C10" s="1462"/>
      <c r="D10" s="68"/>
      <c r="E10" s="69">
        <f>'EQUIPOS '!D17</f>
        <v>89900</v>
      </c>
      <c r="F10" s="156">
        <v>20</v>
      </c>
      <c r="G10" s="708">
        <f>+E10/F10</f>
        <v>4495</v>
      </c>
      <c r="H10" s="72"/>
    </row>
    <row r="11" spans="1:8">
      <c r="A11" s="1463" t="s">
        <v>1327</v>
      </c>
      <c r="B11" s="1464"/>
      <c r="C11" s="1465"/>
      <c r="D11" s="73"/>
      <c r="E11" s="73"/>
      <c r="F11" s="162"/>
      <c r="G11" s="1176">
        <f>H36*10%</f>
        <v>480.39177808336029</v>
      </c>
      <c r="H11" s="72"/>
    </row>
    <row r="12" spans="1:8">
      <c r="A12" s="1463"/>
      <c r="B12" s="1464"/>
      <c r="C12" s="1465"/>
      <c r="D12" s="73"/>
      <c r="E12" s="74"/>
      <c r="F12" s="69"/>
      <c r="G12" s="71"/>
      <c r="H12" s="72"/>
    </row>
    <row r="13" spans="1:8">
      <c r="A13" s="1463"/>
      <c r="B13" s="1464"/>
      <c r="C13" s="1465"/>
      <c r="D13" s="73"/>
      <c r="E13" s="74"/>
      <c r="F13" s="69"/>
      <c r="G13" s="71"/>
      <c r="H13" s="72"/>
    </row>
    <row r="14" spans="1:8">
      <c r="A14" s="1463"/>
      <c r="B14" s="1464"/>
      <c r="C14" s="1465"/>
      <c r="D14" s="73"/>
      <c r="E14" s="74"/>
      <c r="F14" s="69"/>
      <c r="G14" s="71"/>
      <c r="H14" s="72"/>
    </row>
    <row r="15" spans="1:8" ht="15.75" thickBot="1">
      <c r="A15" s="1466"/>
      <c r="B15" s="1467"/>
      <c r="C15" s="1468"/>
      <c r="D15" s="76"/>
      <c r="E15" s="77"/>
      <c r="F15" s="78"/>
      <c r="G15" s="79"/>
      <c r="H15" s="80"/>
    </row>
    <row r="16" spans="1:8" ht="15.75" thickBot="1">
      <c r="A16" s="61"/>
      <c r="B16" s="61"/>
      <c r="C16" s="61"/>
      <c r="D16" s="61"/>
      <c r="E16" s="61"/>
      <c r="F16" s="61"/>
      <c r="G16" s="81" t="s">
        <v>491</v>
      </c>
      <c r="H16" s="82">
        <f>SUM(G10:G15)</f>
        <v>4975.3917780833599</v>
      </c>
    </row>
    <row r="17" spans="1:8" ht="15.75" thickBot="1">
      <c r="A17" s="63" t="s">
        <v>492</v>
      </c>
      <c r="B17" s="63"/>
      <c r="C17" s="61"/>
      <c r="D17" s="61"/>
      <c r="E17" s="61"/>
      <c r="F17" s="61"/>
      <c r="G17" s="61"/>
      <c r="H17" s="61"/>
    </row>
    <row r="18" spans="1:8">
      <c r="A18" s="1472" t="s">
        <v>485</v>
      </c>
      <c r="B18" s="1473"/>
      <c r="C18" s="1474"/>
      <c r="D18" s="113" t="s">
        <v>493</v>
      </c>
      <c r="E18" s="113" t="s">
        <v>494</v>
      </c>
      <c r="F18" s="113" t="s">
        <v>495</v>
      </c>
      <c r="G18" s="114" t="s">
        <v>489</v>
      </c>
      <c r="H18" s="67"/>
    </row>
    <row r="19" spans="1:8">
      <c r="A19" s="127" t="s">
        <v>546</v>
      </c>
      <c r="B19" s="84"/>
      <c r="C19" s="85"/>
      <c r="D19" s="141" t="s">
        <v>19</v>
      </c>
      <c r="E19" s="139">
        <f>MATERIALES!D46</f>
        <v>6000</v>
      </c>
      <c r="F19" s="137">
        <v>1.25</v>
      </c>
      <c r="G19" s="137">
        <f>(E19*F19)</f>
        <v>7500</v>
      </c>
      <c r="H19" s="59"/>
    </row>
    <row r="20" spans="1:8">
      <c r="A20" s="127"/>
      <c r="B20" s="84"/>
      <c r="C20" s="85"/>
      <c r="D20" s="68"/>
      <c r="E20" s="142"/>
      <c r="F20" s="70"/>
      <c r="G20" s="69"/>
      <c r="H20" s="59"/>
    </row>
    <row r="21" spans="1:8">
      <c r="A21" s="128"/>
      <c r="B21" s="129"/>
      <c r="C21" s="130"/>
      <c r="D21" s="131"/>
      <c r="E21" s="132"/>
      <c r="F21" s="133"/>
      <c r="G21" s="138"/>
      <c r="H21" s="59"/>
    </row>
    <row r="22" spans="1:8" ht="15.75" thickBot="1">
      <c r="A22" s="89"/>
      <c r="B22" s="90"/>
      <c r="C22" s="91"/>
      <c r="D22" s="76"/>
      <c r="E22" s="77"/>
      <c r="F22" s="78"/>
      <c r="G22" s="79"/>
      <c r="H22" s="80"/>
    </row>
    <row r="23" spans="1:8" ht="15.75" thickBot="1">
      <c r="A23" s="61"/>
      <c r="B23" s="61"/>
      <c r="C23" s="61"/>
      <c r="D23" s="61"/>
      <c r="E23" s="61"/>
      <c r="F23" s="61"/>
      <c r="G23" s="81" t="s">
        <v>491</v>
      </c>
      <c r="H23" s="82">
        <f>SUM(G19:G22)</f>
        <v>7500</v>
      </c>
    </row>
    <row r="24" spans="1:8" ht="15.75" thickBot="1">
      <c r="A24" s="92" t="s">
        <v>496</v>
      </c>
      <c r="B24" s="92"/>
      <c r="C24" s="90"/>
      <c r="D24" s="61"/>
      <c r="E24" s="61"/>
      <c r="F24" s="61"/>
      <c r="G24" s="61"/>
      <c r="H24" s="61"/>
    </row>
    <row r="25" spans="1:8">
      <c r="A25" s="1454" t="s">
        <v>497</v>
      </c>
      <c r="B25" s="1456"/>
      <c r="C25" s="93" t="s">
        <v>498</v>
      </c>
      <c r="D25" s="64" t="s">
        <v>499</v>
      </c>
      <c r="E25" s="64" t="s">
        <v>500</v>
      </c>
      <c r="F25" s="64" t="s">
        <v>501</v>
      </c>
      <c r="G25" s="94" t="s">
        <v>489</v>
      </c>
      <c r="H25" s="67"/>
    </row>
    <row r="26" spans="1:8">
      <c r="A26" s="83"/>
      <c r="B26" s="84"/>
      <c r="C26" s="95"/>
      <c r="D26" s="96"/>
      <c r="E26" s="96"/>
      <c r="F26" s="97"/>
      <c r="G26" s="69"/>
      <c r="H26" s="72"/>
    </row>
    <row r="27" spans="1:8">
      <c r="A27" s="83"/>
      <c r="B27" s="84"/>
      <c r="C27" s="98"/>
      <c r="D27" s="68"/>
      <c r="E27" s="99"/>
      <c r="F27" s="69"/>
      <c r="G27" s="69"/>
      <c r="H27" s="72"/>
    </row>
    <row r="28" spans="1:8" ht="15.75" thickBot="1">
      <c r="A28" s="100"/>
      <c r="B28" s="101"/>
      <c r="C28" s="76"/>
      <c r="D28" s="77"/>
      <c r="E28" s="78"/>
      <c r="F28" s="79"/>
      <c r="G28" s="76"/>
      <c r="H28" s="72"/>
    </row>
    <row r="29" spans="1:8" ht="15.75" thickBot="1">
      <c r="A29" s="61"/>
      <c r="B29" s="61"/>
      <c r="C29" s="61"/>
      <c r="D29" s="61"/>
      <c r="E29" s="61"/>
      <c r="F29" s="61"/>
      <c r="G29" s="81" t="s">
        <v>491</v>
      </c>
      <c r="H29" s="82">
        <f>SUM(G26:G28)</f>
        <v>0</v>
      </c>
    </row>
    <row r="30" spans="1:8" ht="15.75" thickBot="1">
      <c r="A30" s="92" t="s">
        <v>502</v>
      </c>
      <c r="B30" s="92"/>
      <c r="C30" s="61"/>
      <c r="D30" s="61"/>
      <c r="E30" s="61"/>
      <c r="F30" s="61"/>
      <c r="G30" s="61"/>
      <c r="H30" s="61"/>
    </row>
    <row r="31" spans="1:8">
      <c r="A31" s="1454" t="s">
        <v>503</v>
      </c>
      <c r="B31" s="1456"/>
      <c r="C31" s="151" t="s">
        <v>504</v>
      </c>
      <c r="D31" s="151" t="s">
        <v>505</v>
      </c>
      <c r="E31" s="124" t="s">
        <v>506</v>
      </c>
      <c r="F31" s="102" t="s">
        <v>488</v>
      </c>
      <c r="G31" s="150" t="s">
        <v>489</v>
      </c>
      <c r="H31" s="67"/>
    </row>
    <row r="32" spans="1:8">
      <c r="A32" s="83" t="s">
        <v>554</v>
      </c>
      <c r="B32" s="84"/>
      <c r="C32" s="103">
        <f>SALARIOS!C49*2</f>
        <v>51144</v>
      </c>
      <c r="D32" s="104">
        <f>SALARIOS!C48</f>
        <v>1.7846558312967005</v>
      </c>
      <c r="E32" s="69">
        <f>+C32*D32</f>
        <v>91274.437835838442</v>
      </c>
      <c r="F32" s="69">
        <v>19</v>
      </c>
      <c r="G32" s="105">
        <f>E32/F32</f>
        <v>4803.9177808336026</v>
      </c>
      <c r="H32" s="72"/>
    </row>
    <row r="33" spans="1:8">
      <c r="A33" s="83"/>
      <c r="B33" s="84"/>
      <c r="C33" s="103"/>
      <c r="D33" s="104"/>
      <c r="E33" s="69"/>
      <c r="F33" s="69"/>
      <c r="G33" s="105"/>
      <c r="H33" s="72"/>
    </row>
    <row r="34" spans="1:8">
      <c r="A34" s="83"/>
      <c r="B34" s="84"/>
      <c r="C34" s="103"/>
      <c r="D34" s="104"/>
      <c r="E34" s="69"/>
      <c r="F34" s="69"/>
      <c r="G34" s="105"/>
      <c r="H34" s="72"/>
    </row>
    <row r="35" spans="1:8" ht="15.75" thickBot="1">
      <c r="A35" s="100"/>
      <c r="B35" s="106"/>
      <c r="C35" s="77"/>
      <c r="D35" s="91"/>
      <c r="E35" s="143"/>
      <c r="F35" s="91"/>
      <c r="G35" s="90"/>
      <c r="H35" s="80"/>
    </row>
    <row r="36" spans="1:8" ht="15.75" thickBot="1">
      <c r="A36" s="61"/>
      <c r="B36" s="61"/>
      <c r="C36" s="61"/>
      <c r="D36" s="61"/>
      <c r="E36" s="61"/>
      <c r="F36" s="61"/>
      <c r="G36" s="81" t="s">
        <v>491</v>
      </c>
      <c r="H36" s="82">
        <f>SUM(G32:G35)</f>
        <v>4803.9177808336026</v>
      </c>
    </row>
    <row r="37" spans="1:8" ht="15.75" thickBot="1">
      <c r="A37" s="61"/>
      <c r="B37" s="61"/>
      <c r="C37" s="61"/>
      <c r="D37" s="61"/>
      <c r="E37" s="61"/>
      <c r="F37" s="61"/>
      <c r="G37" s="107"/>
      <c r="H37" s="58"/>
    </row>
    <row r="38" spans="1:8" ht="15.75" thickBot="1">
      <c r="A38" s="61"/>
      <c r="B38" s="61"/>
      <c r="C38" s="61"/>
      <c r="D38" s="61"/>
      <c r="E38" s="108" t="s">
        <v>508</v>
      </c>
      <c r="F38" s="109"/>
      <c r="G38" s="109"/>
      <c r="H38" s="82">
        <f>H16+H23+H29+H36</f>
        <v>17279.309558916961</v>
      </c>
    </row>
    <row r="39" spans="1:8" ht="15.75" thickBot="1">
      <c r="A39" s="63" t="s">
        <v>509</v>
      </c>
      <c r="B39" s="63"/>
      <c r="C39" s="61"/>
      <c r="D39" s="61"/>
      <c r="E39" s="61"/>
      <c r="F39" s="61"/>
      <c r="G39" s="61"/>
      <c r="H39" s="61"/>
    </row>
    <row r="40" spans="1:8">
      <c r="A40" s="110" t="s">
        <v>485</v>
      </c>
      <c r="B40" s="111"/>
      <c r="C40" s="111"/>
      <c r="D40" s="111"/>
      <c r="E40" s="112"/>
      <c r="F40" s="113" t="s">
        <v>510</v>
      </c>
      <c r="G40" s="114" t="s">
        <v>511</v>
      </c>
      <c r="H40" s="67"/>
    </row>
    <row r="41" spans="1:8">
      <c r="A41" s="83" t="s">
        <v>512</v>
      </c>
      <c r="B41" s="84"/>
      <c r="C41" s="84"/>
      <c r="D41" s="84"/>
      <c r="E41" s="85"/>
      <c r="F41" s="115">
        <f>(SALARIOS!C45)</f>
        <v>0.15</v>
      </c>
      <c r="G41" s="116">
        <f>++F41*H38</f>
        <v>2591.896433837544</v>
      </c>
      <c r="H41" s="117"/>
    </row>
    <row r="42" spans="1:8">
      <c r="A42" s="83" t="s">
        <v>513</v>
      </c>
      <c r="B42" s="84"/>
      <c r="C42" s="84"/>
      <c r="D42" s="84"/>
      <c r="E42" s="85"/>
      <c r="F42" s="115">
        <f>(SALARIOS!C46)</f>
        <v>0.05</v>
      </c>
      <c r="G42" s="116">
        <f>+F42*H38</f>
        <v>863.96547794584808</v>
      </c>
      <c r="H42" s="117"/>
    </row>
    <row r="43" spans="1:8" ht="15.75" thickBot="1">
      <c r="A43" s="89" t="s">
        <v>514</v>
      </c>
      <c r="B43" s="90"/>
      <c r="C43" s="90"/>
      <c r="D43" s="90"/>
      <c r="E43" s="91"/>
      <c r="F43" s="118">
        <f>(SALARIOS!C47)</f>
        <v>0.05</v>
      </c>
      <c r="G43" s="119">
        <f>+F43*H38</f>
        <v>863.96547794584808</v>
      </c>
      <c r="H43" s="80"/>
    </row>
    <row r="44" spans="1:8" ht="15.75" thickBot="1">
      <c r="A44" s="61"/>
      <c r="B44" s="61"/>
      <c r="C44" s="61"/>
      <c r="D44" s="61"/>
      <c r="E44" s="61"/>
      <c r="F44" s="61"/>
      <c r="G44" s="81" t="s">
        <v>491</v>
      </c>
      <c r="H44" s="120">
        <f>SUM(G41:G43)</f>
        <v>4319.8273897292402</v>
      </c>
    </row>
    <row r="45" spans="1:8" ht="15.75" thickBot="1">
      <c r="A45" s="61"/>
      <c r="B45" s="61"/>
      <c r="C45" s="61"/>
      <c r="D45" s="61"/>
      <c r="E45" s="61"/>
      <c r="F45" s="61"/>
      <c r="G45" s="61"/>
      <c r="H45" s="61"/>
    </row>
    <row r="46" spans="1:8" ht="15.75" thickBot="1">
      <c r="A46" s="16"/>
      <c r="B46" s="16"/>
      <c r="C46" s="61"/>
      <c r="D46" s="108" t="s">
        <v>515</v>
      </c>
      <c r="E46" s="109"/>
      <c r="F46" s="109"/>
      <c r="G46" s="109"/>
      <c r="H46" s="82">
        <f>ROUND((H38+H44),0)</f>
        <v>21599</v>
      </c>
    </row>
  </sheetData>
  <mergeCells count="13">
    <mergeCell ref="A11:C11"/>
    <mergeCell ref="A1:C2"/>
    <mergeCell ref="A3:C3"/>
    <mergeCell ref="D3:H3"/>
    <mergeCell ref="A9:C9"/>
    <mergeCell ref="A10:C10"/>
    <mergeCell ref="A31:B31"/>
    <mergeCell ref="A12:C12"/>
    <mergeCell ref="A13:C13"/>
    <mergeCell ref="A14:C14"/>
    <mergeCell ref="A15:C15"/>
    <mergeCell ref="A18:C18"/>
    <mergeCell ref="A25:B25"/>
  </mergeCell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H47"/>
  <sheetViews>
    <sheetView workbookViewId="0">
      <selection activeCell="E20" sqref="E2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13" t="s">
        <v>520</v>
      </c>
      <c r="B5" s="214"/>
      <c r="C5" s="215"/>
      <c r="D5" s="219"/>
      <c r="E5" s="220"/>
      <c r="F5" s="220"/>
      <c r="G5" s="220"/>
      <c r="H5" s="221"/>
    </row>
    <row r="6" spans="1:8">
      <c r="A6" s="60"/>
      <c r="B6" s="61"/>
      <c r="C6" s="61"/>
      <c r="D6" s="61"/>
      <c r="E6" s="61"/>
      <c r="F6" s="61"/>
      <c r="G6" s="61"/>
      <c r="H6" s="61"/>
    </row>
    <row r="7" spans="1:8">
      <c r="A7" s="60" t="s">
        <v>872</v>
      </c>
      <c r="B7" s="62"/>
      <c r="C7" s="61"/>
      <c r="D7" s="16"/>
      <c r="E7" s="62"/>
      <c r="F7" s="16"/>
      <c r="G7" s="62" t="s">
        <v>871</v>
      </c>
      <c r="H7" s="61"/>
    </row>
    <row r="8" spans="1:8">
      <c r="A8" s="60" t="s">
        <v>1914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16" t="s">
        <v>485</v>
      </c>
      <c r="B11" s="217"/>
      <c r="C11" s="218"/>
      <c r="D11" s="218" t="s">
        <v>486</v>
      </c>
      <c r="E11" s="65" t="s">
        <v>487</v>
      </c>
      <c r="F11" s="218" t="s">
        <v>488</v>
      </c>
      <c r="G11" s="217" t="s">
        <v>489</v>
      </c>
      <c r="H11" s="67"/>
    </row>
    <row r="12" spans="1:8">
      <c r="A12" s="175" t="s">
        <v>1327</v>
      </c>
      <c r="B12" s="176"/>
      <c r="C12" s="174"/>
      <c r="D12" s="174"/>
      <c r="E12" s="173"/>
      <c r="F12" s="69"/>
      <c r="G12" s="173">
        <f>H37*10%</f>
        <v>999.88317374783128</v>
      </c>
      <c r="H12" s="72"/>
    </row>
    <row r="13" spans="1:8">
      <c r="A13" s="222"/>
      <c r="B13" s="223"/>
      <c r="C13" s="224"/>
      <c r="D13" s="73"/>
      <c r="E13" s="74"/>
      <c r="F13" s="69"/>
      <c r="G13" s="71"/>
      <c r="H13" s="72"/>
    </row>
    <row r="14" spans="1:8">
      <c r="A14" s="222"/>
      <c r="B14" s="223"/>
      <c r="C14" s="224"/>
      <c r="D14" s="73"/>
      <c r="E14" s="74"/>
      <c r="F14" s="69"/>
      <c r="G14" s="71"/>
      <c r="H14" s="72"/>
    </row>
    <row r="15" spans="1:8">
      <c r="A15" s="222"/>
      <c r="B15" s="223"/>
      <c r="C15" s="224"/>
      <c r="D15" s="73"/>
      <c r="E15" s="74"/>
      <c r="F15" s="69"/>
      <c r="G15" s="71"/>
      <c r="H15" s="72"/>
    </row>
    <row r="16" spans="1:8" ht="15.75" thickBot="1">
      <c r="A16" s="225"/>
      <c r="B16" s="226"/>
      <c r="C16" s="227"/>
      <c r="D16" s="76"/>
      <c r="E16" s="77"/>
      <c r="F16" s="78"/>
      <c r="G16" s="79"/>
      <c r="H16" s="80"/>
    </row>
    <row r="17" spans="1:8" ht="15.75" thickBot="1">
      <c r="A17" s="61"/>
      <c r="B17" s="61"/>
      <c r="C17" s="61"/>
      <c r="D17" s="61"/>
      <c r="E17" s="61"/>
      <c r="F17" s="61"/>
      <c r="G17" s="81" t="s">
        <v>491</v>
      </c>
      <c r="H17" s="82">
        <f>SUM(G12:G16)</f>
        <v>999.88317374783128</v>
      </c>
    </row>
    <row r="18" spans="1:8" ht="15.75" thickBot="1">
      <c r="A18" s="63" t="s">
        <v>492</v>
      </c>
      <c r="B18" s="63"/>
      <c r="C18" s="61"/>
      <c r="D18" s="61"/>
      <c r="E18" s="61"/>
      <c r="F18" s="61"/>
      <c r="G18" s="61"/>
      <c r="H18" s="61"/>
    </row>
    <row r="19" spans="1:8">
      <c r="A19" s="228" t="s">
        <v>485</v>
      </c>
      <c r="B19" s="229"/>
      <c r="C19" s="230"/>
      <c r="D19" s="230" t="s">
        <v>493</v>
      </c>
      <c r="E19" s="230" t="s">
        <v>494</v>
      </c>
      <c r="F19" s="659" t="s">
        <v>495</v>
      </c>
      <c r="G19" s="229" t="s">
        <v>489</v>
      </c>
      <c r="H19" s="67"/>
    </row>
    <row r="20" spans="1:8">
      <c r="A20" s="127" t="s">
        <v>1678</v>
      </c>
      <c r="B20" s="84"/>
      <c r="C20" s="85"/>
      <c r="D20" s="68" t="s">
        <v>1</v>
      </c>
      <c r="E20" s="142">
        <f>+MATERIALES!D300</f>
        <v>32985.66333333333</v>
      </c>
      <c r="F20" s="161">
        <v>1</v>
      </c>
      <c r="G20" s="88">
        <f>+E20*F20</f>
        <v>32985.66333333333</v>
      </c>
      <c r="H20" s="72"/>
    </row>
    <row r="21" spans="1:8">
      <c r="A21" s="128"/>
      <c r="B21" s="129"/>
      <c r="C21" s="130"/>
      <c r="D21" s="68"/>
      <c r="E21" s="86"/>
      <c r="F21" s="70"/>
      <c r="G21" s="69"/>
      <c r="H21" s="59"/>
    </row>
    <row r="22" spans="1:8">
      <c r="A22" s="164"/>
      <c r="B22" s="165"/>
      <c r="C22" s="166"/>
      <c r="D22" s="167"/>
      <c r="E22" s="167"/>
      <c r="F22" s="167"/>
      <c r="H22" s="72"/>
    </row>
    <row r="23" spans="1:8" ht="15.75" thickBot="1">
      <c r="A23" s="89"/>
      <c r="B23" s="90"/>
      <c r="C23" s="91"/>
      <c r="D23" s="76"/>
      <c r="E23" s="77"/>
      <c r="F23" s="78"/>
      <c r="G23" s="79"/>
      <c r="H23" s="80"/>
    </row>
    <row r="24" spans="1:8" ht="15.75" thickBot="1">
      <c r="A24" s="61"/>
      <c r="B24" s="61"/>
      <c r="C24" s="61"/>
      <c r="D24" s="61"/>
      <c r="E24" s="61"/>
      <c r="F24" s="61"/>
      <c r="G24" s="81" t="s">
        <v>491</v>
      </c>
      <c r="H24" s="82">
        <f>SUM(G20:G23)</f>
        <v>32985.66333333333</v>
      </c>
    </row>
    <row r="25" spans="1:8" ht="15.75" thickBot="1">
      <c r="A25" s="92" t="s">
        <v>496</v>
      </c>
      <c r="B25" s="92"/>
      <c r="C25" s="90"/>
      <c r="D25" s="61"/>
      <c r="E25" s="61"/>
      <c r="F25" s="61"/>
      <c r="G25" s="61"/>
      <c r="H25" s="61"/>
    </row>
    <row r="26" spans="1:8">
      <c r="A26" s="216" t="s">
        <v>497</v>
      </c>
      <c r="B26" s="218"/>
      <c r="C26" s="93" t="s">
        <v>498</v>
      </c>
      <c r="D26" s="218" t="s">
        <v>499</v>
      </c>
      <c r="E26" s="218" t="s">
        <v>500</v>
      </c>
      <c r="F26" s="218"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16" t="s">
        <v>503</v>
      </c>
      <c r="B32" s="218"/>
      <c r="C32" s="218" t="s">
        <v>504</v>
      </c>
      <c r="D32" s="218" t="s">
        <v>505</v>
      </c>
      <c r="E32" s="124" t="s">
        <v>506</v>
      </c>
      <c r="F32" s="102" t="s">
        <v>488</v>
      </c>
      <c r="G32" s="217" t="s">
        <v>489</v>
      </c>
      <c r="H32" s="67"/>
    </row>
    <row r="33" spans="1:8">
      <c r="A33" s="83" t="s">
        <v>697</v>
      </c>
      <c r="B33" s="84"/>
      <c r="C33" s="103">
        <f>+SALARIOS!C49*1</f>
        <v>25572</v>
      </c>
      <c r="D33" s="104">
        <f>+SALARIOS!C48</f>
        <v>1.7846558312967005</v>
      </c>
      <c r="E33" s="69">
        <f>+C33*D33</f>
        <v>45637.218917919221</v>
      </c>
      <c r="F33" s="69">
        <v>12</v>
      </c>
      <c r="G33" s="105">
        <f>+E33/F33</f>
        <v>3803.1015764932686</v>
      </c>
      <c r="H33" s="72"/>
    </row>
    <row r="34" spans="1:8">
      <c r="A34" s="83" t="s">
        <v>624</v>
      </c>
      <c r="B34" s="84"/>
      <c r="C34" s="103">
        <f>+SALARIOS!C50</f>
        <v>41660</v>
      </c>
      <c r="D34" s="104">
        <f>+SALARIOS!C48</f>
        <v>1.7846558312967005</v>
      </c>
      <c r="E34" s="69">
        <f>+C34*D34</f>
        <v>74348.76193182054</v>
      </c>
      <c r="F34" s="69">
        <v>12</v>
      </c>
      <c r="G34" s="105">
        <f>+E34/F34</f>
        <v>6195.7301609850447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9998.8317374783128</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43984.378244559477</v>
      </c>
    </row>
    <row r="40" spans="1:8" ht="15.75" thickBot="1">
      <c r="A40" s="63" t="s">
        <v>509</v>
      </c>
      <c r="B40" s="63"/>
      <c r="C40" s="61"/>
      <c r="D40" s="61"/>
      <c r="E40" s="61"/>
      <c r="F40" s="61"/>
      <c r="G40" s="61"/>
      <c r="H40" s="61"/>
    </row>
    <row r="41" spans="1:8">
      <c r="A41" s="233" t="s">
        <v>485</v>
      </c>
      <c r="B41" s="229"/>
      <c r="C41" s="229"/>
      <c r="D41" s="229"/>
      <c r="E41" s="230"/>
      <c r="F41" s="230" t="s">
        <v>510</v>
      </c>
      <c r="G41" s="229" t="s">
        <v>511</v>
      </c>
      <c r="H41" s="67"/>
    </row>
    <row r="42" spans="1:8">
      <c r="A42" s="83" t="s">
        <v>512</v>
      </c>
      <c r="B42" s="84"/>
      <c r="C42" s="84"/>
      <c r="D42" s="84"/>
      <c r="E42" s="85"/>
      <c r="F42" s="115">
        <f>+SALARIOS!C45</f>
        <v>0.15</v>
      </c>
      <c r="G42" s="116">
        <f>++F42*H39</f>
        <v>6597.6567366839217</v>
      </c>
      <c r="H42" s="117"/>
    </row>
    <row r="43" spans="1:8">
      <c r="A43" s="83" t="s">
        <v>513</v>
      </c>
      <c r="B43" s="84"/>
      <c r="C43" s="84"/>
      <c r="D43" s="84"/>
      <c r="E43" s="85"/>
      <c r="F43" s="115">
        <f>+SALARIOS!C46</f>
        <v>0.05</v>
      </c>
      <c r="G43" s="116">
        <f>+F43*H39</f>
        <v>2199.2189122279738</v>
      </c>
      <c r="H43" s="117"/>
    </row>
    <row r="44" spans="1:8" ht="15.75" thickBot="1">
      <c r="A44" s="89" t="s">
        <v>514</v>
      </c>
      <c r="B44" s="90"/>
      <c r="C44" s="90"/>
      <c r="D44" s="90"/>
      <c r="E44" s="91"/>
      <c r="F44" s="118">
        <f>+SALARIOS!C47</f>
        <v>0.05</v>
      </c>
      <c r="G44" s="119">
        <f>+F44*H39</f>
        <v>2199.2189122279738</v>
      </c>
      <c r="H44" s="80"/>
    </row>
    <row r="45" spans="1:8" ht="15.75" thickBot="1">
      <c r="A45" s="61"/>
      <c r="B45" s="61"/>
      <c r="C45" s="61"/>
      <c r="D45" s="61"/>
      <c r="E45" s="61"/>
      <c r="F45" s="61"/>
      <c r="G45" s="81" t="s">
        <v>491</v>
      </c>
      <c r="H45" s="120">
        <f>SUM(G42:G44)</f>
        <v>10996.094561139869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54980</v>
      </c>
    </row>
  </sheetData>
  <mergeCells count="1">
    <mergeCell ref="A3:C4"/>
  </mergeCells>
  <pageMargins left="0.7" right="0.7" top="0.75" bottom="0.75" header="0.3" footer="0.3"/>
  <pageSetup paperSize="9" scale="95"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H47"/>
  <sheetViews>
    <sheetView workbookViewId="0">
      <selection activeCell="E20" sqref="E2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873</v>
      </c>
      <c r="H7" s="61"/>
    </row>
    <row r="8" spans="1:8">
      <c r="A8" s="60" t="s">
        <v>1878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1499.8247606217471</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1499.8247606217471</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1679</v>
      </c>
      <c r="B20" s="84"/>
      <c r="C20" s="85"/>
      <c r="D20" s="68" t="s">
        <v>1</v>
      </c>
      <c r="E20" s="142">
        <f>+MATERIALES!D301</f>
        <v>45047.82666666666</v>
      </c>
      <c r="F20" s="69">
        <v>1</v>
      </c>
      <c r="G20" s="88">
        <f>+E20*F20</f>
        <v>45047.82666666666</v>
      </c>
      <c r="H20" s="72"/>
    </row>
    <row r="21" spans="1:8">
      <c r="A21" s="128"/>
      <c r="B21" s="129"/>
      <c r="C21" s="130"/>
      <c r="D21" s="73"/>
      <c r="E21" s="74"/>
      <c r="F21" s="87"/>
      <c r="G21" s="88"/>
      <c r="H21" s="72"/>
    </row>
    <row r="22" spans="1:8">
      <c r="A22" s="164"/>
      <c r="B22" s="165"/>
      <c r="C22" s="166"/>
      <c r="D22" s="167"/>
      <c r="E22" s="167"/>
      <c r="F22" s="167"/>
      <c r="G22" s="167"/>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45047.82666666666</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697</v>
      </c>
      <c r="B33" s="84"/>
      <c r="C33" s="103">
        <f>+SALARIOS!C49*1</f>
        <v>25572</v>
      </c>
      <c r="D33" s="104">
        <f>+SALARIOS!C48</f>
        <v>1.7846558312967005</v>
      </c>
      <c r="E33" s="69">
        <f>+C33*D33</f>
        <v>45637.218917919221</v>
      </c>
      <c r="F33" s="69">
        <v>8</v>
      </c>
      <c r="G33" s="105">
        <f>+E33/F33</f>
        <v>5704.6523647399026</v>
      </c>
      <c r="H33" s="72"/>
    </row>
    <row r="34" spans="1:8">
      <c r="A34" s="83" t="s">
        <v>624</v>
      </c>
      <c r="B34" s="84"/>
      <c r="C34" s="103">
        <f>+SALARIOS!C50</f>
        <v>41660</v>
      </c>
      <c r="D34" s="104">
        <f>+SALARIOS!C48</f>
        <v>1.7846558312967005</v>
      </c>
      <c r="E34" s="69">
        <f>+C34*D34</f>
        <v>74348.76193182054</v>
      </c>
      <c r="F34" s="69">
        <v>8</v>
      </c>
      <c r="G34" s="105">
        <f>+E34/F34</f>
        <v>9293.5952414775675</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14998.24760621747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61545.899033505877</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9231.8848550258808</v>
      </c>
      <c r="H42" s="117"/>
    </row>
    <row r="43" spans="1:8">
      <c r="A43" s="83" t="s">
        <v>513</v>
      </c>
      <c r="B43" s="84"/>
      <c r="C43" s="84"/>
      <c r="D43" s="84"/>
      <c r="E43" s="85"/>
      <c r="F43" s="115">
        <f>+SALARIOS!C46</f>
        <v>0.05</v>
      </c>
      <c r="G43" s="116">
        <f>+F43*H39</f>
        <v>3077.2949516752942</v>
      </c>
      <c r="H43" s="117"/>
    </row>
    <row r="44" spans="1:8" ht="15.75" thickBot="1">
      <c r="A44" s="89" t="s">
        <v>514</v>
      </c>
      <c r="B44" s="90"/>
      <c r="C44" s="90"/>
      <c r="D44" s="90"/>
      <c r="E44" s="91"/>
      <c r="F44" s="118">
        <f>+SALARIOS!C47</f>
        <v>0.05</v>
      </c>
      <c r="G44" s="119">
        <f>+F44*H39</f>
        <v>3077.2949516752942</v>
      </c>
      <c r="H44" s="80"/>
    </row>
    <row r="45" spans="1:8" ht="15.75" thickBot="1">
      <c r="A45" s="61"/>
      <c r="B45" s="61"/>
      <c r="C45" s="61"/>
      <c r="D45" s="61"/>
      <c r="E45" s="61"/>
      <c r="F45" s="61"/>
      <c r="G45" s="81" t="s">
        <v>491</v>
      </c>
      <c r="H45" s="120">
        <f>SUM(G42:G44)</f>
        <v>15386.474758376469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76932</v>
      </c>
    </row>
  </sheetData>
  <mergeCells count="1">
    <mergeCell ref="A3:C4"/>
  </mergeCells>
  <pageMargins left="0.7" right="0.7" top="0.75" bottom="0.75" header="0.3" footer="0.3"/>
  <pageSetup paperSize="9" scale="95"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H47"/>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874</v>
      </c>
      <c r="H7" s="61"/>
    </row>
    <row r="8" spans="1:8">
      <c r="A8" s="60" t="s">
        <v>1879</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1599.8130779965302</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1599.8130779965302</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1680</v>
      </c>
      <c r="B20" s="84"/>
      <c r="C20" s="85"/>
      <c r="D20" s="141" t="s">
        <v>1</v>
      </c>
      <c r="E20" s="139">
        <f>+MATERIALES!D302</f>
        <v>65794.91</v>
      </c>
      <c r="F20" s="563">
        <v>1</v>
      </c>
      <c r="G20" s="88">
        <f>+E20*F20</f>
        <v>65794.91</v>
      </c>
      <c r="H20" s="72"/>
    </row>
    <row r="21" spans="1:8">
      <c r="A21" s="127"/>
      <c r="B21" s="84"/>
      <c r="C21" s="85"/>
      <c r="D21" s="68"/>
      <c r="E21" s="142"/>
      <c r="F21" s="521"/>
      <c r="G21" s="88"/>
      <c r="H21" s="72"/>
    </row>
    <row r="22" spans="1:8">
      <c r="A22" s="128"/>
      <c r="B22" s="129"/>
      <c r="C22" s="130"/>
      <c r="D22" s="131"/>
      <c r="E22" s="132"/>
      <c r="F22" s="660"/>
      <c r="G22" s="88"/>
      <c r="H22" s="72"/>
    </row>
    <row r="23" spans="1:8" ht="15.75" thickBot="1">
      <c r="A23" s="89"/>
      <c r="B23" s="90"/>
      <c r="C23" s="91"/>
      <c r="D23" s="76"/>
      <c r="E23" s="77"/>
      <c r="F23" s="78"/>
      <c r="G23" s="79"/>
      <c r="H23" s="80"/>
    </row>
    <row r="24" spans="1:8" ht="15.75" thickBot="1">
      <c r="A24" s="61"/>
      <c r="B24" s="61"/>
      <c r="C24" s="61"/>
      <c r="D24" s="61"/>
      <c r="E24" s="61"/>
      <c r="F24" s="61"/>
      <c r="G24" s="81" t="s">
        <v>491</v>
      </c>
      <c r="H24" s="82">
        <f>SUM(G20:G23)</f>
        <v>65794.91</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697</v>
      </c>
      <c r="B33" s="84"/>
      <c r="C33" s="103">
        <f>+SALARIOS!C49*1</f>
        <v>25572</v>
      </c>
      <c r="D33" s="104">
        <f>+SALARIOS!C48</f>
        <v>1.7846558312967005</v>
      </c>
      <c r="E33" s="69">
        <f>+C33*D33</f>
        <v>45637.218917919221</v>
      </c>
      <c r="F33" s="69">
        <v>7.5</v>
      </c>
      <c r="G33" s="105">
        <f>+E33/F33</f>
        <v>6084.9625223892299</v>
      </c>
      <c r="H33" s="72"/>
    </row>
    <row r="34" spans="1:8">
      <c r="A34" s="83" t="s">
        <v>624</v>
      </c>
      <c r="B34" s="84"/>
      <c r="C34" s="103">
        <f>+SALARIOS!C50</f>
        <v>41660</v>
      </c>
      <c r="D34" s="104">
        <f>+SALARIOS!C48</f>
        <v>1.7846558312967005</v>
      </c>
      <c r="E34" s="69">
        <f>+C34*D34</f>
        <v>74348.76193182054</v>
      </c>
      <c r="F34" s="69">
        <v>7.5</v>
      </c>
      <c r="G34" s="105">
        <f>+E34/F34</f>
        <v>9913.1682575760715</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15998.1307799653</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83392.853857961833</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12508.928078694275</v>
      </c>
      <c r="H42" s="117"/>
    </row>
    <row r="43" spans="1:8">
      <c r="A43" s="83" t="s">
        <v>513</v>
      </c>
      <c r="B43" s="84"/>
      <c r="C43" s="84"/>
      <c r="D43" s="84"/>
      <c r="E43" s="85"/>
      <c r="F43" s="115">
        <f>+SALARIOS!C46</f>
        <v>0.05</v>
      </c>
      <c r="G43" s="116">
        <f>+F43*H39</f>
        <v>4169.6426928980918</v>
      </c>
      <c r="H43" s="117"/>
    </row>
    <row r="44" spans="1:8" ht="15.75" thickBot="1">
      <c r="A44" s="89" t="s">
        <v>514</v>
      </c>
      <c r="B44" s="90"/>
      <c r="C44" s="90"/>
      <c r="D44" s="90"/>
      <c r="E44" s="91"/>
      <c r="F44" s="118">
        <f>+SALARIOS!C47</f>
        <v>0.05</v>
      </c>
      <c r="G44" s="119">
        <f>+F44*H39</f>
        <v>4169.6426928980918</v>
      </c>
      <c r="H44" s="80"/>
    </row>
    <row r="45" spans="1:8" ht="15.75" thickBot="1">
      <c r="A45" s="61"/>
      <c r="B45" s="61"/>
      <c r="C45" s="61"/>
      <c r="D45" s="61"/>
      <c r="E45" s="61"/>
      <c r="F45" s="61"/>
      <c r="G45" s="81" t="s">
        <v>491</v>
      </c>
      <c r="H45" s="120">
        <f>SUM(G42:G44)</f>
        <v>20848.213464490458</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104241</v>
      </c>
    </row>
  </sheetData>
  <mergeCells count="1">
    <mergeCell ref="A3:C4"/>
  </mergeCells>
  <pageMargins left="0.7" right="0.7" top="0.75" bottom="0.75" header="0.3" footer="0.3"/>
  <pageSetup paperSize="9" scale="95"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H47"/>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875</v>
      </c>
      <c r="H7" s="61"/>
    </row>
    <row r="8" spans="1:8">
      <c r="A8" s="60" t="s">
        <v>1877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1845.9381669190732</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1845.9381669190732</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1681</v>
      </c>
      <c r="B20" s="84"/>
      <c r="C20" s="85"/>
      <c r="D20" s="141" t="s">
        <v>1</v>
      </c>
      <c r="E20" s="139">
        <f>+MATERIALES!D303</f>
        <v>97280.5</v>
      </c>
      <c r="F20" s="163">
        <v>1</v>
      </c>
      <c r="G20" s="137">
        <f>+E20*F20</f>
        <v>97280.5</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97280.5</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697</v>
      </c>
      <c r="B33" s="84"/>
      <c r="C33" s="103">
        <f>+SALARIOS!C49*1</f>
        <v>25572</v>
      </c>
      <c r="D33" s="104">
        <f>+SALARIOS!C48</f>
        <v>1.7846558312967005</v>
      </c>
      <c r="E33" s="69">
        <f>+C33*D33</f>
        <v>45637.218917919221</v>
      </c>
      <c r="F33" s="69">
        <v>6.5</v>
      </c>
      <c r="G33" s="105">
        <f>+E33/F33</f>
        <v>7021.110602756803</v>
      </c>
      <c r="H33" s="72"/>
    </row>
    <row r="34" spans="1:8">
      <c r="A34" s="83" t="s">
        <v>624</v>
      </c>
      <c r="B34" s="84"/>
      <c r="C34" s="103">
        <f>+SALARIOS!C50</f>
        <v>41660</v>
      </c>
      <c r="D34" s="104">
        <f>+SALARIOS!C48</f>
        <v>1.7846558312967005</v>
      </c>
      <c r="E34" s="69">
        <f>+C34*D34</f>
        <v>74348.76193182054</v>
      </c>
      <c r="F34" s="69">
        <v>6.5</v>
      </c>
      <c r="G34" s="105">
        <f>+E34/F34</f>
        <v>11438.271066433928</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18459.38166919073</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117585.8198361098</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17637.872975416471</v>
      </c>
      <c r="H42" s="117"/>
    </row>
    <row r="43" spans="1:8">
      <c r="A43" s="83" t="s">
        <v>513</v>
      </c>
      <c r="B43" s="84"/>
      <c r="C43" s="84"/>
      <c r="D43" s="84"/>
      <c r="E43" s="85"/>
      <c r="F43" s="115">
        <f>+SALARIOS!C46</f>
        <v>0.05</v>
      </c>
      <c r="G43" s="116">
        <f>+F43*H39</f>
        <v>5879.2909918054902</v>
      </c>
      <c r="H43" s="117"/>
    </row>
    <row r="44" spans="1:8" ht="15.75" thickBot="1">
      <c r="A44" s="89" t="s">
        <v>514</v>
      </c>
      <c r="B44" s="90"/>
      <c r="C44" s="90"/>
      <c r="D44" s="90"/>
      <c r="E44" s="91"/>
      <c r="F44" s="118">
        <f>+SALARIOS!C47</f>
        <v>0.05</v>
      </c>
      <c r="G44" s="119">
        <f>+F44*H39</f>
        <v>5879.2909918054902</v>
      </c>
      <c r="H44" s="80"/>
    </row>
    <row r="45" spans="1:8" ht="15.75" thickBot="1">
      <c r="A45" s="61"/>
      <c r="B45" s="61"/>
      <c r="C45" s="61"/>
      <c r="D45" s="61"/>
      <c r="E45" s="61"/>
      <c r="F45" s="61"/>
      <c r="G45" s="81" t="s">
        <v>491</v>
      </c>
      <c r="H45" s="120">
        <f>SUM(G42:G44)</f>
        <v>29396.454959027451</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146982</v>
      </c>
    </row>
  </sheetData>
  <mergeCells count="1">
    <mergeCell ref="A3:C4"/>
  </mergeCells>
  <pageMargins left="0.7" right="0.7" top="0.75" bottom="0.75" header="0.3" footer="0.3"/>
  <pageSetup paperSize="9" scale="95"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792" t="s">
        <v>520</v>
      </c>
      <c r="B5" s="793"/>
      <c r="C5" s="794"/>
      <c r="D5" s="798"/>
      <c r="E5" s="799"/>
      <c r="F5" s="799"/>
      <c r="G5" s="799"/>
      <c r="H5" s="800"/>
    </row>
    <row r="6" spans="1:8">
      <c r="A6" s="60"/>
      <c r="B6" s="61"/>
      <c r="C6" s="61"/>
      <c r="D6" s="61"/>
      <c r="E6" s="61"/>
      <c r="F6" s="61"/>
      <c r="G6" s="61"/>
      <c r="H6" s="61"/>
    </row>
    <row r="7" spans="1:8">
      <c r="A7" s="60" t="s">
        <v>872</v>
      </c>
      <c r="B7" s="62"/>
      <c r="C7" s="61"/>
      <c r="D7" s="16"/>
      <c r="E7" s="62"/>
      <c r="F7" s="16"/>
      <c r="G7" s="62" t="s">
        <v>875</v>
      </c>
      <c r="H7" s="61"/>
    </row>
    <row r="8" spans="1:8">
      <c r="A8" s="60" t="s">
        <v>714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795" t="s">
        <v>485</v>
      </c>
      <c r="B11" s="796"/>
      <c r="C11" s="797"/>
      <c r="D11" s="797" t="s">
        <v>486</v>
      </c>
      <c r="E11" s="65" t="s">
        <v>487</v>
      </c>
      <c r="F11" s="797" t="s">
        <v>488</v>
      </c>
      <c r="G11" s="796" t="s">
        <v>489</v>
      </c>
      <c r="H11" s="67"/>
    </row>
    <row r="12" spans="1:8">
      <c r="A12" s="175" t="s">
        <v>1327</v>
      </c>
      <c r="B12" s="176"/>
      <c r="C12" s="174"/>
      <c r="D12" s="174"/>
      <c r="E12" s="173"/>
      <c r="F12" s="69"/>
      <c r="G12" s="173">
        <f>H37*10%</f>
        <v>2417.4443512180474</v>
      </c>
      <c r="H12" s="72"/>
    </row>
    <row r="13" spans="1:8">
      <c r="A13" s="801"/>
      <c r="B13" s="802"/>
      <c r="C13" s="803"/>
      <c r="D13" s="73"/>
      <c r="E13" s="74"/>
      <c r="F13" s="69"/>
      <c r="G13" s="71"/>
      <c r="H13" s="72"/>
    </row>
    <row r="14" spans="1:8">
      <c r="A14" s="801"/>
      <c r="B14" s="802"/>
      <c r="C14" s="803"/>
      <c r="D14" s="73"/>
      <c r="E14" s="74"/>
      <c r="F14" s="69"/>
      <c r="G14" s="71"/>
      <c r="H14" s="72"/>
    </row>
    <row r="15" spans="1:8">
      <c r="A15" s="801"/>
      <c r="B15" s="802"/>
      <c r="C15" s="803"/>
      <c r="D15" s="73"/>
      <c r="E15" s="74"/>
      <c r="F15" s="69"/>
      <c r="G15" s="71"/>
      <c r="H15" s="72"/>
    </row>
    <row r="16" spans="1:8" ht="15.75" thickBot="1">
      <c r="A16" s="804"/>
      <c r="B16" s="805"/>
      <c r="C16" s="806"/>
      <c r="D16" s="76"/>
      <c r="E16" s="77"/>
      <c r="F16" s="78"/>
      <c r="G16" s="79"/>
      <c r="H16" s="80"/>
    </row>
    <row r="17" spans="1:8" ht="15.75" thickBot="1">
      <c r="A17" s="61"/>
      <c r="B17" s="61"/>
      <c r="C17" s="61"/>
      <c r="D17" s="61"/>
      <c r="E17" s="61"/>
      <c r="F17" s="61"/>
      <c r="G17" s="81" t="s">
        <v>491</v>
      </c>
      <c r="H17" s="82">
        <f>SUM(G12:G16)</f>
        <v>2417.4443512180474</v>
      </c>
    </row>
    <row r="18" spans="1:8" ht="15.75" thickBot="1">
      <c r="A18" s="63" t="s">
        <v>492</v>
      </c>
      <c r="B18" s="63"/>
      <c r="C18" s="61"/>
      <c r="D18" s="61"/>
      <c r="E18" s="61"/>
      <c r="F18" s="61"/>
      <c r="G18" s="61"/>
      <c r="H18" s="61"/>
    </row>
    <row r="19" spans="1:8">
      <c r="A19" s="807" t="s">
        <v>485</v>
      </c>
      <c r="B19" s="808"/>
      <c r="C19" s="809"/>
      <c r="D19" s="809" t="s">
        <v>493</v>
      </c>
      <c r="E19" s="809" t="s">
        <v>494</v>
      </c>
      <c r="F19" s="809" t="s">
        <v>495</v>
      </c>
      <c r="G19" s="808" t="s">
        <v>489</v>
      </c>
      <c r="H19" s="67"/>
    </row>
    <row r="20" spans="1:8">
      <c r="A20" s="127" t="s">
        <v>1875</v>
      </c>
      <c r="B20" s="84"/>
      <c r="C20" s="85"/>
      <c r="D20" s="141" t="s">
        <v>1</v>
      </c>
      <c r="E20" s="139">
        <f>+MATERIALES!D304</f>
        <v>113363.31999999999</v>
      </c>
      <c r="F20" s="163">
        <v>1</v>
      </c>
      <c r="G20" s="137">
        <f>+E20*F20</f>
        <v>113363.31999999999</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113363.31999999999</v>
      </c>
    </row>
    <row r="25" spans="1:8" ht="15.75" thickBot="1">
      <c r="A25" s="92" t="s">
        <v>496</v>
      </c>
      <c r="B25" s="92"/>
      <c r="C25" s="90"/>
      <c r="D25" s="61"/>
      <c r="E25" s="61"/>
      <c r="F25" s="61"/>
      <c r="G25" s="61"/>
      <c r="H25" s="61"/>
    </row>
    <row r="26" spans="1:8">
      <c r="A26" s="795" t="s">
        <v>497</v>
      </c>
      <c r="B26" s="797"/>
      <c r="C26" s="93" t="s">
        <v>498</v>
      </c>
      <c r="D26" s="797" t="s">
        <v>499</v>
      </c>
      <c r="E26" s="797" t="s">
        <v>500</v>
      </c>
      <c r="F26" s="797"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795" t="s">
        <v>503</v>
      </c>
      <c r="B32" s="797"/>
      <c r="C32" s="797" t="s">
        <v>504</v>
      </c>
      <c r="D32" s="797" t="s">
        <v>505</v>
      </c>
      <c r="E32" s="124" t="s">
        <v>506</v>
      </c>
      <c r="F32" s="102" t="s">
        <v>488</v>
      </c>
      <c r="G32" s="796" t="s">
        <v>489</v>
      </c>
      <c r="H32" s="67"/>
    </row>
    <row r="33" spans="1:8">
      <c r="A33" s="83" t="s">
        <v>697</v>
      </c>
      <c r="B33" s="84"/>
      <c r="C33" s="103">
        <f>+SALARIOS!C49*1</f>
        <v>25572</v>
      </c>
      <c r="D33" s="104">
        <f>+SALARIOS!C48</f>
        <v>1.7846558312967005</v>
      </c>
      <c r="E33" s="69">
        <f>+C33*D33</f>
        <v>45637.218917919221</v>
      </c>
      <c r="F33" s="814">
        <v>3.5832758320699827</v>
      </c>
      <c r="G33" s="105">
        <f>+E33/F33</f>
        <v>12736.172445746541</v>
      </c>
      <c r="H33" s="72"/>
    </row>
    <row r="34" spans="1:8">
      <c r="A34" s="83" t="s">
        <v>624</v>
      </c>
      <c r="B34" s="84"/>
      <c r="C34" s="103">
        <f>+SALARIOS!C50</f>
        <v>41660</v>
      </c>
      <c r="D34" s="104">
        <f>+SALARIOS!C48</f>
        <v>1.7846558312967005</v>
      </c>
      <c r="E34" s="69">
        <f>+C34*D34</f>
        <v>74348.76193182054</v>
      </c>
      <c r="F34" s="69">
        <v>6.5</v>
      </c>
      <c r="G34" s="105">
        <f>+E34/F34</f>
        <v>11438.271066433928</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24174.443512180471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139955.20786339851</v>
      </c>
    </row>
    <row r="40" spans="1:8" ht="15.75" thickBot="1">
      <c r="A40" s="63" t="s">
        <v>509</v>
      </c>
      <c r="B40" s="63"/>
      <c r="C40" s="61"/>
      <c r="D40" s="61"/>
      <c r="E40" s="61"/>
      <c r="F40" s="61"/>
      <c r="G40" s="61"/>
      <c r="H40" s="61"/>
    </row>
    <row r="41" spans="1:8">
      <c r="A41" s="233" t="s">
        <v>485</v>
      </c>
      <c r="B41" s="808"/>
      <c r="C41" s="808"/>
      <c r="D41" s="808"/>
      <c r="E41" s="809"/>
      <c r="F41" s="809" t="s">
        <v>510</v>
      </c>
      <c r="G41" s="808" t="s">
        <v>511</v>
      </c>
      <c r="H41" s="67"/>
    </row>
    <row r="42" spans="1:8">
      <c r="A42" s="83" t="s">
        <v>512</v>
      </c>
      <c r="B42" s="84"/>
      <c r="C42" s="84"/>
      <c r="D42" s="84"/>
      <c r="E42" s="85"/>
      <c r="F42" s="115">
        <f>+SALARIOS!C45</f>
        <v>0.15</v>
      </c>
      <c r="G42" s="116">
        <f>++F42*H39</f>
        <v>20993.281179509777</v>
      </c>
      <c r="H42" s="117"/>
    </row>
    <row r="43" spans="1:8">
      <c r="A43" s="83" t="s">
        <v>513</v>
      </c>
      <c r="B43" s="84"/>
      <c r="C43" s="84"/>
      <c r="D43" s="84"/>
      <c r="E43" s="85"/>
      <c r="F43" s="115">
        <f>+SALARIOS!C46</f>
        <v>0.05</v>
      </c>
      <c r="G43" s="116">
        <f>+F43*H39</f>
        <v>6997.7603931699259</v>
      </c>
      <c r="H43" s="117"/>
    </row>
    <row r="44" spans="1:8" ht="15.75" thickBot="1">
      <c r="A44" s="89" t="s">
        <v>514</v>
      </c>
      <c r="B44" s="90"/>
      <c r="C44" s="90"/>
      <c r="D44" s="90"/>
      <c r="E44" s="91"/>
      <c r="F44" s="118">
        <f>+SALARIOS!C47</f>
        <v>0.05</v>
      </c>
      <c r="G44" s="119">
        <f>+F44*H39</f>
        <v>6997.7603931699259</v>
      </c>
      <c r="H44" s="80"/>
    </row>
    <row r="45" spans="1:8" ht="15.75" thickBot="1">
      <c r="A45" s="61"/>
      <c r="B45" s="61"/>
      <c r="C45" s="61"/>
      <c r="D45" s="61"/>
      <c r="E45" s="61"/>
      <c r="F45" s="61"/>
      <c r="G45" s="81" t="s">
        <v>491</v>
      </c>
      <c r="H45" s="120">
        <f>SUM(G42:G44)</f>
        <v>34988.801965849627</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174944</v>
      </c>
    </row>
  </sheetData>
  <mergeCells count="1">
    <mergeCell ref="A3:C4"/>
  </mergeCell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876</v>
      </c>
      <c r="H7" s="61"/>
    </row>
    <row r="8" spans="1:8">
      <c r="A8" s="60" t="s">
        <v>1880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2760.3866627943166</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2760.3866627943166</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1682</v>
      </c>
      <c r="B20" s="84"/>
      <c r="C20" s="85"/>
      <c r="D20" s="141" t="s">
        <v>1</v>
      </c>
      <c r="E20" s="139">
        <f>+MATERIALES!D305</f>
        <v>159127.06</v>
      </c>
      <c r="F20" s="137">
        <v>1</v>
      </c>
      <c r="G20" s="137">
        <f>+E20*F20</f>
        <v>159127.06</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159127.06</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553</v>
      </c>
      <c r="B33" s="84"/>
      <c r="C33" s="103">
        <f>+SALARIOS!C49*2</f>
        <v>51144</v>
      </c>
      <c r="D33" s="104">
        <f>+SALARIOS!C48</f>
        <v>1.7846558312967005</v>
      </c>
      <c r="E33" s="69">
        <f>+C33*D33</f>
        <v>91274.437835838442</v>
      </c>
      <c r="F33" s="69">
        <v>6</v>
      </c>
      <c r="G33" s="105">
        <f>+E33/F33</f>
        <v>15212.406305973074</v>
      </c>
      <c r="H33" s="72"/>
    </row>
    <row r="34" spans="1:8">
      <c r="A34" s="83" t="s">
        <v>624</v>
      </c>
      <c r="B34" s="84"/>
      <c r="C34" s="103">
        <f>+SALARIOS!C50</f>
        <v>41660</v>
      </c>
      <c r="D34" s="104">
        <f>+SALARIOS!C48</f>
        <v>1.7846558312967005</v>
      </c>
      <c r="E34" s="69">
        <f>+C34*D34</f>
        <v>74348.76193182054</v>
      </c>
      <c r="F34" s="69">
        <v>6</v>
      </c>
      <c r="G34" s="105">
        <f>+E34/F34</f>
        <v>12391.460321970089</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27603.866627943164</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189491.31329073745</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28423.696993610618</v>
      </c>
      <c r="H42" s="117"/>
    </row>
    <row r="43" spans="1:8">
      <c r="A43" s="83" t="s">
        <v>513</v>
      </c>
      <c r="B43" s="84"/>
      <c r="C43" s="84"/>
      <c r="D43" s="84"/>
      <c r="E43" s="85"/>
      <c r="F43" s="115">
        <f>+SALARIOS!C46</f>
        <v>0.05</v>
      </c>
      <c r="G43" s="116">
        <f>+F43*H39</f>
        <v>9474.5656645368726</v>
      </c>
      <c r="H43" s="117"/>
    </row>
    <row r="44" spans="1:8" ht="15.75" thickBot="1">
      <c r="A44" s="89" t="s">
        <v>514</v>
      </c>
      <c r="B44" s="90"/>
      <c r="C44" s="90"/>
      <c r="D44" s="90"/>
      <c r="E44" s="91"/>
      <c r="F44" s="118">
        <f>+SALARIOS!C47</f>
        <v>0.05</v>
      </c>
      <c r="G44" s="119">
        <f>+F44*H39</f>
        <v>9474.5656645368726</v>
      </c>
      <c r="H44" s="80"/>
    </row>
    <row r="45" spans="1:8" ht="15.75" thickBot="1">
      <c r="A45" s="61"/>
      <c r="B45" s="61"/>
      <c r="C45" s="61"/>
      <c r="D45" s="61"/>
      <c r="E45" s="61"/>
      <c r="F45" s="61"/>
      <c r="G45" s="81" t="s">
        <v>491</v>
      </c>
      <c r="H45" s="120">
        <f>SUM(G42:G44)</f>
        <v>47372.828322684363</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236864</v>
      </c>
    </row>
  </sheetData>
  <mergeCells count="1">
    <mergeCell ref="A3:C4"/>
  </mergeCells>
  <pageMargins left="0.7" right="0.7" top="0.75" bottom="0.75" header="0.3" footer="0.3"/>
  <pageSetup paperSize="9" scale="95"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877</v>
      </c>
      <c r="H7" s="61"/>
    </row>
    <row r="8" spans="1:8">
      <c r="A8" s="60" t="s">
        <v>1881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3011.3309048665269</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3011.3309048665269</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1683</v>
      </c>
      <c r="B20" s="84"/>
      <c r="C20" s="85"/>
      <c r="D20" s="141" t="s">
        <v>1</v>
      </c>
      <c r="E20" s="139">
        <f>+MATERIALES!D306</f>
        <v>211142.90999999997</v>
      </c>
      <c r="F20" s="163">
        <v>1</v>
      </c>
      <c r="G20" s="137">
        <f>+E20*F20</f>
        <v>211142.90999999997</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211142.90999999997</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553</v>
      </c>
      <c r="B33" s="84"/>
      <c r="C33" s="103">
        <f>+SALARIOS!C49*2</f>
        <v>51144</v>
      </c>
      <c r="D33" s="104">
        <f>+SALARIOS!C48</f>
        <v>1.7846558312967005</v>
      </c>
      <c r="E33" s="69">
        <f>+C33*D33</f>
        <v>91274.437835838442</v>
      </c>
      <c r="F33" s="69">
        <v>5.5</v>
      </c>
      <c r="G33" s="105">
        <f>+E33/F33</f>
        <v>16595.352333788807</v>
      </c>
      <c r="H33" s="72"/>
    </row>
    <row r="34" spans="1:8">
      <c r="A34" s="83" t="s">
        <v>624</v>
      </c>
      <c r="B34" s="84"/>
      <c r="C34" s="103">
        <f>+SALARIOS!C50</f>
        <v>41660</v>
      </c>
      <c r="D34" s="104">
        <f>+SALARIOS!C48</f>
        <v>1.7846558312967005</v>
      </c>
      <c r="E34" s="69">
        <f>+C34*D34</f>
        <v>74348.76193182054</v>
      </c>
      <c r="F34" s="69">
        <v>5.5</v>
      </c>
      <c r="G34" s="105">
        <f>+E34/F34</f>
        <v>13517.956714876462</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30113.309048665269</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244267.54995353179</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36640.132493029771</v>
      </c>
      <c r="H42" s="117"/>
    </row>
    <row r="43" spans="1:8">
      <c r="A43" s="83" t="s">
        <v>513</v>
      </c>
      <c r="B43" s="84"/>
      <c r="C43" s="84"/>
      <c r="D43" s="84"/>
      <c r="E43" s="85"/>
      <c r="F43" s="115">
        <f>+SALARIOS!C46</f>
        <v>0.05</v>
      </c>
      <c r="G43" s="116">
        <f>+F43*H39</f>
        <v>12213.377497676591</v>
      </c>
      <c r="H43" s="117"/>
    </row>
    <row r="44" spans="1:8" ht="15.75" thickBot="1">
      <c r="A44" s="89" t="s">
        <v>514</v>
      </c>
      <c r="B44" s="90"/>
      <c r="C44" s="90"/>
      <c r="D44" s="90"/>
      <c r="E44" s="91"/>
      <c r="F44" s="118">
        <f>+SALARIOS!C47</f>
        <v>0.05</v>
      </c>
      <c r="G44" s="119">
        <f>+F44*H39</f>
        <v>12213.377497676591</v>
      </c>
      <c r="H44" s="80"/>
    </row>
    <row r="45" spans="1:8" ht="15.75" thickBot="1">
      <c r="A45" s="61"/>
      <c r="B45" s="61"/>
      <c r="C45" s="61"/>
      <c r="D45" s="61"/>
      <c r="E45" s="61"/>
      <c r="F45" s="61"/>
      <c r="G45" s="81" t="s">
        <v>491</v>
      </c>
      <c r="H45" s="120">
        <f>SUM(G42:G44)</f>
        <v>61066.887488382956</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305334</v>
      </c>
    </row>
  </sheetData>
  <mergeCells count="1">
    <mergeCell ref="A3:C4"/>
  </mergeCells>
  <pageMargins left="0.7" right="0.7" top="0.75" bottom="0.75" header="0.3" footer="0.3"/>
  <pageSetup paperSize="9" scale="95"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878</v>
      </c>
      <c r="H7" s="61"/>
    </row>
    <row r="8" spans="1:8">
      <c r="A8" s="60" t="s">
        <v>1882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3312.4639953531791</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3312.4639953531791</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1684</v>
      </c>
      <c r="B20" s="84"/>
      <c r="C20" s="85"/>
      <c r="D20" s="141" t="s">
        <v>1</v>
      </c>
      <c r="E20" s="139">
        <f>+MATERIALES!D307</f>
        <v>264402.37666666665</v>
      </c>
      <c r="F20" s="137">
        <v>1</v>
      </c>
      <c r="G20" s="137">
        <f>+E20*F20</f>
        <v>264402.37666666665</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264402.37666666665</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553</v>
      </c>
      <c r="B33" s="84"/>
      <c r="C33" s="103">
        <f>+SALARIOS!C49*2</f>
        <v>51144</v>
      </c>
      <c r="D33" s="104">
        <f>+SALARIOS!C48</f>
        <v>1.7846558312967005</v>
      </c>
      <c r="E33" s="69">
        <f>+C33*D33</f>
        <v>91274.437835838442</v>
      </c>
      <c r="F33" s="69">
        <v>5</v>
      </c>
      <c r="G33" s="105">
        <f>+E33/F33</f>
        <v>18254.887567167687</v>
      </c>
      <c r="H33" s="72"/>
    </row>
    <row r="34" spans="1:8">
      <c r="A34" s="83" t="s">
        <v>624</v>
      </c>
      <c r="B34" s="84"/>
      <c r="C34" s="103">
        <f>+SALARIOS!C50</f>
        <v>41660</v>
      </c>
      <c r="D34" s="104">
        <f>+SALARIOS!C48</f>
        <v>1.7846558312967005</v>
      </c>
      <c r="E34" s="69">
        <f>+C34*D34</f>
        <v>74348.76193182054</v>
      </c>
      <c r="F34" s="69">
        <v>5</v>
      </c>
      <c r="G34" s="105">
        <f>+E34/F34</f>
        <v>14869.752386364107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33124.639953531791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300839.48061555164</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45125.922092332745</v>
      </c>
      <c r="H42" s="117"/>
    </row>
    <row r="43" spans="1:8">
      <c r="A43" s="83" t="s">
        <v>513</v>
      </c>
      <c r="B43" s="84"/>
      <c r="C43" s="84"/>
      <c r="D43" s="84"/>
      <c r="E43" s="85"/>
      <c r="F43" s="115">
        <f>+SALARIOS!C46</f>
        <v>0.05</v>
      </c>
      <c r="G43" s="116">
        <f>+F43*H39</f>
        <v>15041.974030777583</v>
      </c>
      <c r="H43" s="117"/>
    </row>
    <row r="44" spans="1:8" ht="15.75" thickBot="1">
      <c r="A44" s="89" t="s">
        <v>514</v>
      </c>
      <c r="B44" s="90"/>
      <c r="C44" s="90"/>
      <c r="D44" s="90"/>
      <c r="E44" s="91"/>
      <c r="F44" s="118">
        <f>+SALARIOS!C47</f>
        <v>0.05</v>
      </c>
      <c r="G44" s="119">
        <f>+F44*H39</f>
        <v>15041.974030777583</v>
      </c>
      <c r="H44" s="80"/>
    </row>
    <row r="45" spans="1:8" ht="15.75" thickBot="1">
      <c r="A45" s="61"/>
      <c r="B45" s="61"/>
      <c r="C45" s="61"/>
      <c r="D45" s="61"/>
      <c r="E45" s="61"/>
      <c r="F45" s="61"/>
      <c r="G45" s="81" t="s">
        <v>491</v>
      </c>
      <c r="H45" s="120">
        <f>SUM(G42:G44)</f>
        <v>75209.87015388791</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376049</v>
      </c>
    </row>
  </sheetData>
  <mergeCells count="1">
    <mergeCell ref="A3:C4"/>
  </mergeCells>
  <pageMargins left="0.7" right="0.7" top="0.75" bottom="0.75" header="0.3" footer="0.3"/>
  <pageSetup paperSize="9" scale="95"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7"/>
  <sheetViews>
    <sheetView topLeftCell="A4"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879</v>
      </c>
      <c r="H7" s="61"/>
    </row>
    <row r="8" spans="1:8">
      <c r="A8" s="60" t="s">
        <v>1884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1499.8247606217471</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1499.8247606217471</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1679</v>
      </c>
      <c r="B20" s="84"/>
      <c r="C20" s="85"/>
      <c r="D20" s="141" t="s">
        <v>1</v>
      </c>
      <c r="E20" s="139">
        <f>+MATERIALES!D301</f>
        <v>45047.82666666666</v>
      </c>
      <c r="F20" s="137">
        <v>1</v>
      </c>
      <c r="G20" s="137">
        <f>+E20*F20</f>
        <v>45047.82666666666</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45047.82666666666</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697</v>
      </c>
      <c r="B33" s="84"/>
      <c r="C33" s="103">
        <f>+SALARIOS!C49*1</f>
        <v>25572</v>
      </c>
      <c r="D33" s="104">
        <f>+SALARIOS!C48</f>
        <v>1.7846558312967005</v>
      </c>
      <c r="E33" s="69">
        <f>+C33*D33</f>
        <v>45637.218917919221</v>
      </c>
      <c r="F33" s="69">
        <v>8</v>
      </c>
      <c r="G33" s="105">
        <f>+E33/F33</f>
        <v>5704.6523647399026</v>
      </c>
      <c r="H33" s="72"/>
    </row>
    <row r="34" spans="1:8">
      <c r="A34" s="83" t="s">
        <v>624</v>
      </c>
      <c r="B34" s="84"/>
      <c r="C34" s="103">
        <f>+SALARIOS!C50</f>
        <v>41660</v>
      </c>
      <c r="D34" s="104">
        <f>+SALARIOS!C48</f>
        <v>1.7846558312967005</v>
      </c>
      <c r="E34" s="69">
        <f>+C34*D34</f>
        <v>74348.76193182054</v>
      </c>
      <c r="F34" s="69">
        <v>8</v>
      </c>
      <c r="G34" s="105">
        <f>+E34/F34</f>
        <v>9293.5952414775675</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14998.24760621747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61545.899033505877</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9231.8848550258808</v>
      </c>
      <c r="H42" s="117"/>
    </row>
    <row r="43" spans="1:8">
      <c r="A43" s="83" t="s">
        <v>513</v>
      </c>
      <c r="B43" s="84"/>
      <c r="C43" s="84"/>
      <c r="D43" s="84"/>
      <c r="E43" s="85"/>
      <c r="F43" s="115">
        <f>+SALARIOS!C46</f>
        <v>0.05</v>
      </c>
      <c r="G43" s="116">
        <f>+F43*H39</f>
        <v>3077.2949516752942</v>
      </c>
      <c r="H43" s="117"/>
    </row>
    <row r="44" spans="1:8" ht="15.75" thickBot="1">
      <c r="A44" s="89" t="s">
        <v>514</v>
      </c>
      <c r="B44" s="90"/>
      <c r="C44" s="90"/>
      <c r="D44" s="90"/>
      <c r="E44" s="91"/>
      <c r="F44" s="118">
        <f>+SALARIOS!C47</f>
        <v>0.05</v>
      </c>
      <c r="G44" s="119">
        <f>+F44*H39</f>
        <v>3077.2949516752942</v>
      </c>
      <c r="H44" s="80"/>
    </row>
    <row r="45" spans="1:8" ht="15.75" thickBot="1">
      <c r="A45" s="61"/>
      <c r="B45" s="61"/>
      <c r="C45" s="61"/>
      <c r="D45" s="61"/>
      <c r="E45" s="61"/>
      <c r="F45" s="61"/>
      <c r="G45" s="81" t="s">
        <v>491</v>
      </c>
      <c r="H45" s="120">
        <f>SUM(G42:G44)</f>
        <v>15386.474758376469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76932</v>
      </c>
    </row>
  </sheetData>
  <mergeCells count="1">
    <mergeCell ref="A3:C4"/>
  </mergeCells>
  <pageMargins left="0.7" right="0.7" top="0.75" bottom="0.75" header="0.3" footer="0.3"/>
  <pageSetup paperSize="9" scale="95"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880</v>
      </c>
      <c r="H7" s="61"/>
    </row>
    <row r="8" spans="1:8">
      <c r="A8" s="60" t="s">
        <v>1883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1599.8130779965302</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1599.8130779965302</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1680</v>
      </c>
      <c r="B20" s="84"/>
      <c r="C20" s="85"/>
      <c r="D20" s="141" t="s">
        <v>1</v>
      </c>
      <c r="E20" s="139">
        <f>+MATERIALES!D302</f>
        <v>65794.91</v>
      </c>
      <c r="F20" s="137">
        <v>1</v>
      </c>
      <c r="G20" s="137">
        <f>+E20*F20</f>
        <v>65794.91</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65794.91</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697</v>
      </c>
      <c r="B33" s="84"/>
      <c r="C33" s="103">
        <f>+SALARIOS!C49*1</f>
        <v>25572</v>
      </c>
      <c r="D33" s="104">
        <f>+SALARIOS!C48</f>
        <v>1.7846558312967005</v>
      </c>
      <c r="E33" s="69">
        <f>+C33*D33</f>
        <v>45637.218917919221</v>
      </c>
      <c r="F33" s="69">
        <v>7.5</v>
      </c>
      <c r="G33" s="105">
        <f>+E33/F33</f>
        <v>6084.9625223892299</v>
      </c>
      <c r="H33" s="72"/>
    </row>
    <row r="34" spans="1:8">
      <c r="A34" s="83" t="s">
        <v>624</v>
      </c>
      <c r="B34" s="84"/>
      <c r="C34" s="103">
        <f>+SALARIOS!C50</f>
        <v>41660</v>
      </c>
      <c r="D34" s="104">
        <f>+SALARIOS!C48</f>
        <v>1.7846558312967005</v>
      </c>
      <c r="E34" s="69">
        <f>+C34*D34</f>
        <v>74348.76193182054</v>
      </c>
      <c r="F34" s="69">
        <v>7.5</v>
      </c>
      <c r="G34" s="105">
        <f>+E34/F34</f>
        <v>9913.1682575760715</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15998.1307799653</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83392.853857961833</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12508.928078694275</v>
      </c>
      <c r="H42" s="117"/>
    </row>
    <row r="43" spans="1:8">
      <c r="A43" s="83" t="s">
        <v>513</v>
      </c>
      <c r="B43" s="84"/>
      <c r="C43" s="84"/>
      <c r="D43" s="84"/>
      <c r="E43" s="85"/>
      <c r="F43" s="115">
        <f>+SALARIOS!C46</f>
        <v>0.05</v>
      </c>
      <c r="G43" s="116">
        <f>+F43*H39</f>
        <v>4169.6426928980918</v>
      </c>
      <c r="H43" s="117"/>
    </row>
    <row r="44" spans="1:8" ht="15.75" thickBot="1">
      <c r="A44" s="89" t="s">
        <v>514</v>
      </c>
      <c r="B44" s="90"/>
      <c r="C44" s="90"/>
      <c r="D44" s="90"/>
      <c r="E44" s="91"/>
      <c r="F44" s="118">
        <f>+SALARIOS!C47</f>
        <v>0.05</v>
      </c>
      <c r="G44" s="119">
        <f>+F44*H39</f>
        <v>4169.6426928980918</v>
      </c>
      <c r="H44" s="80"/>
    </row>
    <row r="45" spans="1:8" ht="15.75" thickBot="1">
      <c r="A45" s="61"/>
      <c r="B45" s="61"/>
      <c r="C45" s="61"/>
      <c r="D45" s="61"/>
      <c r="E45" s="61"/>
      <c r="F45" s="61"/>
      <c r="G45" s="81" t="s">
        <v>491</v>
      </c>
      <c r="H45" s="120">
        <f>SUM(G42:G44)</f>
        <v>20848.213464490458</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104241</v>
      </c>
    </row>
  </sheetData>
  <mergeCells count="1">
    <mergeCell ref="A3:C4"/>
  </mergeCells>
  <pageMargins left="0.7" right="0.7" top="0.75" bottom="0.75" header="0.3" footer="0.3"/>
  <pageSetup paperSize="9" scale="9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 workbookViewId="0">
      <selection activeCell="C19" sqref="C19"/>
    </sheetView>
  </sheetViews>
  <sheetFormatPr baseColWidth="10" defaultRowHeight="15"/>
  <cols>
    <col min="1" max="1" width="6.85546875" customWidth="1"/>
    <col min="2" max="2" width="6.5703125" bestFit="1" customWidth="1"/>
    <col min="3" max="3" width="4.7109375" bestFit="1" customWidth="1"/>
    <col min="4" max="4" width="13.7109375" customWidth="1"/>
    <col min="5" max="5" width="5" customWidth="1"/>
    <col min="6" max="6" width="7.42578125" customWidth="1"/>
    <col min="7" max="7" width="6.5703125" bestFit="1" customWidth="1"/>
    <col min="8" max="8" width="6.28515625" customWidth="1"/>
    <col min="9" max="9" width="9.140625" bestFit="1" customWidth="1"/>
    <col min="10" max="10" width="8.42578125" customWidth="1"/>
    <col min="11" max="11" width="6.85546875" customWidth="1"/>
    <col min="12" max="12" width="6.5703125" bestFit="1" customWidth="1"/>
    <col min="13" max="13" width="4.7109375" bestFit="1" customWidth="1"/>
    <col min="14" max="14" width="9.140625" bestFit="1" customWidth="1"/>
  </cols>
  <sheetData>
    <row r="1" spans="1:6">
      <c r="A1" s="1193" t="s">
        <v>2232</v>
      </c>
    </row>
    <row r="2" spans="1:6">
      <c r="A2" s="1193"/>
    </row>
    <row r="3" spans="1:6">
      <c r="A3" s="1193" t="s">
        <v>2233</v>
      </c>
    </row>
    <row r="4" spans="1:6">
      <c r="A4" s="164" t="s">
        <v>2234</v>
      </c>
      <c r="B4" s="165"/>
      <c r="C4" s="165"/>
      <c r="D4" s="166"/>
      <c r="E4" s="1194"/>
      <c r="F4" t="s">
        <v>2235</v>
      </c>
    </row>
    <row r="5" spans="1:6">
      <c r="A5" s="1195" t="s">
        <v>121</v>
      </c>
      <c r="B5" s="165"/>
      <c r="C5" s="165"/>
      <c r="D5" s="166"/>
      <c r="E5" s="1194">
        <v>400</v>
      </c>
    </row>
    <row r="6" spans="1:6">
      <c r="A6" s="1195" t="s">
        <v>122</v>
      </c>
      <c r="B6" s="165"/>
      <c r="C6" s="165"/>
      <c r="D6" s="166"/>
      <c r="E6" s="1194">
        <v>40</v>
      </c>
    </row>
    <row r="7" spans="1:6">
      <c r="A7" s="1195" t="s">
        <v>32</v>
      </c>
      <c r="B7" s="165"/>
      <c r="C7" s="165"/>
      <c r="D7" s="166"/>
      <c r="E7" s="1194">
        <v>270</v>
      </c>
    </row>
    <row r="8" spans="1:6">
      <c r="A8" s="164"/>
      <c r="B8" s="165"/>
      <c r="C8" s="165"/>
      <c r="D8" s="1196" t="s">
        <v>2236</v>
      </c>
      <c r="E8" s="1194">
        <f>SUM(E5:E7)</f>
        <v>710</v>
      </c>
    </row>
    <row r="9" spans="1:6">
      <c r="A9" s="164" t="s">
        <v>2237</v>
      </c>
      <c r="B9" s="165"/>
      <c r="C9" s="165"/>
      <c r="D9" s="166"/>
      <c r="E9" s="1194"/>
      <c r="F9" t="s">
        <v>2235</v>
      </c>
    </row>
    <row r="10" spans="1:6">
      <c r="A10" s="1195" t="s">
        <v>121</v>
      </c>
      <c r="B10" s="165"/>
      <c r="C10" s="165"/>
      <c r="D10" s="166"/>
      <c r="E10" s="1194">
        <v>400</v>
      </c>
    </row>
    <row r="11" spans="1:6">
      <c r="A11" s="1195" t="s">
        <v>122</v>
      </c>
      <c r="B11" s="165"/>
      <c r="C11" s="165"/>
      <c r="D11" s="166"/>
      <c r="E11" s="1194">
        <v>40</v>
      </c>
    </row>
    <row r="12" spans="1:6">
      <c r="A12" s="1195" t="s">
        <v>32</v>
      </c>
      <c r="B12" s="165"/>
      <c r="C12" s="165"/>
      <c r="D12" s="166"/>
      <c r="E12" s="1194">
        <v>270</v>
      </c>
    </row>
    <row r="13" spans="1:6">
      <c r="A13" s="164"/>
      <c r="B13" s="165"/>
      <c r="C13" s="165"/>
      <c r="D13" s="1196" t="s">
        <v>2236</v>
      </c>
      <c r="E13" s="1194">
        <f>SUM(E10:E12)</f>
        <v>710</v>
      </c>
    </row>
    <row r="14" spans="1:6">
      <c r="A14" s="164" t="s">
        <v>2238</v>
      </c>
      <c r="B14" s="165"/>
      <c r="C14" s="165"/>
      <c r="D14" s="166"/>
      <c r="E14" s="1197">
        <f>+E8+E13</f>
        <v>1420</v>
      </c>
    </row>
    <row r="16" spans="1:6">
      <c r="A16" s="1193" t="s">
        <v>2239</v>
      </c>
    </row>
    <row r="17" spans="1:14">
      <c r="A17" t="s">
        <v>2240</v>
      </c>
      <c r="F17" t="s">
        <v>2241</v>
      </c>
      <c r="K17" t="s">
        <v>2242</v>
      </c>
    </row>
    <row r="18" spans="1:14">
      <c r="A18" s="1194" t="s">
        <v>2243</v>
      </c>
      <c r="B18" s="1194" t="s">
        <v>2244</v>
      </c>
      <c r="C18" s="1194" t="s">
        <v>2245</v>
      </c>
      <c r="D18" s="1194" t="s">
        <v>2246</v>
      </c>
      <c r="F18" s="1194" t="s">
        <v>2243</v>
      </c>
      <c r="G18" s="1194" t="s">
        <v>2244</v>
      </c>
      <c r="H18" s="1194" t="s">
        <v>2245</v>
      </c>
      <c r="I18" s="1194" t="s">
        <v>2246</v>
      </c>
      <c r="K18" s="1194" t="s">
        <v>2243</v>
      </c>
      <c r="L18" s="1194" t="s">
        <v>2244</v>
      </c>
      <c r="M18" s="1194" t="s">
        <v>2245</v>
      </c>
      <c r="N18" s="1194" t="s">
        <v>2246</v>
      </c>
    </row>
    <row r="19" spans="1:14">
      <c r="A19" s="1194">
        <v>1386</v>
      </c>
      <c r="B19" s="1194">
        <v>1.7</v>
      </c>
      <c r="C19" s="1194">
        <v>2</v>
      </c>
      <c r="D19" s="1197">
        <f>+A19*B19*C19</f>
        <v>4712.3999999999996</v>
      </c>
      <c r="F19" s="1194">
        <v>1386</v>
      </c>
      <c r="G19" s="1194">
        <v>2</v>
      </c>
      <c r="H19" s="1194">
        <v>1</v>
      </c>
      <c r="I19" s="1197">
        <f>+F19*G19*H19</f>
        <v>2772</v>
      </c>
      <c r="K19" s="1194">
        <v>1386</v>
      </c>
      <c r="L19" s="1194">
        <v>2</v>
      </c>
      <c r="M19" s="1194">
        <v>3</v>
      </c>
      <c r="N19" s="1197">
        <f>+K19*L19*M19</f>
        <v>8316</v>
      </c>
    </row>
    <row r="21" spans="1:14">
      <c r="A21" s="1198" t="s">
        <v>2247</v>
      </c>
      <c r="B21" s="1199"/>
      <c r="C21" s="1199"/>
      <c r="D21" s="1199"/>
      <c r="E21" s="1199"/>
      <c r="F21" s="1200"/>
      <c r="G21" s="1351" t="s">
        <v>2248</v>
      </c>
      <c r="H21" s="1351"/>
      <c r="I21" s="1194">
        <f>+D19</f>
        <v>4712.3999999999996</v>
      </c>
      <c r="J21" s="1194"/>
    </row>
    <row r="22" spans="1:14">
      <c r="A22" s="1201" t="s">
        <v>2249</v>
      </c>
      <c r="B22" s="17"/>
      <c r="C22" s="17"/>
      <c r="D22" s="17"/>
      <c r="E22" s="17"/>
      <c r="F22" s="1202"/>
      <c r="G22" s="1351" t="s">
        <v>2250</v>
      </c>
      <c r="H22" s="1351"/>
      <c r="I22" s="1203">
        <f>+I21*0.9</f>
        <v>4241.16</v>
      </c>
      <c r="J22" s="1194"/>
    </row>
    <row r="23" spans="1:14">
      <c r="A23" s="1204" t="s">
        <v>35</v>
      </c>
      <c r="B23" s="17"/>
      <c r="C23" s="17"/>
      <c r="D23" s="17"/>
      <c r="E23" s="17"/>
      <c r="F23" s="1202"/>
      <c r="G23" s="1352">
        <v>0.8</v>
      </c>
      <c r="H23" s="1351"/>
      <c r="I23" s="1203">
        <f>+I22*0.8</f>
        <v>3392.9279999999999</v>
      </c>
      <c r="J23" s="1194">
        <v>3992</v>
      </c>
    </row>
    <row r="24" spans="1:14">
      <c r="A24" s="1204" t="s">
        <v>122</v>
      </c>
      <c r="B24" s="17"/>
      <c r="C24" s="17"/>
      <c r="D24" s="17"/>
      <c r="E24" s="17"/>
      <c r="F24" s="1202"/>
      <c r="G24" s="1352">
        <v>0.2</v>
      </c>
      <c r="H24" s="1351"/>
      <c r="I24" s="1203">
        <f>+I22*0.2</f>
        <v>848.23199999999997</v>
      </c>
      <c r="J24" s="1194">
        <v>998</v>
      </c>
    </row>
    <row r="25" spans="1:14">
      <c r="A25" s="1201" t="s">
        <v>2251</v>
      </c>
      <c r="B25" s="17"/>
      <c r="C25" s="17"/>
      <c r="D25" s="17"/>
      <c r="E25" s="17"/>
      <c r="F25" s="1202"/>
      <c r="G25" s="1351" t="s">
        <v>2252</v>
      </c>
      <c r="H25" s="1351"/>
      <c r="I25" s="1203">
        <f>+I21*0.1</f>
        <v>471.24</v>
      </c>
      <c r="J25" s="1194"/>
    </row>
    <row r="26" spans="1:14">
      <c r="A26" s="1204" t="s">
        <v>35</v>
      </c>
      <c r="B26" s="17"/>
      <c r="C26" s="17"/>
      <c r="D26" s="17"/>
      <c r="E26" s="17"/>
      <c r="F26" s="1202"/>
      <c r="G26" s="1352">
        <v>0.8</v>
      </c>
      <c r="H26" s="1351"/>
      <c r="I26" s="1203">
        <f>+I25*0.8</f>
        <v>376.99200000000002</v>
      </c>
      <c r="J26" s="1194">
        <v>443</v>
      </c>
    </row>
    <row r="27" spans="1:14">
      <c r="A27" s="1204" t="s">
        <v>122</v>
      </c>
      <c r="B27" s="17"/>
      <c r="C27" s="17"/>
      <c r="D27" s="17"/>
      <c r="E27" s="17"/>
      <c r="F27" s="1202"/>
      <c r="G27" s="1352">
        <v>0.2</v>
      </c>
      <c r="H27" s="1351"/>
      <c r="I27" s="1205">
        <f>+I25*0.2</f>
        <v>94.248000000000005</v>
      </c>
      <c r="J27" s="1194">
        <v>111</v>
      </c>
    </row>
    <row r="28" spans="1:14">
      <c r="A28" s="1198" t="s">
        <v>2253</v>
      </c>
      <c r="B28" s="1199"/>
      <c r="C28" s="1199"/>
      <c r="D28" s="1199"/>
      <c r="E28" s="1199"/>
      <c r="F28" s="1200"/>
      <c r="G28" s="1351" t="s">
        <v>2248</v>
      </c>
      <c r="H28" s="1351"/>
      <c r="I28" s="1194">
        <f>+I19</f>
        <v>2772</v>
      </c>
      <c r="J28" s="1194"/>
    </row>
    <row r="29" spans="1:14">
      <c r="A29" s="1201" t="s">
        <v>2249</v>
      </c>
      <c r="B29" s="17"/>
      <c r="C29" s="17"/>
      <c r="D29" s="17"/>
      <c r="E29" s="17"/>
      <c r="F29" s="1202"/>
      <c r="G29" s="1351" t="s">
        <v>2250</v>
      </c>
      <c r="H29" s="1351"/>
      <c r="I29" s="1203">
        <f>+I28*0.9</f>
        <v>2494.8000000000002</v>
      </c>
      <c r="J29" s="1194"/>
    </row>
    <row r="30" spans="1:14">
      <c r="A30" s="1204" t="s">
        <v>35</v>
      </c>
      <c r="B30" s="17"/>
      <c r="C30" s="17"/>
      <c r="D30" s="17"/>
      <c r="E30" s="17"/>
      <c r="F30" s="1202"/>
      <c r="G30" s="1352">
        <v>0.8</v>
      </c>
      <c r="H30" s="1351"/>
      <c r="I30" s="1203">
        <f>+I29*0.8</f>
        <v>1995.8400000000001</v>
      </c>
      <c r="J30" s="1194">
        <v>1996</v>
      </c>
    </row>
    <row r="31" spans="1:14">
      <c r="A31" s="1204" t="s">
        <v>122</v>
      </c>
      <c r="B31" s="17"/>
      <c r="C31" s="17"/>
      <c r="D31" s="17"/>
      <c r="E31" s="17"/>
      <c r="F31" s="1202"/>
      <c r="G31" s="1352">
        <v>0.2</v>
      </c>
      <c r="H31" s="1351"/>
      <c r="I31" s="1203">
        <f>+I29*0.2</f>
        <v>498.96000000000004</v>
      </c>
      <c r="J31" s="1194">
        <v>499</v>
      </c>
    </row>
    <row r="32" spans="1:14">
      <c r="A32" s="1201" t="s">
        <v>2251</v>
      </c>
      <c r="B32" s="17"/>
      <c r="C32" s="17"/>
      <c r="D32" s="17"/>
      <c r="E32" s="17"/>
      <c r="F32" s="1202"/>
      <c r="G32" s="1351" t="s">
        <v>2252</v>
      </c>
      <c r="H32" s="1351"/>
      <c r="I32" s="1203">
        <f>+I28*0.1</f>
        <v>277.2</v>
      </c>
      <c r="J32" s="1194"/>
    </row>
    <row r="33" spans="1:10">
      <c r="A33" s="1204" t="s">
        <v>35</v>
      </c>
      <c r="B33" s="17"/>
      <c r="C33" s="17"/>
      <c r="D33" s="17"/>
      <c r="E33" s="17"/>
      <c r="F33" s="1202"/>
      <c r="G33" s="1352">
        <v>0.8</v>
      </c>
      <c r="H33" s="1351"/>
      <c r="I33" s="1203">
        <f>+I32*0.8</f>
        <v>221.76</v>
      </c>
      <c r="J33" s="1194">
        <v>222</v>
      </c>
    </row>
    <row r="34" spans="1:10">
      <c r="A34" s="1206" t="s">
        <v>122</v>
      </c>
      <c r="B34" s="1207"/>
      <c r="C34" s="1207"/>
      <c r="D34" s="1207"/>
      <c r="E34" s="1207"/>
      <c r="F34" s="1208"/>
      <c r="G34" s="1352">
        <v>0.2</v>
      </c>
      <c r="H34" s="1351"/>
      <c r="I34" s="1203">
        <f>+I32*0.2</f>
        <v>55.44</v>
      </c>
      <c r="J34" s="1194">
        <v>55</v>
      </c>
    </row>
    <row r="35" spans="1:10">
      <c r="G35" s="1351" t="s">
        <v>2254</v>
      </c>
      <c r="H35" s="1351"/>
      <c r="I35" s="1351"/>
      <c r="J35" s="1197">
        <f>SUM(J21:J34)</f>
        <v>8316</v>
      </c>
    </row>
    <row r="37" spans="1:10">
      <c r="A37" s="1193" t="s">
        <v>2255</v>
      </c>
      <c r="D37" t="s">
        <v>2256</v>
      </c>
      <c r="G37" s="1209">
        <f>+E14+N19</f>
        <v>9736</v>
      </c>
      <c r="H37" t="s">
        <v>2257</v>
      </c>
    </row>
    <row r="38" spans="1:10">
      <c r="F38" s="1194" t="s">
        <v>2244</v>
      </c>
      <c r="G38" s="1194" t="s">
        <v>2245</v>
      </c>
      <c r="H38" s="1194" t="s">
        <v>2243</v>
      </c>
      <c r="I38" s="1194" t="s">
        <v>2246</v>
      </c>
    </row>
    <row r="39" spans="1:10">
      <c r="A39" t="s">
        <v>2258</v>
      </c>
      <c r="F39" s="1194">
        <v>2</v>
      </c>
      <c r="G39" s="1194">
        <v>2</v>
      </c>
      <c r="H39" s="1194">
        <v>1386</v>
      </c>
      <c r="I39" s="1203">
        <f>+F39*G39*H39</f>
        <v>5544</v>
      </c>
    </row>
    <row r="40" spans="1:10">
      <c r="F40" s="1353" t="s">
        <v>2259</v>
      </c>
      <c r="G40" s="1354"/>
      <c r="H40" s="1355"/>
      <c r="I40" s="1203">
        <v>510</v>
      </c>
      <c r="J40" s="1194">
        <f>+I40+I39</f>
        <v>6054</v>
      </c>
    </row>
    <row r="41" spans="1:10">
      <c r="A41" t="s">
        <v>2260</v>
      </c>
      <c r="F41" s="1194">
        <v>2</v>
      </c>
      <c r="G41" s="1194">
        <v>0.4</v>
      </c>
      <c r="H41" s="1194">
        <v>1386</v>
      </c>
      <c r="I41" s="1203">
        <f t="shared" ref="I41:I42" si="0">+F41*G41*H41</f>
        <v>1108.8</v>
      </c>
      <c r="J41" s="1210">
        <v>1110</v>
      </c>
    </row>
    <row r="42" spans="1:10">
      <c r="A42" t="s">
        <v>2261</v>
      </c>
      <c r="F42" s="1194">
        <v>2</v>
      </c>
      <c r="G42" s="1194">
        <v>0.6</v>
      </c>
      <c r="H42" s="1194">
        <v>1386</v>
      </c>
      <c r="I42" s="1203">
        <f t="shared" si="0"/>
        <v>1663.2</v>
      </c>
      <c r="J42" s="1210">
        <v>1665</v>
      </c>
    </row>
    <row r="43" spans="1:10">
      <c r="A43" t="s">
        <v>2262</v>
      </c>
      <c r="F43" s="1353">
        <v>0.65659999999999996</v>
      </c>
      <c r="G43" s="1355"/>
      <c r="H43" s="1194">
        <v>1386</v>
      </c>
      <c r="I43" s="1203">
        <f>+F43*H43</f>
        <v>910.04759999999999</v>
      </c>
    </row>
    <row r="44" spans="1:10">
      <c r="F44" s="1351" t="s">
        <v>2254</v>
      </c>
      <c r="G44" s="1351"/>
      <c r="H44" s="1351"/>
      <c r="I44" s="1203">
        <f>SUM(I37:I43)</f>
        <v>9736.0475999999999</v>
      </c>
      <c r="J44" s="1197">
        <f>SUM(J40:J43)</f>
        <v>8829</v>
      </c>
    </row>
    <row r="47" spans="1:10">
      <c r="A47" s="1211" t="s">
        <v>2263</v>
      </c>
    </row>
    <row r="48" spans="1:10">
      <c r="A48" t="s">
        <v>2257</v>
      </c>
      <c r="F48" s="47">
        <f>+G37</f>
        <v>9736</v>
      </c>
    </row>
    <row r="49" spans="1:7">
      <c r="A49" t="s">
        <v>2264</v>
      </c>
      <c r="F49" s="47">
        <f>-(J41)</f>
        <v>-1110</v>
      </c>
    </row>
    <row r="50" spans="1:7">
      <c r="A50" t="s">
        <v>2265</v>
      </c>
      <c r="F50" s="1212">
        <v>1875</v>
      </c>
      <c r="G50">
        <v>1875</v>
      </c>
    </row>
    <row r="51" spans="1:7">
      <c r="A51" t="s">
        <v>2266</v>
      </c>
      <c r="F51" s="1212"/>
      <c r="G51">
        <v>7830</v>
      </c>
    </row>
    <row r="52" spans="1:7">
      <c r="A52" t="s">
        <v>2267</v>
      </c>
      <c r="F52" s="1212"/>
      <c r="G52">
        <v>197</v>
      </c>
    </row>
    <row r="53" spans="1:7">
      <c r="A53" t="s">
        <v>2268</v>
      </c>
      <c r="F53" s="1212"/>
      <c r="G53">
        <v>7830</v>
      </c>
    </row>
    <row r="54" spans="1:7">
      <c r="A54" t="s">
        <v>2269</v>
      </c>
      <c r="F54" s="1212">
        <f>807-612</f>
        <v>195</v>
      </c>
      <c r="G54" s="47">
        <f>807-612</f>
        <v>195</v>
      </c>
    </row>
    <row r="55" spans="1:7">
      <c r="C55" s="1351" t="s">
        <v>2254</v>
      </c>
      <c r="D55" s="1351"/>
      <c r="E55" s="1351"/>
      <c r="F55" s="1194">
        <f>SUM(F48:F54)</f>
        <v>10696</v>
      </c>
    </row>
    <row r="56" spans="1:7">
      <c r="C56" s="1351" t="s">
        <v>2270</v>
      </c>
      <c r="D56" s="1351"/>
      <c r="E56" s="1351"/>
      <c r="F56" s="1194">
        <v>1.3</v>
      </c>
    </row>
    <row r="57" spans="1:7">
      <c r="C57" s="1351" t="s">
        <v>2271</v>
      </c>
      <c r="D57" s="1351"/>
      <c r="E57" s="1351"/>
      <c r="F57" s="1197">
        <f>+F55*F56</f>
        <v>13904.800000000001</v>
      </c>
    </row>
    <row r="59" spans="1:7">
      <c r="A59" s="1193" t="s">
        <v>2272</v>
      </c>
    </row>
    <row r="60" spans="1:7">
      <c r="A60" t="s">
        <v>2273</v>
      </c>
      <c r="G60" s="1197">
        <v>50</v>
      </c>
    </row>
    <row r="62" spans="1:7">
      <c r="A62" s="1193" t="s">
        <v>2274</v>
      </c>
    </row>
    <row r="63" spans="1:7">
      <c r="A63" t="s">
        <v>2275</v>
      </c>
      <c r="F63" s="1213" t="s">
        <v>2276</v>
      </c>
      <c r="G63">
        <v>56.79</v>
      </c>
    </row>
    <row r="64" spans="1:7">
      <c r="A64" t="s">
        <v>2277</v>
      </c>
      <c r="D64">
        <f>+((2+3)/2)*1.6</f>
        <v>4</v>
      </c>
    </row>
    <row r="65" spans="1:7">
      <c r="A65" t="s">
        <v>2278</v>
      </c>
      <c r="D65">
        <f>+F43</f>
        <v>0.65659999999999996</v>
      </c>
    </row>
    <row r="66" spans="1:7">
      <c r="D66">
        <f>+D64-D65</f>
        <v>3.3433999999999999</v>
      </c>
    </row>
    <row r="67" spans="1:7">
      <c r="A67" t="s">
        <v>2279</v>
      </c>
      <c r="D67">
        <f>+D66*G63</f>
        <v>189.87168599999998</v>
      </c>
    </row>
    <row r="69" spans="1:7">
      <c r="A69" t="s">
        <v>2280</v>
      </c>
      <c r="F69" s="1213" t="s">
        <v>2276</v>
      </c>
      <c r="G69">
        <v>58.92</v>
      </c>
    </row>
    <row r="70" spans="1:7">
      <c r="A70" t="s">
        <v>2277</v>
      </c>
      <c r="D70">
        <f>+((2+3)/2)*1.6</f>
        <v>4</v>
      </c>
    </row>
    <row r="71" spans="1:7">
      <c r="A71" t="s">
        <v>2278</v>
      </c>
      <c r="D71">
        <f>+D65</f>
        <v>0.65659999999999996</v>
      </c>
    </row>
    <row r="72" spans="1:7">
      <c r="D72">
        <f>+D70-D71</f>
        <v>3.3433999999999999</v>
      </c>
    </row>
    <row r="73" spans="1:7">
      <c r="A73" t="s">
        <v>2279</v>
      </c>
      <c r="D73" s="1197">
        <f>+D72*G69</f>
        <v>196.99312800000001</v>
      </c>
    </row>
  </sheetData>
  <mergeCells count="21">
    <mergeCell ref="C55:E55"/>
    <mergeCell ref="C56:E56"/>
    <mergeCell ref="C57:E57"/>
    <mergeCell ref="G33:H33"/>
    <mergeCell ref="G34:H34"/>
    <mergeCell ref="G35:I35"/>
    <mergeCell ref="F40:H40"/>
    <mergeCell ref="F43:G43"/>
    <mergeCell ref="F44:H44"/>
    <mergeCell ref="G32:H32"/>
    <mergeCell ref="G21:H21"/>
    <mergeCell ref="G22:H22"/>
    <mergeCell ref="G23:H23"/>
    <mergeCell ref="G24:H24"/>
    <mergeCell ref="G25:H25"/>
    <mergeCell ref="G26:H26"/>
    <mergeCell ref="G27:H27"/>
    <mergeCell ref="G28:H28"/>
    <mergeCell ref="G29:H29"/>
    <mergeCell ref="G30:H30"/>
    <mergeCell ref="G31:H3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19" workbookViewId="0">
      <selection activeCell="J33" sqref="J33"/>
    </sheetView>
  </sheetViews>
  <sheetFormatPr baseColWidth="10" defaultRowHeight="15"/>
  <cols>
    <col min="3" max="3" width="15.5703125"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521</v>
      </c>
      <c r="B7" s="62"/>
      <c r="C7" s="61"/>
      <c r="D7" s="16"/>
      <c r="E7" s="62"/>
      <c r="F7" s="16"/>
      <c r="G7" s="62" t="s">
        <v>547</v>
      </c>
      <c r="H7" s="61"/>
    </row>
    <row r="8" spans="1:8" ht="26.25" customHeight="1">
      <c r="A8" s="1479" t="s">
        <v>555</v>
      </c>
      <c r="B8" s="1479"/>
      <c r="C8" s="1479"/>
      <c r="D8" s="1479"/>
      <c r="E8" s="1479"/>
      <c r="F8" s="1479"/>
      <c r="G8" s="62" t="s">
        <v>537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45" t="s">
        <v>486</v>
      </c>
      <c r="E11" s="65" t="s">
        <v>487</v>
      </c>
      <c r="F11" s="145" t="s">
        <v>488</v>
      </c>
      <c r="G11" s="144" t="s">
        <v>489</v>
      </c>
      <c r="H11" s="67"/>
    </row>
    <row r="12" spans="1:8">
      <c r="A12" s="1460" t="s">
        <v>188</v>
      </c>
      <c r="B12" s="1461"/>
      <c r="C12" s="1462"/>
      <c r="D12" s="68"/>
      <c r="E12" s="69">
        <f>+'EQUIPOS '!D17</f>
        <v>89900</v>
      </c>
      <c r="F12" s="68">
        <v>20</v>
      </c>
      <c r="G12" s="71">
        <f>(E12/F12)</f>
        <v>4495</v>
      </c>
      <c r="H12" s="72"/>
    </row>
    <row r="13" spans="1:8">
      <c r="A13" s="1463" t="s">
        <v>1327</v>
      </c>
      <c r="B13" s="1464"/>
      <c r="C13" s="1465"/>
      <c r="D13" s="73"/>
      <c r="E13" s="74"/>
      <c r="F13" s="156"/>
      <c r="G13" s="71">
        <f>H38*10%</f>
        <v>871.70105140873147</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5366.7010514087315</v>
      </c>
    </row>
    <row r="19" spans="1:8" ht="15.75" thickBot="1">
      <c r="A19" s="63" t="s">
        <v>492</v>
      </c>
      <c r="B19" s="63"/>
      <c r="C19" s="61"/>
      <c r="D19" s="61"/>
      <c r="E19" s="61"/>
      <c r="F19" s="61"/>
      <c r="G19" s="61"/>
      <c r="H19" s="61"/>
    </row>
    <row r="20" spans="1:8">
      <c r="A20" s="1472" t="s">
        <v>485</v>
      </c>
      <c r="B20" s="1473"/>
      <c r="C20" s="1474"/>
      <c r="D20" s="147" t="s">
        <v>493</v>
      </c>
      <c r="E20" s="147" t="s">
        <v>494</v>
      </c>
      <c r="F20" s="147" t="s">
        <v>495</v>
      </c>
      <c r="G20" s="146" t="s">
        <v>489</v>
      </c>
      <c r="H20" s="67"/>
    </row>
    <row r="21" spans="1:8">
      <c r="A21" s="127"/>
      <c r="B21" s="84"/>
      <c r="C21" s="85"/>
      <c r="D21" s="141"/>
      <c r="E21" s="139"/>
      <c r="F21" s="87"/>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45" t="s">
        <v>499</v>
      </c>
      <c r="E27" s="145" t="s">
        <v>500</v>
      </c>
      <c r="F27" s="145"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1" t="s">
        <v>504</v>
      </c>
      <c r="D33" s="151" t="s">
        <v>505</v>
      </c>
      <c r="E33" s="124" t="s">
        <v>506</v>
      </c>
      <c r="F33" s="102" t="s">
        <v>488</v>
      </c>
      <c r="G33" s="150" t="s">
        <v>489</v>
      </c>
      <c r="H33" s="67"/>
    </row>
    <row r="34" spans="1:8">
      <c r="A34" s="83" t="s">
        <v>554</v>
      </c>
      <c r="B34" s="84"/>
      <c r="C34" s="103">
        <f>+SALARIOS!C49*2</f>
        <v>51144</v>
      </c>
      <c r="D34" s="104">
        <f>+SALARIOS!C48</f>
        <v>1.7846558312967005</v>
      </c>
      <c r="E34" s="69">
        <f>(C34*D34)</f>
        <v>91274.437835838442</v>
      </c>
      <c r="F34" s="69">
        <v>19</v>
      </c>
      <c r="G34" s="105">
        <f>E34/F34</f>
        <v>4803.9177808336026</v>
      </c>
      <c r="H34" s="72"/>
    </row>
    <row r="35" spans="1:8">
      <c r="A35" s="83" t="s">
        <v>624</v>
      </c>
      <c r="B35" s="84"/>
      <c r="C35" s="103">
        <f>SALARIOS!C50</f>
        <v>41660</v>
      </c>
      <c r="D35" s="104">
        <f>SALARIOS!C48</f>
        <v>1.7846558312967005</v>
      </c>
      <c r="E35" s="69">
        <f>(C35*D35)</f>
        <v>74348.76193182054</v>
      </c>
      <c r="F35" s="69">
        <v>19</v>
      </c>
      <c r="G35" s="1179">
        <f>E35/F35</f>
        <v>3913.0927332537126</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8717.0105140873147</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14083.711565496047</v>
      </c>
    </row>
    <row r="41" spans="1:8" ht="15.75" thickBot="1">
      <c r="A41" s="63" t="s">
        <v>509</v>
      </c>
      <c r="B41" s="63"/>
      <c r="C41" s="61"/>
      <c r="D41" s="61"/>
      <c r="E41" s="61"/>
      <c r="F41" s="61"/>
      <c r="G41" s="61"/>
      <c r="H41" s="61"/>
    </row>
    <row r="42" spans="1:8">
      <c r="A42" s="110" t="s">
        <v>485</v>
      </c>
      <c r="B42" s="111"/>
      <c r="C42" s="111"/>
      <c r="D42" s="111"/>
      <c r="E42" s="112"/>
      <c r="F42" s="147" t="s">
        <v>510</v>
      </c>
      <c r="G42" s="146" t="s">
        <v>511</v>
      </c>
      <c r="H42" s="67"/>
    </row>
    <row r="43" spans="1:8">
      <c r="A43" s="83" t="s">
        <v>512</v>
      </c>
      <c r="B43" s="84"/>
      <c r="C43" s="84"/>
      <c r="D43" s="84"/>
      <c r="E43" s="85"/>
      <c r="F43" s="115">
        <f>(SALARIOS!C45)</f>
        <v>0.15</v>
      </c>
      <c r="G43" s="116">
        <f>++F43*H40</f>
        <v>2112.5567348244072</v>
      </c>
      <c r="H43" s="117"/>
    </row>
    <row r="44" spans="1:8">
      <c r="A44" s="83" t="s">
        <v>513</v>
      </c>
      <c r="B44" s="84"/>
      <c r="C44" s="84"/>
      <c r="D44" s="84"/>
      <c r="E44" s="85"/>
      <c r="F44" s="115">
        <f>(SALARIOS!C46)</f>
        <v>0.05</v>
      </c>
      <c r="G44" s="116">
        <f>+F44*H40</f>
        <v>704.18557827480242</v>
      </c>
      <c r="H44" s="117"/>
    </row>
    <row r="45" spans="1:8" ht="15.75" thickBot="1">
      <c r="A45" s="89" t="s">
        <v>514</v>
      </c>
      <c r="B45" s="90"/>
      <c r="C45" s="90"/>
      <c r="D45" s="90"/>
      <c r="E45" s="91"/>
      <c r="F45" s="118">
        <f>(SALARIOS!C47)</f>
        <v>0.05</v>
      </c>
      <c r="G45" s="119">
        <f>+F45*H40</f>
        <v>704.18557827480242</v>
      </c>
      <c r="H45" s="80"/>
    </row>
    <row r="46" spans="1:8" ht="15.75" thickBot="1">
      <c r="A46" s="61"/>
      <c r="B46" s="61"/>
      <c r="C46" s="61"/>
      <c r="D46" s="61"/>
      <c r="E46" s="61"/>
      <c r="F46" s="61"/>
      <c r="G46" s="81" t="s">
        <v>491</v>
      </c>
      <c r="H46" s="120">
        <f>SUM(G43:G45)</f>
        <v>3520.9278913740122</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17605</v>
      </c>
    </row>
  </sheetData>
  <mergeCells count="14">
    <mergeCell ref="A13:C13"/>
    <mergeCell ref="A3:C4"/>
    <mergeCell ref="A5:C5"/>
    <mergeCell ref="D5:H5"/>
    <mergeCell ref="A11:C11"/>
    <mergeCell ref="A12:C12"/>
    <mergeCell ref="A8:F8"/>
    <mergeCell ref="A33:B33"/>
    <mergeCell ref="A14:C14"/>
    <mergeCell ref="A15:C15"/>
    <mergeCell ref="A16:C16"/>
    <mergeCell ref="A17:C17"/>
    <mergeCell ref="A20:C20"/>
    <mergeCell ref="A27:B27"/>
  </mergeCell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7"/>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881</v>
      </c>
      <c r="H7" s="61"/>
    </row>
    <row r="8" spans="1:8">
      <c r="A8" s="60" t="s">
        <v>1901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2399.7196169947952</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2399.7196169947952</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1681</v>
      </c>
      <c r="B20" s="84"/>
      <c r="C20" s="85"/>
      <c r="D20" s="141" t="s">
        <v>1</v>
      </c>
      <c r="E20" s="139">
        <f>+MATERIALES!D303</f>
        <v>97280.5</v>
      </c>
      <c r="F20" s="163">
        <v>1</v>
      </c>
      <c r="G20" s="137">
        <f>+E20*F20</f>
        <v>97280.5</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97280.5</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697</v>
      </c>
      <c r="B33" s="84"/>
      <c r="C33" s="103">
        <f>+SALARIOS!C49*1</f>
        <v>25572</v>
      </c>
      <c r="D33" s="104">
        <f>+SALARIOS!C48</f>
        <v>1.7846558312967005</v>
      </c>
      <c r="E33" s="69">
        <f>+C33*D33</f>
        <v>45637.218917919221</v>
      </c>
      <c r="F33" s="69">
        <v>5</v>
      </c>
      <c r="G33" s="105">
        <f>+E33/F33</f>
        <v>9127.4437835838435</v>
      </c>
      <c r="H33" s="72"/>
    </row>
    <row r="34" spans="1:8">
      <c r="A34" s="83" t="s">
        <v>624</v>
      </c>
      <c r="B34" s="84"/>
      <c r="C34" s="103">
        <f>+SALARIOS!C50</f>
        <v>41660</v>
      </c>
      <c r="D34" s="104">
        <f>+SALARIOS!C48</f>
        <v>1.7846558312967005</v>
      </c>
      <c r="E34" s="69">
        <f>+C34*D34</f>
        <v>74348.76193182054</v>
      </c>
      <c r="F34" s="69">
        <v>5</v>
      </c>
      <c r="G34" s="105">
        <f>+E34/F34</f>
        <v>14869.752386364107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23997.196169947951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123677.41578694276</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18551.612368041413</v>
      </c>
      <c r="H42" s="117"/>
    </row>
    <row r="43" spans="1:8">
      <c r="A43" s="83" t="s">
        <v>513</v>
      </c>
      <c r="B43" s="84"/>
      <c r="C43" s="84"/>
      <c r="D43" s="84"/>
      <c r="E43" s="85"/>
      <c r="F43" s="115">
        <f>+SALARIOS!C46</f>
        <v>0.05</v>
      </c>
      <c r="G43" s="116">
        <f>+F43*H39</f>
        <v>6183.8707893471383</v>
      </c>
      <c r="H43" s="117"/>
    </row>
    <row r="44" spans="1:8" ht="15.75" thickBot="1">
      <c r="A44" s="89" t="s">
        <v>514</v>
      </c>
      <c r="B44" s="90"/>
      <c r="C44" s="90"/>
      <c r="D44" s="90"/>
      <c r="E44" s="91"/>
      <c r="F44" s="118">
        <f>+SALARIOS!C47</f>
        <v>0.05</v>
      </c>
      <c r="G44" s="119">
        <f>+F44*H39</f>
        <v>6183.8707893471383</v>
      </c>
      <c r="H44" s="80"/>
    </row>
    <row r="45" spans="1:8" ht="15.75" thickBot="1">
      <c r="A45" s="61"/>
      <c r="B45" s="61"/>
      <c r="C45" s="61"/>
      <c r="D45" s="61"/>
      <c r="E45" s="61"/>
      <c r="F45" s="61"/>
      <c r="G45" s="81" t="s">
        <v>491</v>
      </c>
      <c r="H45" s="120">
        <f>SUM(G42:G44)</f>
        <v>30919.35394673569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154597</v>
      </c>
    </row>
  </sheetData>
  <mergeCells count="1">
    <mergeCell ref="A3:C4"/>
  </mergeCells>
  <pageMargins left="0.7" right="0.7" top="0.75" bottom="0.75" header="0.3" footer="0.3"/>
  <pageSetup paperSize="9" scale="95"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792" t="s">
        <v>520</v>
      </c>
      <c r="B5" s="793"/>
      <c r="C5" s="794"/>
      <c r="D5" s="798"/>
      <c r="E5" s="799"/>
      <c r="F5" s="799"/>
      <c r="G5" s="799"/>
      <c r="H5" s="800"/>
    </row>
    <row r="6" spans="1:8">
      <c r="A6" s="60"/>
      <c r="B6" s="61"/>
      <c r="C6" s="61"/>
      <c r="D6" s="61"/>
      <c r="E6" s="61"/>
      <c r="F6" s="61"/>
      <c r="G6" s="61"/>
      <c r="H6" s="61"/>
    </row>
    <row r="7" spans="1:8">
      <c r="A7" s="60" t="s">
        <v>872</v>
      </c>
      <c r="B7" s="62"/>
      <c r="C7" s="61"/>
      <c r="D7" s="16"/>
      <c r="E7" s="62"/>
      <c r="F7" s="16"/>
      <c r="G7" s="62" t="s">
        <v>881</v>
      </c>
      <c r="H7" s="61"/>
    </row>
    <row r="8" spans="1:8">
      <c r="A8" s="60" t="s">
        <v>1874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795" t="s">
        <v>485</v>
      </c>
      <c r="B11" s="796"/>
      <c r="C11" s="797"/>
      <c r="D11" s="797" t="s">
        <v>486</v>
      </c>
      <c r="E11" s="65" t="s">
        <v>487</v>
      </c>
      <c r="F11" s="797" t="s">
        <v>488</v>
      </c>
      <c r="G11" s="796" t="s">
        <v>489</v>
      </c>
      <c r="H11" s="67"/>
    </row>
    <row r="12" spans="1:8">
      <c r="A12" s="175" t="s">
        <v>1327</v>
      </c>
      <c r="B12" s="176"/>
      <c r="C12" s="174"/>
      <c r="D12" s="174"/>
      <c r="E12" s="173"/>
      <c r="F12" s="69"/>
      <c r="G12" s="173">
        <f>H37*10%</f>
        <v>2856.0452598181005</v>
      </c>
      <c r="H12" s="72"/>
    </row>
    <row r="13" spans="1:8">
      <c r="A13" s="801"/>
      <c r="B13" s="802"/>
      <c r="C13" s="803"/>
      <c r="D13" s="73"/>
      <c r="E13" s="74"/>
      <c r="F13" s="69"/>
      <c r="G13" s="71"/>
      <c r="H13" s="72"/>
    </row>
    <row r="14" spans="1:8">
      <c r="A14" s="801"/>
      <c r="B14" s="802"/>
      <c r="C14" s="803"/>
      <c r="D14" s="73"/>
      <c r="E14" s="74"/>
      <c r="F14" s="69"/>
      <c r="G14" s="71"/>
      <c r="H14" s="72"/>
    </row>
    <row r="15" spans="1:8">
      <c r="A15" s="801"/>
      <c r="B15" s="802"/>
      <c r="C15" s="803"/>
      <c r="D15" s="73"/>
      <c r="E15" s="74"/>
      <c r="F15" s="69"/>
      <c r="G15" s="71"/>
      <c r="H15" s="72"/>
    </row>
    <row r="16" spans="1:8" ht="15.75" thickBot="1">
      <c r="A16" s="804"/>
      <c r="B16" s="805"/>
      <c r="C16" s="806"/>
      <c r="D16" s="76"/>
      <c r="E16" s="77"/>
      <c r="F16" s="78"/>
      <c r="G16" s="79"/>
      <c r="H16" s="80"/>
    </row>
    <row r="17" spans="1:8" ht="15.75" thickBot="1">
      <c r="A17" s="61"/>
      <c r="B17" s="61"/>
      <c r="C17" s="61"/>
      <c r="D17" s="61"/>
      <c r="E17" s="61"/>
      <c r="F17" s="61"/>
      <c r="G17" s="81" t="s">
        <v>491</v>
      </c>
      <c r="H17" s="82">
        <f>SUM(G12:G16)</f>
        <v>2856.0452598181005</v>
      </c>
    </row>
    <row r="18" spans="1:8" ht="15.75" thickBot="1">
      <c r="A18" s="63" t="s">
        <v>492</v>
      </c>
      <c r="B18" s="63"/>
      <c r="C18" s="61"/>
      <c r="D18" s="61"/>
      <c r="E18" s="61"/>
      <c r="F18" s="61"/>
      <c r="G18" s="61"/>
      <c r="H18" s="61"/>
    </row>
    <row r="19" spans="1:8">
      <c r="A19" s="807" t="s">
        <v>485</v>
      </c>
      <c r="B19" s="808"/>
      <c r="C19" s="809"/>
      <c r="D19" s="809" t="s">
        <v>493</v>
      </c>
      <c r="E19" s="809" t="s">
        <v>494</v>
      </c>
      <c r="F19" s="809" t="s">
        <v>495</v>
      </c>
      <c r="G19" s="808" t="s">
        <v>489</v>
      </c>
      <c r="H19" s="67"/>
    </row>
    <row r="20" spans="1:8">
      <c r="A20" s="127" t="s">
        <v>1875</v>
      </c>
      <c r="B20" s="84"/>
      <c r="C20" s="85"/>
      <c r="D20" s="141" t="s">
        <v>1</v>
      </c>
      <c r="E20" s="139">
        <f>+MATERIALES!D303</f>
        <v>97280.5</v>
      </c>
      <c r="F20" s="163">
        <v>1</v>
      </c>
      <c r="G20" s="137">
        <f>+E20*F20</f>
        <v>97280.5</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97280.5</v>
      </c>
    </row>
    <row r="25" spans="1:8" ht="15.75" thickBot="1">
      <c r="A25" s="92" t="s">
        <v>496</v>
      </c>
      <c r="B25" s="92"/>
      <c r="C25" s="90"/>
      <c r="D25" s="61"/>
      <c r="E25" s="61"/>
      <c r="F25" s="61"/>
      <c r="G25" s="61"/>
      <c r="H25" s="61"/>
    </row>
    <row r="26" spans="1:8">
      <c r="A26" s="795" t="s">
        <v>497</v>
      </c>
      <c r="B26" s="797"/>
      <c r="C26" s="93" t="s">
        <v>498</v>
      </c>
      <c r="D26" s="797" t="s">
        <v>499</v>
      </c>
      <c r="E26" s="797" t="s">
        <v>500</v>
      </c>
      <c r="F26" s="797"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795" t="s">
        <v>503</v>
      </c>
      <c r="B32" s="797"/>
      <c r="C32" s="797" t="s">
        <v>504</v>
      </c>
      <c r="D32" s="797" t="s">
        <v>505</v>
      </c>
      <c r="E32" s="124" t="s">
        <v>506</v>
      </c>
      <c r="F32" s="102" t="s">
        <v>488</v>
      </c>
      <c r="G32" s="796" t="s">
        <v>489</v>
      </c>
      <c r="H32" s="67"/>
    </row>
    <row r="33" spans="1:8">
      <c r="A33" s="83" t="s">
        <v>697</v>
      </c>
      <c r="B33" s="84"/>
      <c r="C33" s="103">
        <f>+SALARIOS!C49*1</f>
        <v>25572</v>
      </c>
      <c r="D33" s="104">
        <f>+SALARIOS!C48</f>
        <v>1.7846558312967005</v>
      </c>
      <c r="E33" s="69">
        <f>+C33*D33</f>
        <v>45637.218917919221</v>
      </c>
      <c r="F33" s="814">
        <v>3.3334466617367187</v>
      </c>
      <c r="G33" s="105">
        <f>+E33/F33</f>
        <v>13690.700211816897</v>
      </c>
      <c r="H33" s="72"/>
    </row>
    <row r="34" spans="1:8">
      <c r="A34" s="83" t="s">
        <v>624</v>
      </c>
      <c r="B34" s="84"/>
      <c r="C34" s="103">
        <f>+SALARIOS!C50</f>
        <v>41660</v>
      </c>
      <c r="D34" s="104">
        <f>+SALARIOS!C48</f>
        <v>1.7846558312967005</v>
      </c>
      <c r="E34" s="69">
        <f>+C34*D34</f>
        <v>74348.76193182054</v>
      </c>
      <c r="F34" s="69">
        <v>5</v>
      </c>
      <c r="G34" s="105">
        <f>+E34/F34</f>
        <v>14869.752386364107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28560.452598181004</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128696.9978579991</v>
      </c>
    </row>
    <row r="40" spans="1:8" ht="15.75" thickBot="1">
      <c r="A40" s="63" t="s">
        <v>509</v>
      </c>
      <c r="B40" s="63"/>
      <c r="C40" s="61"/>
      <c r="D40" s="61"/>
      <c r="E40" s="61"/>
      <c r="F40" s="61"/>
      <c r="G40" s="61"/>
      <c r="H40" s="61"/>
    </row>
    <row r="41" spans="1:8">
      <c r="A41" s="233" t="s">
        <v>485</v>
      </c>
      <c r="B41" s="808"/>
      <c r="C41" s="808"/>
      <c r="D41" s="808"/>
      <c r="E41" s="809"/>
      <c r="F41" s="809" t="s">
        <v>510</v>
      </c>
      <c r="G41" s="808" t="s">
        <v>511</v>
      </c>
      <c r="H41" s="67"/>
    </row>
    <row r="42" spans="1:8">
      <c r="A42" s="83" t="s">
        <v>512</v>
      </c>
      <c r="B42" s="84"/>
      <c r="C42" s="84"/>
      <c r="D42" s="84"/>
      <c r="E42" s="85"/>
      <c r="F42" s="115">
        <f>+SALARIOS!C45</f>
        <v>0.15</v>
      </c>
      <c r="G42" s="116">
        <f>++F42*H39</f>
        <v>19304.549678699863</v>
      </c>
      <c r="H42" s="117"/>
    </row>
    <row r="43" spans="1:8">
      <c r="A43" s="83" t="s">
        <v>513</v>
      </c>
      <c r="B43" s="84"/>
      <c r="C43" s="84"/>
      <c r="D43" s="84"/>
      <c r="E43" s="85"/>
      <c r="F43" s="115">
        <f>+SALARIOS!C46</f>
        <v>0.05</v>
      </c>
      <c r="G43" s="116">
        <f>+F43*H39</f>
        <v>6434.8498928999552</v>
      </c>
      <c r="H43" s="117"/>
    </row>
    <row r="44" spans="1:8" ht="15.75" thickBot="1">
      <c r="A44" s="89" t="s">
        <v>514</v>
      </c>
      <c r="B44" s="90"/>
      <c r="C44" s="90"/>
      <c r="D44" s="90"/>
      <c r="E44" s="91"/>
      <c r="F44" s="118">
        <f>+SALARIOS!C47</f>
        <v>0.05</v>
      </c>
      <c r="G44" s="119">
        <f>+F44*H39</f>
        <v>6434.8498928999552</v>
      </c>
      <c r="H44" s="80"/>
    </row>
    <row r="45" spans="1:8" ht="15.75" thickBot="1">
      <c r="A45" s="61"/>
      <c r="B45" s="61"/>
      <c r="C45" s="61"/>
      <c r="D45" s="61"/>
      <c r="E45" s="61"/>
      <c r="F45" s="61"/>
      <c r="G45" s="81" t="s">
        <v>491</v>
      </c>
      <c r="H45" s="120">
        <f>SUM(G42:G44)</f>
        <v>32174.249464499771</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160871</v>
      </c>
    </row>
  </sheetData>
  <mergeCells count="1">
    <mergeCell ref="A3:C4"/>
  </mergeCell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7"/>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882</v>
      </c>
      <c r="H7" s="61"/>
    </row>
    <row r="8" spans="1:8">
      <c r="A8" s="60" t="s">
        <v>745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3312.4639953531791</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3312.4639953531791</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1682</v>
      </c>
      <c r="B20" s="84"/>
      <c r="C20" s="85"/>
      <c r="D20" s="141" t="s">
        <v>1</v>
      </c>
      <c r="E20" s="139">
        <f>+MATERIALES!D305</f>
        <v>159127.06</v>
      </c>
      <c r="F20" s="137">
        <v>1</v>
      </c>
      <c r="G20" s="137">
        <f>+E20*F20</f>
        <v>159127.06</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159127.06</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553</v>
      </c>
      <c r="B33" s="84"/>
      <c r="C33" s="103">
        <f>+SALARIOS!C49*2</f>
        <v>51144</v>
      </c>
      <c r="D33" s="104">
        <f>+SALARIOS!C48</f>
        <v>1.7846558312967005</v>
      </c>
      <c r="E33" s="69">
        <f>+C33*D33</f>
        <v>91274.437835838442</v>
      </c>
      <c r="F33" s="69">
        <v>5</v>
      </c>
      <c r="G33" s="105">
        <f>+E33/F33</f>
        <v>18254.887567167687</v>
      </c>
      <c r="H33" s="72"/>
    </row>
    <row r="34" spans="1:8">
      <c r="A34" s="83" t="s">
        <v>624</v>
      </c>
      <c r="B34" s="84"/>
      <c r="C34" s="103">
        <f>+SALARIOS!C50</f>
        <v>41660</v>
      </c>
      <c r="D34" s="104">
        <f>+SALARIOS!C48</f>
        <v>1.7846558312967005</v>
      </c>
      <c r="E34" s="69">
        <f>+C34*D34</f>
        <v>74348.76193182054</v>
      </c>
      <c r="F34" s="69">
        <v>5</v>
      </c>
      <c r="G34" s="105">
        <f>+E34/F34</f>
        <v>14869.752386364107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33124.639953531791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195564.16394888496</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29334.624592332744</v>
      </c>
      <c r="H42" s="117"/>
    </row>
    <row r="43" spans="1:8">
      <c r="A43" s="83" t="s">
        <v>513</v>
      </c>
      <c r="B43" s="84"/>
      <c r="C43" s="84"/>
      <c r="D43" s="84"/>
      <c r="E43" s="85"/>
      <c r="F43" s="115">
        <f>+SALARIOS!C46</f>
        <v>0.05</v>
      </c>
      <c r="G43" s="116">
        <f>+F43*H39</f>
        <v>9778.2081974442481</v>
      </c>
      <c r="H43" s="117"/>
    </row>
    <row r="44" spans="1:8" ht="15.75" thickBot="1">
      <c r="A44" s="89" t="s">
        <v>514</v>
      </c>
      <c r="B44" s="90"/>
      <c r="C44" s="90"/>
      <c r="D44" s="90"/>
      <c r="E44" s="91"/>
      <c r="F44" s="118">
        <f>+SALARIOS!C47</f>
        <v>0.05</v>
      </c>
      <c r="G44" s="119">
        <f>+F44*H39</f>
        <v>9778.2081974442481</v>
      </c>
      <c r="H44" s="80"/>
    </row>
    <row r="45" spans="1:8" ht="15.75" thickBot="1">
      <c r="A45" s="61"/>
      <c r="B45" s="61"/>
      <c r="C45" s="61"/>
      <c r="D45" s="61"/>
      <c r="E45" s="61"/>
      <c r="F45" s="61"/>
      <c r="G45" s="81" t="s">
        <v>491</v>
      </c>
      <c r="H45" s="120">
        <f>SUM(G42:G44)</f>
        <v>48891.04098722124</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244455</v>
      </c>
    </row>
  </sheetData>
  <mergeCells count="1">
    <mergeCell ref="A3:C4"/>
  </mergeCells>
  <pageMargins left="0.7" right="0.7" top="0.75" bottom="0.75" header="0.3" footer="0.3"/>
  <pageSetup paperSize="9" scale="95"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7"/>
  <sheetViews>
    <sheetView workbookViewId="0">
      <selection activeCell="A9" sqref="A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883</v>
      </c>
      <c r="H7" s="61"/>
    </row>
    <row r="8" spans="1:8">
      <c r="A8" s="60" t="s">
        <v>1906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3680.5155503924225</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3680.5155503924225</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1683</v>
      </c>
      <c r="B20" s="84"/>
      <c r="C20" s="85"/>
      <c r="D20" s="141" t="s">
        <v>1</v>
      </c>
      <c r="E20" s="139">
        <f>+MATERIALES!D306</f>
        <v>211142.90999999997</v>
      </c>
      <c r="F20" s="137">
        <v>1</v>
      </c>
      <c r="G20" s="137">
        <f>+E20*F20</f>
        <v>211142.90999999997</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211142.90999999997</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553</v>
      </c>
      <c r="B33" s="84"/>
      <c r="C33" s="103">
        <f>+SALARIOS!C49*2</f>
        <v>51144</v>
      </c>
      <c r="D33" s="104">
        <f>+SALARIOS!C48</f>
        <v>1.7846558312967005</v>
      </c>
      <c r="E33" s="69">
        <f>+C33*D33</f>
        <v>91274.437835838442</v>
      </c>
      <c r="F33" s="69">
        <v>4.5</v>
      </c>
      <c r="G33" s="105">
        <f>+E33/F33</f>
        <v>20283.208407964099</v>
      </c>
      <c r="H33" s="72"/>
    </row>
    <row r="34" spans="1:8">
      <c r="A34" s="83" t="s">
        <v>624</v>
      </c>
      <c r="B34" s="84"/>
      <c r="C34" s="103">
        <f>+SALARIOS!C50</f>
        <v>41660</v>
      </c>
      <c r="D34" s="104">
        <f>+SALARIOS!C48</f>
        <v>1.7846558312967005</v>
      </c>
      <c r="E34" s="69">
        <f>+C34*D34</f>
        <v>74348.76193182054</v>
      </c>
      <c r="F34" s="69">
        <v>4.5</v>
      </c>
      <c r="G34" s="105">
        <f>+E34/F34</f>
        <v>16521.94709596012</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36805.155503924223</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251628.5810543166</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37744.28715814749</v>
      </c>
      <c r="H42" s="117"/>
    </row>
    <row r="43" spans="1:8">
      <c r="A43" s="83" t="s">
        <v>513</v>
      </c>
      <c r="B43" s="84"/>
      <c r="C43" s="84"/>
      <c r="D43" s="84"/>
      <c r="E43" s="85"/>
      <c r="F43" s="115">
        <f>+SALARIOS!C46</f>
        <v>0.05</v>
      </c>
      <c r="G43" s="116">
        <f>+F43*H39</f>
        <v>12581.42905271583</v>
      </c>
      <c r="H43" s="117"/>
    </row>
    <row r="44" spans="1:8" ht="15.75" thickBot="1">
      <c r="A44" s="89" t="s">
        <v>514</v>
      </c>
      <c r="B44" s="90"/>
      <c r="C44" s="90"/>
      <c r="D44" s="90"/>
      <c r="E44" s="91"/>
      <c r="F44" s="118">
        <f>+SALARIOS!C47</f>
        <v>0.05</v>
      </c>
      <c r="G44" s="119">
        <f>+F44*H39</f>
        <v>12581.42905271583</v>
      </c>
      <c r="H44" s="80"/>
    </row>
    <row r="45" spans="1:8" ht="15.75" thickBot="1">
      <c r="A45" s="61"/>
      <c r="B45" s="61"/>
      <c r="C45" s="61"/>
      <c r="D45" s="61"/>
      <c r="E45" s="61"/>
      <c r="F45" s="61"/>
      <c r="G45" s="81" t="s">
        <v>491</v>
      </c>
      <c r="H45" s="120">
        <f>SUM(G42:G44)</f>
        <v>62907.14526357915</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314536</v>
      </c>
    </row>
  </sheetData>
  <mergeCells count="1">
    <mergeCell ref="A3:C4"/>
  </mergeCells>
  <pageMargins left="0.7" right="0.7" top="0.75" bottom="0.75" header="0.3" footer="0.3"/>
  <pageSetup paperSize="9" scale="95"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7"/>
  <sheetViews>
    <sheetView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872</v>
      </c>
      <c r="B7" s="62"/>
      <c r="C7" s="61"/>
      <c r="D7" s="16"/>
      <c r="E7" s="62"/>
      <c r="F7" s="16"/>
      <c r="G7" s="62" t="s">
        <v>884</v>
      </c>
      <c r="H7" s="61"/>
    </row>
    <row r="8" spans="1:8">
      <c r="A8" s="60" t="s">
        <v>1908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4140.5799941914747</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4140.5799941914747</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1684</v>
      </c>
      <c r="B20" s="84"/>
      <c r="C20" s="85"/>
      <c r="D20" s="141" t="s">
        <v>1</v>
      </c>
      <c r="E20" s="139">
        <f>+MATERIALES!D307</f>
        <v>264402.37666666665</v>
      </c>
      <c r="F20" s="137">
        <v>1</v>
      </c>
      <c r="G20" s="137">
        <f>+E20*F20</f>
        <v>264402.37666666665</v>
      </c>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264402.37666666665</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t="s">
        <v>842</v>
      </c>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553</v>
      </c>
      <c r="B33" s="84"/>
      <c r="C33" s="103">
        <f>+SALARIOS!C49*2</f>
        <v>51144</v>
      </c>
      <c r="D33" s="104">
        <f>+SALARIOS!C48</f>
        <v>1.7846558312967005</v>
      </c>
      <c r="E33" s="69">
        <f>+C33*D33</f>
        <v>91274.437835838442</v>
      </c>
      <c r="F33" s="69">
        <v>4</v>
      </c>
      <c r="G33" s="105">
        <f>+E33/F33</f>
        <v>22818.60945895961</v>
      </c>
      <c r="H33" s="72"/>
    </row>
    <row r="34" spans="1:8">
      <c r="A34" s="83" t="s">
        <v>624</v>
      </c>
      <c r="B34" s="84"/>
      <c r="C34" s="103">
        <f>+SALARIOS!C50</f>
        <v>41660</v>
      </c>
      <c r="D34" s="104">
        <f>+SALARIOS!C48</f>
        <v>1.7846558312967005</v>
      </c>
      <c r="E34" s="69">
        <f>+C34*D34</f>
        <v>74348.76193182054</v>
      </c>
      <c r="F34" s="69">
        <v>4</v>
      </c>
      <c r="G34" s="105">
        <f>+E34/F34</f>
        <v>18587.190482955135</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41405.799941914745</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309948.75660277286</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46492.313490415931</v>
      </c>
      <c r="H42" s="117"/>
    </row>
    <row r="43" spans="1:8">
      <c r="A43" s="83" t="s">
        <v>513</v>
      </c>
      <c r="B43" s="84"/>
      <c r="C43" s="84"/>
      <c r="D43" s="84"/>
      <c r="E43" s="85"/>
      <c r="F43" s="115">
        <f>+SALARIOS!C46</f>
        <v>0.05</v>
      </c>
      <c r="G43" s="116">
        <f>+F43*H39</f>
        <v>15497.437830138644</v>
      </c>
      <c r="H43" s="117"/>
    </row>
    <row r="44" spans="1:8" ht="15.75" thickBot="1">
      <c r="A44" s="89" t="s">
        <v>514</v>
      </c>
      <c r="B44" s="90"/>
      <c r="C44" s="90"/>
      <c r="D44" s="90"/>
      <c r="E44" s="91"/>
      <c r="F44" s="118">
        <f>+SALARIOS!C47</f>
        <v>0.05</v>
      </c>
      <c r="G44" s="119">
        <f>+F44*H39</f>
        <v>15497.437830138644</v>
      </c>
      <c r="H44" s="80"/>
    </row>
    <row r="45" spans="1:8" ht="15.75" thickBot="1">
      <c r="A45" s="61"/>
      <c r="B45" s="61"/>
      <c r="C45" s="61"/>
      <c r="D45" s="61"/>
      <c r="E45" s="61"/>
      <c r="F45" s="61"/>
      <c r="G45" s="81" t="s">
        <v>491</v>
      </c>
      <c r="H45" s="120">
        <f>SUM(G42:G44)</f>
        <v>77487.189150693215</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387436</v>
      </c>
    </row>
  </sheetData>
  <mergeCells count="1">
    <mergeCell ref="A3:C4"/>
  </mergeCells>
  <pageMargins left="0.7" right="0.7" top="0.75" bottom="0.75" header="0.3" footer="0.3"/>
  <pageSetup paperSize="9" scale="95"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H47"/>
  <sheetViews>
    <sheetView workbookViewId="0">
      <selection activeCell="F21" sqref="F21"/>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885</v>
      </c>
      <c r="H7" s="61"/>
    </row>
    <row r="8" spans="1:8">
      <c r="A8" s="60" t="s">
        <v>850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3680.5155503924225</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3680.5155503924225</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1686</v>
      </c>
      <c r="B20" s="84"/>
      <c r="C20" s="85"/>
      <c r="D20" s="141" t="s">
        <v>1</v>
      </c>
      <c r="E20" s="139">
        <f>+MATERIALES!D308</f>
        <v>367116.79999999999</v>
      </c>
      <c r="F20" s="137">
        <v>1</v>
      </c>
      <c r="G20" s="88">
        <f>+E20*F20</f>
        <v>367116.79999999999</v>
      </c>
      <c r="H20" s="72"/>
    </row>
    <row r="21" spans="1:8">
      <c r="A21" s="127" t="s">
        <v>1687</v>
      </c>
      <c r="B21" s="84"/>
      <c r="C21" s="85"/>
      <c r="D21" s="68" t="s">
        <v>234</v>
      </c>
      <c r="E21" s="142">
        <f>MATERIALES!D75</f>
        <v>4750</v>
      </c>
      <c r="F21" s="70">
        <v>3.2000000000000001E-2</v>
      </c>
      <c r="G21" s="71">
        <f>+E21*F21</f>
        <v>152</v>
      </c>
      <c r="H21" s="72"/>
    </row>
    <row r="22" spans="1:8">
      <c r="A22" s="128"/>
      <c r="B22" s="129"/>
      <c r="C22" s="130"/>
      <c r="D22" s="131"/>
      <c r="E22" s="132"/>
      <c r="F22" s="133"/>
      <c r="G22" s="155"/>
      <c r="H22" s="72"/>
    </row>
    <row r="23" spans="1:8" ht="15.75" thickBot="1">
      <c r="A23" s="89"/>
      <c r="B23" s="90"/>
      <c r="C23" s="91"/>
      <c r="D23" s="76"/>
      <c r="E23" s="77"/>
      <c r="F23" s="78"/>
      <c r="G23" s="79"/>
      <c r="H23" s="80"/>
    </row>
    <row r="24" spans="1:8" ht="15.75" thickBot="1">
      <c r="A24" s="61"/>
      <c r="B24" s="61"/>
      <c r="C24" s="61"/>
      <c r="D24" s="61"/>
      <c r="E24" s="61"/>
      <c r="F24" s="61"/>
      <c r="G24" s="81" t="s">
        <v>491</v>
      </c>
      <c r="H24" s="82">
        <f>SUM(G20:G23)</f>
        <v>367268.8</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553</v>
      </c>
      <c r="B33" s="84"/>
      <c r="C33" s="103">
        <f>+SALARIOS!C49*2</f>
        <v>51144</v>
      </c>
      <c r="D33" s="104">
        <f>+SALARIOS!C48</f>
        <v>1.7846558312967005</v>
      </c>
      <c r="E33" s="69">
        <f>+C33*D33</f>
        <v>91274.437835838442</v>
      </c>
      <c r="F33" s="69">
        <v>4.5</v>
      </c>
      <c r="G33" s="105">
        <f>+E33/F33</f>
        <v>20283.208407964099</v>
      </c>
      <c r="H33" s="72"/>
    </row>
    <row r="34" spans="1:8">
      <c r="A34" s="83" t="s">
        <v>624</v>
      </c>
      <c r="B34" s="84"/>
      <c r="C34" s="103">
        <f>+SALARIOS!C50</f>
        <v>41660</v>
      </c>
      <c r="D34" s="104">
        <f>+SALARIOS!C48</f>
        <v>1.7846558312967005</v>
      </c>
      <c r="E34" s="69">
        <f>+C34*D34</f>
        <v>74348.76193182054</v>
      </c>
      <c r="F34" s="69">
        <v>4.5</v>
      </c>
      <c r="G34" s="105">
        <f>+E34/F34</f>
        <v>16521.94709596012</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36805.155503924223</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407754.47105431667</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61163.170658147501</v>
      </c>
      <c r="H42" s="117"/>
    </row>
    <row r="43" spans="1:8">
      <c r="A43" s="83" t="s">
        <v>513</v>
      </c>
      <c r="B43" s="84"/>
      <c r="C43" s="84"/>
      <c r="D43" s="84"/>
      <c r="E43" s="85"/>
      <c r="F43" s="115">
        <f>+SALARIOS!C46</f>
        <v>0.05</v>
      </c>
      <c r="G43" s="116">
        <f>+F43*H39</f>
        <v>20387.723552715834</v>
      </c>
      <c r="H43" s="117"/>
    </row>
    <row r="44" spans="1:8" ht="15.75" thickBot="1">
      <c r="A44" s="89" t="s">
        <v>514</v>
      </c>
      <c r="B44" s="90"/>
      <c r="C44" s="90"/>
      <c r="D44" s="90"/>
      <c r="E44" s="91"/>
      <c r="F44" s="118">
        <f>+SALARIOS!C47</f>
        <v>0.05</v>
      </c>
      <c r="G44" s="119">
        <f>+F44*H39</f>
        <v>20387.723552715834</v>
      </c>
      <c r="H44" s="80"/>
    </row>
    <row r="45" spans="1:8" ht="15.75" thickBot="1">
      <c r="A45" s="61"/>
      <c r="B45" s="61"/>
      <c r="C45" s="61"/>
      <c r="D45" s="61"/>
      <c r="E45" s="61"/>
      <c r="F45" s="61"/>
      <c r="G45" s="81" t="s">
        <v>491</v>
      </c>
      <c r="H45" s="120">
        <f>SUM(G42:G44)</f>
        <v>101938.61776357917</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509693</v>
      </c>
    </row>
  </sheetData>
  <mergeCells count="1">
    <mergeCell ref="A3:C4"/>
  </mergeCells>
  <pageMargins left="0.7" right="0.7" top="0.75" bottom="0.75" header="0.3" footer="0.3"/>
  <pageSetup paperSize="9" scale="95"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888</v>
      </c>
      <c r="H7" s="61"/>
    </row>
    <row r="8" spans="1:8">
      <c r="A8" s="60" t="s">
        <v>852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176"/>
      <c r="C12" s="174"/>
      <c r="D12" s="174"/>
      <c r="E12" s="173"/>
      <c r="F12" s="69"/>
      <c r="G12" s="173">
        <f>H37*10%</f>
        <v>4140.5799941914747</v>
      </c>
      <c r="H12" s="72"/>
    </row>
    <row r="13" spans="1:8">
      <c r="A13" s="241"/>
      <c r="B13" s="242"/>
      <c r="C13" s="243"/>
      <c r="D13" s="73"/>
      <c r="E13" s="74"/>
      <c r="F13" s="69"/>
      <c r="G13" s="71"/>
      <c r="H13" s="72"/>
    </row>
    <row r="14" spans="1:8">
      <c r="A14" s="241"/>
      <c r="B14" s="242"/>
      <c r="C14" s="243"/>
      <c r="D14" s="73"/>
      <c r="E14" s="74"/>
      <c r="F14" s="69"/>
      <c r="G14" s="71"/>
      <c r="H14" s="72"/>
    </row>
    <row r="15" spans="1:8">
      <c r="A15" s="241"/>
      <c r="B15" s="242"/>
      <c r="C15" s="243"/>
      <c r="D15" s="73"/>
      <c r="E15" s="74"/>
      <c r="F15" s="69"/>
      <c r="G15" s="71"/>
      <c r="H15" s="72"/>
    </row>
    <row r="16" spans="1:8" ht="15.75" thickBot="1">
      <c r="A16" s="244"/>
      <c r="B16" s="245"/>
      <c r="C16" s="246"/>
      <c r="D16" s="76"/>
      <c r="E16" s="77"/>
      <c r="F16" s="78"/>
      <c r="G16" s="79"/>
      <c r="H16" s="80"/>
    </row>
    <row r="17" spans="1:8" ht="15.75" thickBot="1">
      <c r="A17" s="61"/>
      <c r="B17" s="61"/>
      <c r="C17" s="61"/>
      <c r="D17" s="61"/>
      <c r="E17" s="61"/>
      <c r="F17" s="61"/>
      <c r="G17" s="81" t="s">
        <v>491</v>
      </c>
      <c r="H17" s="82">
        <f>SUM(G12:G16)</f>
        <v>4140.5799941914747</v>
      </c>
    </row>
    <row r="18" spans="1:8" ht="15.75" thickBot="1">
      <c r="A18" s="63" t="s">
        <v>492</v>
      </c>
      <c r="B18" s="63"/>
      <c r="C18" s="61"/>
      <c r="D18" s="61"/>
      <c r="E18" s="61"/>
      <c r="F18" s="61"/>
      <c r="G18" s="61"/>
      <c r="H18" s="61"/>
    </row>
    <row r="19" spans="1:8">
      <c r="A19" s="250" t="s">
        <v>485</v>
      </c>
      <c r="B19" s="251"/>
      <c r="C19" s="252"/>
      <c r="D19" s="252" t="s">
        <v>493</v>
      </c>
      <c r="E19" s="252" t="s">
        <v>494</v>
      </c>
      <c r="F19" s="252" t="s">
        <v>495</v>
      </c>
      <c r="G19" s="251" t="s">
        <v>489</v>
      </c>
      <c r="H19" s="67"/>
    </row>
    <row r="20" spans="1:8">
      <c r="A20" s="127" t="s">
        <v>1688</v>
      </c>
      <c r="B20" s="84"/>
      <c r="C20" s="85"/>
      <c r="D20" s="141" t="s">
        <v>1</v>
      </c>
      <c r="E20" s="139">
        <f>+MATERIALES!D309</f>
        <v>421017.62769230769</v>
      </c>
      <c r="F20" s="137">
        <v>1</v>
      </c>
      <c r="G20" s="88">
        <f>+E20*F20</f>
        <v>421017.62769230769</v>
      </c>
      <c r="H20" s="72"/>
    </row>
    <row r="21" spans="1:8">
      <c r="A21" s="127" t="s">
        <v>1687</v>
      </c>
      <c r="B21" s="84"/>
      <c r="C21" s="85"/>
      <c r="D21" s="68" t="s">
        <v>234</v>
      </c>
      <c r="E21" s="142">
        <f>MATERIALES!D75</f>
        <v>4750</v>
      </c>
      <c r="F21" s="70">
        <v>3.5999999999999997E-2</v>
      </c>
      <c r="G21" s="71">
        <f>+E21*F21</f>
        <v>171</v>
      </c>
      <c r="H21" s="72"/>
    </row>
    <row r="22" spans="1:8">
      <c r="A22" s="128"/>
      <c r="B22" s="129"/>
      <c r="C22" s="130"/>
      <c r="D22" s="131"/>
      <c r="E22" s="132"/>
      <c r="F22" s="133"/>
      <c r="G22" s="155"/>
      <c r="H22" s="72"/>
    </row>
    <row r="23" spans="1:8" ht="15.75" thickBot="1">
      <c r="A23" s="89"/>
      <c r="B23" s="90"/>
      <c r="C23" s="91"/>
      <c r="D23" s="76"/>
      <c r="E23" s="77"/>
      <c r="F23" s="78"/>
      <c r="G23" s="79"/>
      <c r="H23" s="80"/>
    </row>
    <row r="24" spans="1:8" ht="15.75" thickBot="1">
      <c r="A24" s="61"/>
      <c r="B24" s="61"/>
      <c r="C24" s="61"/>
      <c r="D24" s="61"/>
      <c r="E24" s="61"/>
      <c r="F24" s="61"/>
      <c r="G24" s="81" t="s">
        <v>491</v>
      </c>
      <c r="H24" s="82">
        <f>SUM(G20:G23)</f>
        <v>421188.62769230769</v>
      </c>
    </row>
    <row r="25" spans="1:8" ht="15.75" thickBot="1">
      <c r="A25" s="92" t="s">
        <v>496</v>
      </c>
      <c r="B25" s="92"/>
      <c r="C25" s="90"/>
      <c r="D25" s="61"/>
      <c r="E25" s="61"/>
      <c r="F25" s="61"/>
      <c r="G25" s="61"/>
      <c r="H25" s="61"/>
    </row>
    <row r="26" spans="1:8">
      <c r="A26" s="238" t="s">
        <v>497</v>
      </c>
      <c r="B26" s="240"/>
      <c r="C26" s="93" t="s">
        <v>498</v>
      </c>
      <c r="D26" s="240" t="s">
        <v>499</v>
      </c>
      <c r="E26" s="240" t="s">
        <v>500</v>
      </c>
      <c r="F26" s="24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38" t="s">
        <v>503</v>
      </c>
      <c r="B32" s="240"/>
      <c r="C32" s="240" t="s">
        <v>504</v>
      </c>
      <c r="D32" s="240" t="s">
        <v>505</v>
      </c>
      <c r="E32" s="124" t="s">
        <v>506</v>
      </c>
      <c r="F32" s="102" t="s">
        <v>488</v>
      </c>
      <c r="G32" s="239" t="s">
        <v>489</v>
      </c>
      <c r="H32" s="67"/>
    </row>
    <row r="33" spans="1:8">
      <c r="A33" s="83" t="s">
        <v>553</v>
      </c>
      <c r="B33" s="84"/>
      <c r="C33" s="103">
        <f>+SALARIOS!C49*2</f>
        <v>51144</v>
      </c>
      <c r="D33" s="104">
        <f>+SALARIOS!C48</f>
        <v>1.7846558312967005</v>
      </c>
      <c r="E33" s="69">
        <f>+C33*D33</f>
        <v>91274.437835838442</v>
      </c>
      <c r="F33" s="69">
        <v>4</v>
      </c>
      <c r="G33" s="105">
        <f>+E33/F33</f>
        <v>22818.60945895961</v>
      </c>
      <c r="H33" s="72"/>
    </row>
    <row r="34" spans="1:8">
      <c r="A34" s="83" t="s">
        <v>624</v>
      </c>
      <c r="B34" s="84"/>
      <c r="C34" s="103">
        <f>+SALARIOS!C50</f>
        <v>41660</v>
      </c>
      <c r="D34" s="104">
        <f>+SALARIOS!C48</f>
        <v>1.7846558312967005</v>
      </c>
      <c r="E34" s="69">
        <f>+C34*D34</f>
        <v>74348.76193182054</v>
      </c>
      <c r="F34" s="69">
        <v>4</v>
      </c>
      <c r="G34" s="105">
        <f>+E34/F34</f>
        <v>18587.190482955135</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41405.799941914745</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466735.00762841391</v>
      </c>
    </row>
    <row r="40" spans="1:8" ht="15.75" thickBot="1">
      <c r="A40" s="63" t="s">
        <v>509</v>
      </c>
      <c r="B40" s="63"/>
      <c r="C40" s="61"/>
      <c r="D40" s="61"/>
      <c r="E40" s="61"/>
      <c r="F40" s="61"/>
      <c r="G40" s="61"/>
      <c r="H40" s="61"/>
    </row>
    <row r="41" spans="1:8">
      <c r="A41" s="233" t="s">
        <v>485</v>
      </c>
      <c r="B41" s="251"/>
      <c r="C41" s="251"/>
      <c r="D41" s="251"/>
      <c r="E41" s="252"/>
      <c r="F41" s="252" t="s">
        <v>510</v>
      </c>
      <c r="G41" s="251" t="s">
        <v>511</v>
      </c>
      <c r="H41" s="67"/>
    </row>
    <row r="42" spans="1:8">
      <c r="A42" s="83" t="s">
        <v>512</v>
      </c>
      <c r="B42" s="84"/>
      <c r="C42" s="84"/>
      <c r="D42" s="84"/>
      <c r="E42" s="85"/>
      <c r="F42" s="115">
        <f>+SALARIOS!C45</f>
        <v>0.15</v>
      </c>
      <c r="G42" s="116">
        <f>++F42*H39</f>
        <v>70010.251144262089</v>
      </c>
      <c r="H42" s="117"/>
    </row>
    <row r="43" spans="1:8">
      <c r="A43" s="83" t="s">
        <v>513</v>
      </c>
      <c r="B43" s="84"/>
      <c r="C43" s="84"/>
      <c r="D43" s="84"/>
      <c r="E43" s="85"/>
      <c r="F43" s="115">
        <f>+SALARIOS!C46</f>
        <v>0.05</v>
      </c>
      <c r="G43" s="116">
        <f>+F43*H39</f>
        <v>23336.750381420698</v>
      </c>
      <c r="H43" s="117"/>
    </row>
    <row r="44" spans="1:8" ht="15.75" thickBot="1">
      <c r="A44" s="89" t="s">
        <v>514</v>
      </c>
      <c r="B44" s="90"/>
      <c r="C44" s="90"/>
      <c r="D44" s="90"/>
      <c r="E44" s="91"/>
      <c r="F44" s="118">
        <f>+SALARIOS!C47</f>
        <v>0.05</v>
      </c>
      <c r="G44" s="119">
        <f>+F44*H39</f>
        <v>23336.750381420698</v>
      </c>
      <c r="H44" s="80"/>
    </row>
    <row r="45" spans="1:8" ht="15.75" thickBot="1">
      <c r="A45" s="61"/>
      <c r="B45" s="61"/>
      <c r="C45" s="61"/>
      <c r="D45" s="61"/>
      <c r="E45" s="61"/>
      <c r="F45" s="61"/>
      <c r="G45" s="81" t="s">
        <v>491</v>
      </c>
      <c r="H45" s="120">
        <f>SUM(G42:G44)</f>
        <v>116683.75190710349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583419</v>
      </c>
    </row>
  </sheetData>
  <mergeCells count="1">
    <mergeCell ref="A3:C4"/>
  </mergeCells>
  <pageMargins left="0.7" right="0.7" top="0.75" bottom="0.75" header="0.3" footer="0.3"/>
  <pageSetup paperSize="9" scale="95"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H48"/>
  <sheetViews>
    <sheetView workbookViewId="0">
      <selection activeCell="F22" sqref="F2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890</v>
      </c>
      <c r="H7" s="61"/>
    </row>
    <row r="8" spans="1:8">
      <c r="A8" s="60" t="s">
        <v>854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27" t="s">
        <v>14</v>
      </c>
      <c r="B12" s="253"/>
      <c r="C12" s="254"/>
      <c r="D12" s="68" t="s">
        <v>6</v>
      </c>
      <c r="E12" s="86">
        <f>+'EQUIPOS '!D10</f>
        <v>87000</v>
      </c>
      <c r="F12" s="161">
        <v>10</v>
      </c>
      <c r="G12" s="71">
        <f>+E12/F12</f>
        <v>8700</v>
      </c>
      <c r="H12" s="72"/>
    </row>
    <row r="13" spans="1:8">
      <c r="A13" s="175" t="s">
        <v>1327</v>
      </c>
      <c r="B13" s="176"/>
      <c r="C13" s="174"/>
      <c r="D13" s="174"/>
      <c r="E13" s="173"/>
      <c r="F13" s="69"/>
      <c r="G13" s="173">
        <f>H38*10%</f>
        <v>4732.0914219331144</v>
      </c>
      <c r="H13" s="72"/>
    </row>
    <row r="14" spans="1:8">
      <c r="A14" s="241"/>
      <c r="B14" s="242"/>
      <c r="C14" s="243"/>
      <c r="D14" s="73"/>
      <c r="E14" s="74"/>
      <c r="F14" s="69"/>
      <c r="G14" s="71"/>
      <c r="H14" s="72"/>
    </row>
    <row r="15" spans="1:8">
      <c r="A15" s="241"/>
      <c r="B15" s="242"/>
      <c r="C15" s="243"/>
      <c r="D15" s="73"/>
      <c r="E15" s="74"/>
      <c r="F15" s="69"/>
      <c r="G15" s="71"/>
      <c r="H15" s="72"/>
    </row>
    <row r="16" spans="1:8">
      <c r="A16" s="241"/>
      <c r="B16" s="242"/>
      <c r="C16" s="243"/>
      <c r="D16" s="73"/>
      <c r="E16" s="74"/>
      <c r="F16" s="69"/>
      <c r="G16" s="71"/>
      <c r="H16" s="72"/>
    </row>
    <row r="17" spans="1:8" ht="15.75" thickBot="1">
      <c r="A17" s="244"/>
      <c r="B17" s="245"/>
      <c r="C17" s="246"/>
      <c r="D17" s="76"/>
      <c r="E17" s="77"/>
      <c r="F17" s="78"/>
      <c r="G17" s="79"/>
      <c r="H17" s="80"/>
    </row>
    <row r="18" spans="1:8" ht="15.75" thickBot="1">
      <c r="A18" s="61"/>
      <c r="B18" s="61"/>
      <c r="C18" s="61"/>
      <c r="D18" s="61"/>
      <c r="E18" s="61"/>
      <c r="F18" s="61"/>
      <c r="G18" s="81" t="s">
        <v>491</v>
      </c>
      <c r="H18" s="82">
        <f>SUM(G12:G17)</f>
        <v>13432.091421933113</v>
      </c>
    </row>
    <row r="19" spans="1:8" ht="15.75" thickBot="1">
      <c r="A19" s="63" t="s">
        <v>492</v>
      </c>
      <c r="B19" s="63"/>
      <c r="C19" s="61"/>
      <c r="D19" s="61"/>
      <c r="E19" s="61"/>
      <c r="F19" s="61"/>
      <c r="G19" s="61"/>
      <c r="H19" s="61"/>
    </row>
    <row r="20" spans="1:8">
      <c r="A20" s="250" t="s">
        <v>485</v>
      </c>
      <c r="B20" s="251"/>
      <c r="C20" s="252"/>
      <c r="D20" s="252" t="s">
        <v>493</v>
      </c>
      <c r="E20" s="252" t="s">
        <v>494</v>
      </c>
      <c r="F20" s="252" t="s">
        <v>495</v>
      </c>
      <c r="G20" s="251" t="s">
        <v>489</v>
      </c>
      <c r="H20" s="67"/>
    </row>
    <row r="21" spans="1:8">
      <c r="A21" s="127" t="s">
        <v>1689</v>
      </c>
      <c r="B21" s="84"/>
      <c r="C21" s="85"/>
      <c r="D21" s="141" t="s">
        <v>1</v>
      </c>
      <c r="E21" s="139">
        <f>+MATERIALES!D310</f>
        <v>548459.59999999986</v>
      </c>
      <c r="F21" s="137">
        <v>1</v>
      </c>
      <c r="G21" s="137">
        <f>+E21*F21</f>
        <v>548459.59999999986</v>
      </c>
      <c r="H21" s="59"/>
    </row>
    <row r="22" spans="1:8">
      <c r="A22" s="127" t="s">
        <v>1687</v>
      </c>
      <c r="B22" s="84"/>
      <c r="C22" s="85"/>
      <c r="D22" s="68" t="s">
        <v>234</v>
      </c>
      <c r="E22" s="142">
        <f>MATERIALES!D75</f>
        <v>4750</v>
      </c>
      <c r="F22" s="70">
        <v>0.04</v>
      </c>
      <c r="G22" s="71">
        <f>+E22*F22</f>
        <v>190</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548649.59999999986</v>
      </c>
    </row>
    <row r="26" spans="1:8" ht="15.75" thickBot="1">
      <c r="A26" s="92" t="s">
        <v>496</v>
      </c>
      <c r="B26" s="92"/>
      <c r="C26" s="90"/>
      <c r="D26" s="61"/>
      <c r="E26" s="61"/>
      <c r="F26" s="61"/>
      <c r="G26" s="61"/>
      <c r="H26" s="61"/>
    </row>
    <row r="27" spans="1:8">
      <c r="A27" s="238" t="s">
        <v>497</v>
      </c>
      <c r="B27" s="240"/>
      <c r="C27" s="93" t="s">
        <v>498</v>
      </c>
      <c r="D27" s="240" t="s">
        <v>499</v>
      </c>
      <c r="E27" s="240" t="s">
        <v>500</v>
      </c>
      <c r="F27" s="2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38" t="s">
        <v>503</v>
      </c>
      <c r="B33" s="240"/>
      <c r="C33" s="240" t="s">
        <v>504</v>
      </c>
      <c r="D33" s="240" t="s">
        <v>505</v>
      </c>
      <c r="E33" s="124" t="s">
        <v>506</v>
      </c>
      <c r="F33" s="102" t="s">
        <v>488</v>
      </c>
      <c r="G33" s="239" t="s">
        <v>489</v>
      </c>
      <c r="H33" s="67"/>
    </row>
    <row r="34" spans="1:8">
      <c r="A34" s="83" t="s">
        <v>553</v>
      </c>
      <c r="B34" s="84"/>
      <c r="C34" s="103">
        <f>+SALARIOS!C49*2</f>
        <v>51144</v>
      </c>
      <c r="D34" s="104">
        <f>+SALARIOS!C48</f>
        <v>1.7846558312967005</v>
      </c>
      <c r="E34" s="69">
        <f>+C34*D34</f>
        <v>91274.437835838442</v>
      </c>
      <c r="F34" s="69">
        <v>3.5</v>
      </c>
      <c r="G34" s="105">
        <f>+E34/F34</f>
        <v>26078.410810239555</v>
      </c>
      <c r="H34" s="72"/>
    </row>
    <row r="35" spans="1:8">
      <c r="A35" s="83" t="s">
        <v>624</v>
      </c>
      <c r="B35" s="84"/>
      <c r="C35" s="103">
        <f>+SALARIOS!C50</f>
        <v>41660</v>
      </c>
      <c r="D35" s="104">
        <f>+SALARIOS!C48</f>
        <v>1.7846558312967005</v>
      </c>
      <c r="E35" s="69">
        <f>+C35*D35</f>
        <v>74348.76193182054</v>
      </c>
      <c r="F35" s="69">
        <v>3.5</v>
      </c>
      <c r="G35" s="105">
        <f>+E35/F35</f>
        <v>21242.503409091583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47320.914219331142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609402.60564126412</v>
      </c>
    </row>
    <row r="41" spans="1:8" ht="15.75" thickBot="1">
      <c r="A41" s="63" t="s">
        <v>509</v>
      </c>
      <c r="B41" s="63"/>
      <c r="C41" s="61"/>
      <c r="D41" s="61"/>
      <c r="E41" s="61"/>
      <c r="F41" s="61"/>
      <c r="G41" s="61"/>
      <c r="H41" s="61"/>
    </row>
    <row r="42" spans="1:8">
      <c r="A42" s="233" t="s">
        <v>485</v>
      </c>
      <c r="B42" s="251"/>
      <c r="C42" s="251"/>
      <c r="D42" s="251"/>
      <c r="E42" s="252"/>
      <c r="F42" s="252" t="s">
        <v>510</v>
      </c>
      <c r="G42" s="251" t="s">
        <v>511</v>
      </c>
      <c r="H42" s="67"/>
    </row>
    <row r="43" spans="1:8">
      <c r="A43" s="83" t="s">
        <v>512</v>
      </c>
      <c r="B43" s="84"/>
      <c r="C43" s="84"/>
      <c r="D43" s="84"/>
      <c r="E43" s="85"/>
      <c r="F43" s="115">
        <f>+SALARIOS!C45</f>
        <v>0.15</v>
      </c>
      <c r="G43" s="116">
        <f>++F43*H40</f>
        <v>91410.390846189621</v>
      </c>
      <c r="H43" s="117"/>
    </row>
    <row r="44" spans="1:8">
      <c r="A44" s="83" t="s">
        <v>513</v>
      </c>
      <c r="B44" s="84"/>
      <c r="C44" s="84"/>
      <c r="D44" s="84"/>
      <c r="E44" s="85"/>
      <c r="F44" s="115">
        <f>+SALARIOS!C46</f>
        <v>0.05</v>
      </c>
      <c r="G44" s="116">
        <f>+F44*H40</f>
        <v>30470.130282063208</v>
      </c>
      <c r="H44" s="117"/>
    </row>
    <row r="45" spans="1:8" ht="15.75" thickBot="1">
      <c r="A45" s="89" t="s">
        <v>514</v>
      </c>
      <c r="B45" s="90"/>
      <c r="C45" s="90"/>
      <c r="D45" s="90"/>
      <c r="E45" s="91"/>
      <c r="F45" s="118">
        <f>+SALARIOS!C47</f>
        <v>0.05</v>
      </c>
      <c r="G45" s="119">
        <f>+F45*H40</f>
        <v>30470.130282063208</v>
      </c>
      <c r="H45" s="80"/>
    </row>
    <row r="46" spans="1:8" ht="15.75" thickBot="1">
      <c r="A46" s="61"/>
      <c r="B46" s="61"/>
      <c r="C46" s="61"/>
      <c r="D46" s="61"/>
      <c r="E46" s="61"/>
      <c r="F46" s="61"/>
      <c r="G46" s="81" t="s">
        <v>491</v>
      </c>
      <c r="H46" s="120">
        <f>SUM(G43:G45)</f>
        <v>152350.65141031603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761753</v>
      </c>
    </row>
  </sheetData>
  <mergeCells count="1">
    <mergeCell ref="A3:C4"/>
  </mergeCells>
  <pageMargins left="0.7" right="0.7" top="0.75" bottom="0.75" header="0.3" footer="0.3"/>
  <pageSetup paperSize="9" scale="95"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H48"/>
  <sheetViews>
    <sheetView workbookViewId="0">
      <selection activeCell="F22" sqref="F2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892</v>
      </c>
      <c r="H7" s="61"/>
    </row>
    <row r="8" spans="1:8">
      <c r="A8" s="60" t="s">
        <v>856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234" t="s">
        <v>14</v>
      </c>
      <c r="B12" s="253"/>
      <c r="C12" s="254"/>
      <c r="D12" s="68" t="s">
        <v>6</v>
      </c>
      <c r="E12" s="86">
        <f>+'EQUIPOS '!D10</f>
        <v>87000</v>
      </c>
      <c r="F12" s="161">
        <v>10</v>
      </c>
      <c r="G12" s="71">
        <f>+E12/F12</f>
        <v>8700</v>
      </c>
      <c r="H12" s="72"/>
    </row>
    <row r="13" spans="1:8">
      <c r="A13" s="175" t="s">
        <v>1327</v>
      </c>
      <c r="B13" s="176"/>
      <c r="C13" s="174"/>
      <c r="D13" s="174"/>
      <c r="E13" s="173"/>
      <c r="F13" s="69"/>
      <c r="G13" s="173">
        <f>H38*10%</f>
        <v>5520.7733255886333</v>
      </c>
      <c r="H13" s="72"/>
    </row>
    <row r="14" spans="1:8">
      <c r="A14" s="241"/>
      <c r="B14" s="242"/>
      <c r="C14" s="243"/>
      <c r="D14" s="73"/>
      <c r="E14" s="74"/>
      <c r="F14" s="69"/>
      <c r="G14" s="71"/>
      <c r="H14" s="72"/>
    </row>
    <row r="15" spans="1:8">
      <c r="A15" s="241"/>
      <c r="B15" s="242"/>
      <c r="C15" s="243"/>
      <c r="D15" s="73"/>
      <c r="E15" s="74"/>
      <c r="F15" s="69"/>
      <c r="G15" s="71"/>
      <c r="H15" s="72"/>
    </row>
    <row r="16" spans="1:8">
      <c r="A16" s="241"/>
      <c r="B16" s="242"/>
      <c r="C16" s="243"/>
      <c r="D16" s="73"/>
      <c r="E16" s="74"/>
      <c r="F16" s="69"/>
      <c r="G16" s="71"/>
      <c r="H16" s="72"/>
    </row>
    <row r="17" spans="1:8" ht="15.75" thickBot="1">
      <c r="A17" s="244"/>
      <c r="B17" s="245"/>
      <c r="C17" s="246"/>
      <c r="D17" s="76"/>
      <c r="E17" s="77"/>
      <c r="F17" s="78"/>
      <c r="G17" s="79"/>
      <c r="H17" s="80"/>
    </row>
    <row r="18" spans="1:8" ht="15.75" thickBot="1">
      <c r="A18" s="61"/>
      <c r="B18" s="61"/>
      <c r="C18" s="61"/>
      <c r="D18" s="61"/>
      <c r="E18" s="61"/>
      <c r="F18" s="61"/>
      <c r="G18" s="81" t="s">
        <v>491</v>
      </c>
      <c r="H18" s="82">
        <f>SUM(G12:G17)</f>
        <v>14220.773325588634</v>
      </c>
    </row>
    <row r="19" spans="1:8" ht="15.75" thickBot="1">
      <c r="A19" s="63" t="s">
        <v>492</v>
      </c>
      <c r="B19" s="63"/>
      <c r="C19" s="61"/>
      <c r="D19" s="61"/>
      <c r="E19" s="61"/>
      <c r="F19" s="61"/>
      <c r="G19" s="61"/>
      <c r="H19" s="61"/>
    </row>
    <row r="20" spans="1:8">
      <c r="A20" s="250" t="s">
        <v>485</v>
      </c>
      <c r="B20" s="251"/>
      <c r="C20" s="252"/>
      <c r="D20" s="252" t="s">
        <v>493</v>
      </c>
      <c r="E20" s="252" t="s">
        <v>494</v>
      </c>
      <c r="F20" s="252" t="s">
        <v>495</v>
      </c>
      <c r="G20" s="251" t="s">
        <v>489</v>
      </c>
      <c r="H20" s="67"/>
    </row>
    <row r="21" spans="1:8">
      <c r="A21" s="127" t="s">
        <v>1690</v>
      </c>
      <c r="B21" s="84"/>
      <c r="C21" s="85"/>
      <c r="D21" s="141" t="s">
        <v>1</v>
      </c>
      <c r="E21" s="139">
        <f>+MATERIALES!D311</f>
        <v>676568.03692307696</v>
      </c>
      <c r="F21" s="137">
        <v>1</v>
      </c>
      <c r="G21" s="137">
        <f>+E21*F21</f>
        <v>676568.03692307696</v>
      </c>
      <c r="H21" s="59"/>
    </row>
    <row r="22" spans="1:8">
      <c r="A22" s="127" t="s">
        <v>1687</v>
      </c>
      <c r="B22" s="84"/>
      <c r="C22" s="85"/>
      <c r="D22" s="68" t="s">
        <v>234</v>
      </c>
      <c r="E22" s="142">
        <f>MATERIALES!D75</f>
        <v>4750</v>
      </c>
      <c r="F22" s="70">
        <v>0.04</v>
      </c>
      <c r="G22" s="71">
        <f>+E22*F22</f>
        <v>190</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676758.03692307696</v>
      </c>
    </row>
    <row r="26" spans="1:8" ht="15.75" thickBot="1">
      <c r="A26" s="92" t="s">
        <v>496</v>
      </c>
      <c r="B26" s="92"/>
      <c r="C26" s="90"/>
      <c r="D26" s="61"/>
      <c r="E26" s="61"/>
      <c r="F26" s="61"/>
      <c r="G26" s="61"/>
      <c r="H26" s="61"/>
    </row>
    <row r="27" spans="1:8">
      <c r="A27" s="238" t="s">
        <v>497</v>
      </c>
      <c r="B27" s="240"/>
      <c r="C27" s="93" t="s">
        <v>498</v>
      </c>
      <c r="D27" s="240" t="s">
        <v>499</v>
      </c>
      <c r="E27" s="240" t="s">
        <v>500</v>
      </c>
      <c r="F27" s="2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38" t="s">
        <v>503</v>
      </c>
      <c r="B33" s="240"/>
      <c r="C33" s="240" t="s">
        <v>504</v>
      </c>
      <c r="D33" s="240" t="s">
        <v>505</v>
      </c>
      <c r="E33" s="124" t="s">
        <v>506</v>
      </c>
      <c r="F33" s="102" t="s">
        <v>488</v>
      </c>
      <c r="G33" s="239" t="s">
        <v>489</v>
      </c>
      <c r="H33" s="67"/>
    </row>
    <row r="34" spans="1:8">
      <c r="A34" s="83" t="s">
        <v>553</v>
      </c>
      <c r="B34" s="84"/>
      <c r="C34" s="103">
        <f>+SALARIOS!C49*2</f>
        <v>51144</v>
      </c>
      <c r="D34" s="104">
        <f>+SALARIOS!C48</f>
        <v>1.7846558312967005</v>
      </c>
      <c r="E34" s="69">
        <f>+C34*D34</f>
        <v>91274.437835838442</v>
      </c>
      <c r="F34" s="69">
        <v>3</v>
      </c>
      <c r="G34" s="105">
        <f>+E34/F34</f>
        <v>30424.812611946149</v>
      </c>
      <c r="H34" s="72"/>
    </row>
    <row r="35" spans="1:8">
      <c r="A35" s="83" t="s">
        <v>624</v>
      </c>
      <c r="B35" s="84"/>
      <c r="C35" s="103">
        <f>+SALARIOS!C50</f>
        <v>41660</v>
      </c>
      <c r="D35" s="104">
        <f>+SALARIOS!C48</f>
        <v>1.7846558312967005</v>
      </c>
      <c r="E35" s="69">
        <f>+C35*D35</f>
        <v>74348.76193182054</v>
      </c>
      <c r="F35" s="69">
        <v>3</v>
      </c>
      <c r="G35" s="105">
        <f>+E35/F35</f>
        <v>24782.920643940179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55207.733255886327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746186.54350455198</v>
      </c>
    </row>
    <row r="41" spans="1:8" ht="15.75" thickBot="1">
      <c r="A41" s="63" t="s">
        <v>509</v>
      </c>
      <c r="B41" s="63"/>
      <c r="C41" s="61"/>
      <c r="D41" s="61"/>
      <c r="E41" s="61"/>
      <c r="F41" s="61"/>
      <c r="G41" s="61"/>
      <c r="H41" s="61"/>
    </row>
    <row r="42" spans="1:8">
      <c r="A42" s="233" t="s">
        <v>485</v>
      </c>
      <c r="B42" s="251"/>
      <c r="C42" s="251"/>
      <c r="D42" s="251"/>
      <c r="E42" s="252"/>
      <c r="F42" s="252" t="s">
        <v>510</v>
      </c>
      <c r="G42" s="251" t="s">
        <v>511</v>
      </c>
      <c r="H42" s="67"/>
    </row>
    <row r="43" spans="1:8">
      <c r="A43" s="83" t="s">
        <v>512</v>
      </c>
      <c r="B43" s="84"/>
      <c r="C43" s="84"/>
      <c r="D43" s="84"/>
      <c r="E43" s="85"/>
      <c r="F43" s="115">
        <f>+SALARIOS!C45</f>
        <v>0.15</v>
      </c>
      <c r="G43" s="116">
        <f>++F43*H40</f>
        <v>111927.9815256828</v>
      </c>
      <c r="H43" s="117"/>
    </row>
    <row r="44" spans="1:8">
      <c r="A44" s="83" t="s">
        <v>513</v>
      </c>
      <c r="B44" s="84"/>
      <c r="C44" s="84"/>
      <c r="D44" s="84"/>
      <c r="E44" s="85"/>
      <c r="F44" s="115">
        <f>+SALARIOS!C46</f>
        <v>0.05</v>
      </c>
      <c r="G44" s="116">
        <f>+F44*H40</f>
        <v>37309.327175227598</v>
      </c>
      <c r="H44" s="117"/>
    </row>
    <row r="45" spans="1:8" ht="15.75" thickBot="1">
      <c r="A45" s="89" t="s">
        <v>514</v>
      </c>
      <c r="B45" s="90"/>
      <c r="C45" s="90"/>
      <c r="D45" s="90"/>
      <c r="E45" s="91"/>
      <c r="F45" s="118">
        <f>+SALARIOS!C47</f>
        <v>0.05</v>
      </c>
      <c r="G45" s="119">
        <f>+F45*H40</f>
        <v>37309.327175227598</v>
      </c>
      <c r="H45" s="80"/>
    </row>
    <row r="46" spans="1:8" ht="15.75" thickBot="1">
      <c r="A46" s="61"/>
      <c r="B46" s="61"/>
      <c r="C46" s="61"/>
      <c r="D46" s="61"/>
      <c r="E46" s="61"/>
      <c r="F46" s="61"/>
      <c r="G46" s="81" t="s">
        <v>491</v>
      </c>
      <c r="H46" s="120">
        <f>SUM(G43:G45)</f>
        <v>186546.635876138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932733</v>
      </c>
    </row>
  </sheetData>
  <mergeCells count="1">
    <mergeCell ref="A3:C4"/>
  </mergeCell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894</v>
      </c>
      <c r="H7" s="61"/>
    </row>
    <row r="8" spans="1:8">
      <c r="A8" s="60" t="s">
        <v>858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234" t="s">
        <v>14</v>
      </c>
      <c r="B12" s="253"/>
      <c r="C12" s="254"/>
      <c r="D12" s="68" t="s">
        <v>6</v>
      </c>
      <c r="E12" s="86">
        <f>+'EQUIPOS '!D10</f>
        <v>87000</v>
      </c>
      <c r="F12" s="161">
        <v>10</v>
      </c>
      <c r="G12" s="71">
        <f>+E12/F12</f>
        <v>8700</v>
      </c>
      <c r="H12" s="72"/>
    </row>
    <row r="13" spans="1:8">
      <c r="A13" s="175" t="s">
        <v>1327</v>
      </c>
      <c r="B13" s="176"/>
      <c r="C13" s="174"/>
      <c r="D13" s="174"/>
      <c r="E13" s="173"/>
      <c r="F13" s="69"/>
      <c r="G13" s="173">
        <f>H38*10%</f>
        <v>6624.9279907063583</v>
      </c>
      <c r="H13" s="72"/>
    </row>
    <row r="14" spans="1:8">
      <c r="A14" s="241"/>
      <c r="B14" s="242"/>
      <c r="C14" s="243"/>
      <c r="D14" s="73"/>
      <c r="E14" s="74"/>
      <c r="F14" s="69"/>
      <c r="G14" s="71"/>
      <c r="H14" s="72"/>
    </row>
    <row r="15" spans="1:8">
      <c r="A15" s="241"/>
      <c r="B15" s="242"/>
      <c r="C15" s="243"/>
      <c r="D15" s="73"/>
      <c r="E15" s="74"/>
      <c r="F15" s="69"/>
      <c r="G15" s="71"/>
      <c r="H15" s="72"/>
    </row>
    <row r="16" spans="1:8">
      <c r="A16" s="241"/>
      <c r="B16" s="242"/>
      <c r="C16" s="243"/>
      <c r="D16" s="73"/>
      <c r="E16" s="74"/>
      <c r="F16" s="69"/>
      <c r="G16" s="71"/>
      <c r="H16" s="72"/>
    </row>
    <row r="17" spans="1:8" ht="15.75" thickBot="1">
      <c r="A17" s="244"/>
      <c r="B17" s="245"/>
      <c r="C17" s="246"/>
      <c r="D17" s="76"/>
      <c r="E17" s="77"/>
      <c r="F17" s="78"/>
      <c r="G17" s="79"/>
      <c r="H17" s="80"/>
    </row>
    <row r="18" spans="1:8" ht="15.75" thickBot="1">
      <c r="A18" s="61"/>
      <c r="B18" s="61"/>
      <c r="C18" s="61"/>
      <c r="D18" s="61"/>
      <c r="E18" s="61"/>
      <c r="F18" s="61"/>
      <c r="G18" s="81" t="s">
        <v>491</v>
      </c>
      <c r="H18" s="82">
        <f>SUM(G12:G17)</f>
        <v>15324.927990706357</v>
      </c>
    </row>
    <row r="19" spans="1:8" ht="15.75" thickBot="1">
      <c r="A19" s="63" t="s">
        <v>492</v>
      </c>
      <c r="B19" s="63"/>
      <c r="C19" s="61"/>
      <c r="D19" s="61"/>
      <c r="E19" s="61"/>
      <c r="F19" s="61"/>
      <c r="G19" s="61"/>
      <c r="H19" s="61"/>
    </row>
    <row r="20" spans="1:8">
      <c r="A20" s="250" t="s">
        <v>485</v>
      </c>
      <c r="B20" s="251"/>
      <c r="C20" s="252"/>
      <c r="D20" s="252" t="s">
        <v>493</v>
      </c>
      <c r="E20" s="252" t="s">
        <v>494</v>
      </c>
      <c r="F20" s="252" t="s">
        <v>495</v>
      </c>
      <c r="G20" s="251" t="s">
        <v>489</v>
      </c>
      <c r="H20" s="67"/>
    </row>
    <row r="21" spans="1:8">
      <c r="A21" s="127" t="s">
        <v>1691</v>
      </c>
      <c r="B21" s="84"/>
      <c r="C21" s="85"/>
      <c r="D21" s="141" t="s">
        <v>1</v>
      </c>
      <c r="E21" s="139">
        <f>+MATERIALES!D312</f>
        <v>985130.98153846152</v>
      </c>
      <c r="F21" s="163">
        <v>1</v>
      </c>
      <c r="G21" s="137">
        <f>+E21*F21</f>
        <v>985130.98153846152</v>
      </c>
      <c r="H21" s="59"/>
    </row>
    <row r="22" spans="1:8">
      <c r="A22" s="127" t="s">
        <v>1687</v>
      </c>
      <c r="B22" s="84"/>
      <c r="C22" s="85"/>
      <c r="D22" s="68" t="s">
        <v>234</v>
      </c>
      <c r="E22" s="142">
        <f>MATERIALES!D75</f>
        <v>4750</v>
      </c>
      <c r="F22" s="69">
        <v>0.05</v>
      </c>
      <c r="G22" s="71">
        <f>+E22*F22</f>
        <v>237.5</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985368.48153846152</v>
      </c>
    </row>
    <row r="26" spans="1:8" ht="15.75" thickBot="1">
      <c r="A26" s="92" t="s">
        <v>496</v>
      </c>
      <c r="B26" s="92"/>
      <c r="C26" s="90"/>
      <c r="D26" s="61"/>
      <c r="E26" s="61"/>
      <c r="F26" s="61"/>
      <c r="G26" s="61"/>
      <c r="H26" s="61"/>
    </row>
    <row r="27" spans="1:8">
      <c r="A27" s="238" t="s">
        <v>497</v>
      </c>
      <c r="B27" s="240"/>
      <c r="C27" s="93" t="s">
        <v>498</v>
      </c>
      <c r="D27" s="240" t="s">
        <v>499</v>
      </c>
      <c r="E27" s="240" t="s">
        <v>500</v>
      </c>
      <c r="F27" s="2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38" t="s">
        <v>503</v>
      </c>
      <c r="B33" s="240"/>
      <c r="C33" s="240" t="s">
        <v>504</v>
      </c>
      <c r="D33" s="240" t="s">
        <v>505</v>
      </c>
      <c r="E33" s="124" t="s">
        <v>506</v>
      </c>
      <c r="F33" s="102" t="s">
        <v>488</v>
      </c>
      <c r="G33" s="239" t="s">
        <v>489</v>
      </c>
      <c r="H33" s="67"/>
    </row>
    <row r="34" spans="1:8">
      <c r="A34" s="83" t="s">
        <v>553</v>
      </c>
      <c r="B34" s="84"/>
      <c r="C34" s="103">
        <f>+SALARIOS!C49*2</f>
        <v>51144</v>
      </c>
      <c r="D34" s="104">
        <f>+SALARIOS!C48</f>
        <v>1.7846558312967005</v>
      </c>
      <c r="E34" s="69">
        <f>+C34*D34</f>
        <v>91274.437835838442</v>
      </c>
      <c r="F34" s="69">
        <v>2.5</v>
      </c>
      <c r="G34" s="105">
        <f>+E34/F34</f>
        <v>36509.775134335374</v>
      </c>
      <c r="H34" s="72"/>
    </row>
    <row r="35" spans="1:8">
      <c r="A35" s="83" t="s">
        <v>624</v>
      </c>
      <c r="B35" s="84"/>
      <c r="C35" s="103">
        <f>+SALARIOS!C50</f>
        <v>41660</v>
      </c>
      <c r="D35" s="104">
        <f>+SALARIOS!C48</f>
        <v>1.7846558312967005</v>
      </c>
      <c r="E35" s="69">
        <f>+C35*D35</f>
        <v>74348.76193182054</v>
      </c>
      <c r="F35" s="69">
        <v>2.5</v>
      </c>
      <c r="G35" s="105">
        <f>+E35/F35</f>
        <v>29739.504772728214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66249.279907063581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1066942.6894362315</v>
      </c>
    </row>
    <row r="41" spans="1:8" ht="15.75" thickBot="1">
      <c r="A41" s="63" t="s">
        <v>509</v>
      </c>
      <c r="B41" s="63"/>
      <c r="C41" s="61"/>
      <c r="D41" s="61"/>
      <c r="E41" s="61"/>
      <c r="F41" s="61"/>
      <c r="G41" s="61"/>
      <c r="H41" s="61"/>
    </row>
    <row r="42" spans="1:8">
      <c r="A42" s="233" t="s">
        <v>485</v>
      </c>
      <c r="B42" s="251"/>
      <c r="C42" s="251"/>
      <c r="D42" s="251"/>
      <c r="E42" s="252"/>
      <c r="F42" s="252" t="s">
        <v>510</v>
      </c>
      <c r="G42" s="251" t="s">
        <v>511</v>
      </c>
      <c r="H42" s="67"/>
    </row>
    <row r="43" spans="1:8">
      <c r="A43" s="83" t="s">
        <v>512</v>
      </c>
      <c r="B43" s="84"/>
      <c r="C43" s="84"/>
      <c r="D43" s="84"/>
      <c r="E43" s="85"/>
      <c r="F43" s="115">
        <f>+SALARIOS!C45</f>
        <v>0.15</v>
      </c>
      <c r="G43" s="116">
        <f>++F43*H40</f>
        <v>160041.40341543473</v>
      </c>
      <c r="H43" s="117"/>
    </row>
    <row r="44" spans="1:8">
      <c r="A44" s="83" t="s">
        <v>513</v>
      </c>
      <c r="B44" s="84"/>
      <c r="C44" s="84"/>
      <c r="D44" s="84"/>
      <c r="E44" s="85"/>
      <c r="F44" s="115">
        <f>+SALARIOS!C46</f>
        <v>0.05</v>
      </c>
      <c r="G44" s="116">
        <f>+F44*H40</f>
        <v>53347.13447181158</v>
      </c>
      <c r="H44" s="117"/>
    </row>
    <row r="45" spans="1:8" ht="15.75" thickBot="1">
      <c r="A45" s="89" t="s">
        <v>514</v>
      </c>
      <c r="B45" s="90"/>
      <c r="C45" s="90"/>
      <c r="D45" s="90"/>
      <c r="E45" s="91"/>
      <c r="F45" s="118">
        <f>+SALARIOS!C47</f>
        <v>0.05</v>
      </c>
      <c r="G45" s="119">
        <f>+F45*H40</f>
        <v>53347.13447181158</v>
      </c>
      <c r="H45" s="80"/>
    </row>
    <row r="46" spans="1:8" ht="15.75" thickBot="1">
      <c r="A46" s="61"/>
      <c r="B46" s="61"/>
      <c r="C46" s="61"/>
      <c r="D46" s="61"/>
      <c r="E46" s="61"/>
      <c r="F46" s="61"/>
      <c r="G46" s="81" t="s">
        <v>491</v>
      </c>
      <c r="H46" s="120">
        <f>SUM(G43:G45)</f>
        <v>266735.67235905788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1333678</v>
      </c>
    </row>
  </sheetData>
  <mergeCells count="1">
    <mergeCell ref="A3:C4"/>
  </mergeCells>
  <pageMargins left="0.7" right="0.7" top="0.75" bottom="0.75" header="0.3" footer="0.3"/>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48"/>
  <sheetViews>
    <sheetView topLeftCell="A28" workbookViewId="0">
      <selection activeCell="G35" sqref="G35"/>
    </sheetView>
  </sheetViews>
  <sheetFormatPr baseColWidth="10" defaultRowHeight="15"/>
  <cols>
    <col min="10" max="10" width="23.42578125"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521</v>
      </c>
      <c r="B7" s="62"/>
      <c r="C7" s="61"/>
      <c r="D7" s="16"/>
      <c r="E7" s="62"/>
      <c r="F7" s="16"/>
      <c r="G7" s="62" t="s">
        <v>548</v>
      </c>
      <c r="H7" s="61"/>
    </row>
    <row r="8" spans="1:8">
      <c r="A8" s="60" t="s">
        <v>556</v>
      </c>
      <c r="B8" s="62"/>
      <c r="C8" s="61"/>
      <c r="D8" s="62"/>
      <c r="E8" s="62"/>
      <c r="F8" s="62"/>
      <c r="G8" s="62" t="s">
        <v>537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45" t="s">
        <v>486</v>
      </c>
      <c r="E11" s="65" t="s">
        <v>487</v>
      </c>
      <c r="F11" s="145" t="s">
        <v>488</v>
      </c>
      <c r="G11" s="144" t="s">
        <v>489</v>
      </c>
      <c r="H11" s="67"/>
    </row>
    <row r="12" spans="1:8">
      <c r="A12" s="1460" t="s">
        <v>188</v>
      </c>
      <c r="B12" s="1461"/>
      <c r="C12" s="1462"/>
      <c r="D12" s="68" t="s">
        <v>17</v>
      </c>
      <c r="E12" s="97">
        <f>+'EQUIPOS '!D17</f>
        <v>89900</v>
      </c>
      <c r="F12" s="156">
        <v>20</v>
      </c>
      <c r="G12" s="71">
        <f>(E12/F12)</f>
        <v>4495</v>
      </c>
      <c r="H12" s="72"/>
    </row>
    <row r="13" spans="1:8">
      <c r="A13" s="1463" t="s">
        <v>1327</v>
      </c>
      <c r="B13" s="1464"/>
      <c r="C13" s="1465"/>
      <c r="D13" s="73"/>
      <c r="E13" s="73"/>
      <c r="F13" s="156"/>
      <c r="G13" s="71">
        <f>H38*10%</f>
        <v>690.09666569857916</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5185.0966656985793</v>
      </c>
    </row>
    <row r="19" spans="1:8" ht="15.75" thickBot="1">
      <c r="A19" s="63" t="s">
        <v>492</v>
      </c>
      <c r="B19" s="63"/>
      <c r="C19" s="61"/>
      <c r="D19" s="61"/>
      <c r="E19" s="61"/>
      <c r="F19" s="61"/>
      <c r="G19" s="61"/>
      <c r="H19" s="61"/>
    </row>
    <row r="20" spans="1:8">
      <c r="A20" s="1472" t="s">
        <v>485</v>
      </c>
      <c r="B20" s="1473"/>
      <c r="C20" s="1474"/>
      <c r="D20" s="147" t="s">
        <v>493</v>
      </c>
      <c r="E20" s="147" t="s">
        <v>494</v>
      </c>
      <c r="F20" s="147" t="s">
        <v>495</v>
      </c>
      <c r="G20" s="146" t="s">
        <v>489</v>
      </c>
      <c r="H20" s="67"/>
    </row>
    <row r="21" spans="1:8">
      <c r="A21" s="127" t="s">
        <v>1571</v>
      </c>
      <c r="B21" s="84"/>
      <c r="C21" s="85"/>
      <c r="D21" s="141" t="s">
        <v>19</v>
      </c>
      <c r="E21" s="139">
        <f>+MATERIALES!D68</f>
        <v>35410</v>
      </c>
      <c r="F21" s="563">
        <v>1.05</v>
      </c>
      <c r="G21" s="137">
        <f>(E21*F21)</f>
        <v>37180.5</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37180.5</v>
      </c>
    </row>
    <row r="26" spans="1:8" ht="15.75" thickBot="1">
      <c r="A26" s="92" t="s">
        <v>496</v>
      </c>
      <c r="B26" s="92"/>
      <c r="C26" s="90"/>
      <c r="D26" s="61"/>
      <c r="E26" s="61"/>
      <c r="F26" s="61"/>
      <c r="G26" s="61"/>
      <c r="H26" s="61"/>
    </row>
    <row r="27" spans="1:8">
      <c r="A27" s="1454" t="s">
        <v>497</v>
      </c>
      <c r="B27" s="1456"/>
      <c r="C27" s="93" t="s">
        <v>498</v>
      </c>
      <c r="D27" s="145" t="s">
        <v>499</v>
      </c>
      <c r="E27" s="145" t="s">
        <v>500</v>
      </c>
      <c r="F27" s="145"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10">
      <c r="A33" s="1454" t="s">
        <v>503</v>
      </c>
      <c r="B33" s="1456"/>
      <c r="C33" s="151" t="s">
        <v>504</v>
      </c>
      <c r="D33" s="151" t="s">
        <v>505</v>
      </c>
      <c r="E33" s="124" t="s">
        <v>506</v>
      </c>
      <c r="F33" s="102" t="s">
        <v>488</v>
      </c>
      <c r="G33" s="150" t="s">
        <v>489</v>
      </c>
      <c r="H33" s="67"/>
    </row>
    <row r="34" spans="1:10">
      <c r="A34" s="83" t="s">
        <v>554</v>
      </c>
      <c r="B34" s="84"/>
      <c r="C34" s="103">
        <f>+SALARIOS!C49*2</f>
        <v>51144</v>
      </c>
      <c r="D34" s="104">
        <f>+SALARIOS!C48</f>
        <v>1.7846558312967005</v>
      </c>
      <c r="E34" s="69">
        <f>(C34*D34)</f>
        <v>91274.437835838442</v>
      </c>
      <c r="F34" s="69">
        <v>24</v>
      </c>
      <c r="G34" s="105">
        <f>E34/F34</f>
        <v>3803.1015764932686</v>
      </c>
      <c r="H34" s="72"/>
      <c r="J34" t="s">
        <v>1504</v>
      </c>
    </row>
    <row r="35" spans="1:10">
      <c r="A35" s="83" t="s">
        <v>1572</v>
      </c>
      <c r="B35" s="84"/>
      <c r="C35" s="103">
        <f>SALARIOS!C50</f>
        <v>41660</v>
      </c>
      <c r="D35" s="104">
        <f>SALARIOS!C48</f>
        <v>1.7846558312967005</v>
      </c>
      <c r="E35" s="69">
        <f>(C35*D35)</f>
        <v>74348.76193182054</v>
      </c>
      <c r="F35" s="69">
        <v>24</v>
      </c>
      <c r="G35" s="1179">
        <f>E35/F35</f>
        <v>3097.8650804925223</v>
      </c>
      <c r="H35" s="72"/>
    </row>
    <row r="36" spans="1:10">
      <c r="A36" s="83"/>
      <c r="B36" s="84"/>
      <c r="C36" s="103"/>
      <c r="D36" s="104"/>
      <c r="E36" s="69"/>
      <c r="F36" s="69"/>
      <c r="G36" s="105"/>
      <c r="H36" s="72"/>
    </row>
    <row r="37" spans="1:10" ht="15.75" thickBot="1">
      <c r="A37" s="100"/>
      <c r="B37" s="106"/>
      <c r="C37" s="77"/>
      <c r="D37" s="91"/>
      <c r="E37" s="143"/>
      <c r="F37" s="91"/>
      <c r="G37" s="90"/>
      <c r="H37" s="80"/>
    </row>
    <row r="38" spans="1:10" ht="15.75" thickBot="1">
      <c r="A38" s="61"/>
      <c r="B38" s="61"/>
      <c r="C38" s="61"/>
      <c r="D38" s="61"/>
      <c r="E38" s="61"/>
      <c r="F38" s="61"/>
      <c r="G38" s="81" t="s">
        <v>491</v>
      </c>
      <c r="H38" s="82">
        <f>SUM(G34:G37)</f>
        <v>6900.9666569857909</v>
      </c>
    </row>
    <row r="39" spans="1:10" ht="15.75" thickBot="1">
      <c r="A39" s="61"/>
      <c r="B39" s="61"/>
      <c r="C39" s="61"/>
      <c r="D39" s="61"/>
      <c r="E39" s="61"/>
      <c r="F39" s="61"/>
      <c r="G39" s="107"/>
      <c r="H39" s="58"/>
    </row>
    <row r="40" spans="1:10" ht="15.75" thickBot="1">
      <c r="A40" s="61"/>
      <c r="B40" s="61"/>
      <c r="C40" s="61"/>
      <c r="D40" s="61"/>
      <c r="E40" s="108" t="s">
        <v>508</v>
      </c>
      <c r="F40" s="109"/>
      <c r="G40" s="109"/>
      <c r="H40" s="82">
        <f>H18+H25+H31+H38</f>
        <v>49266.563322684364</v>
      </c>
    </row>
    <row r="41" spans="1:10" ht="15.75" thickBot="1">
      <c r="A41" s="63" t="s">
        <v>509</v>
      </c>
      <c r="B41" s="63"/>
      <c r="C41" s="61"/>
      <c r="D41" s="61"/>
      <c r="E41" s="61"/>
      <c r="F41" s="61"/>
      <c r="G41" s="61"/>
      <c r="H41" s="61"/>
    </row>
    <row r="42" spans="1:10">
      <c r="A42" s="110" t="s">
        <v>485</v>
      </c>
      <c r="B42" s="111"/>
      <c r="C42" s="111"/>
      <c r="D42" s="111"/>
      <c r="E42" s="112"/>
      <c r="F42" s="147" t="s">
        <v>510</v>
      </c>
      <c r="G42" s="146" t="s">
        <v>511</v>
      </c>
      <c r="H42" s="67"/>
    </row>
    <row r="43" spans="1:10">
      <c r="A43" s="83" t="s">
        <v>512</v>
      </c>
      <c r="B43" s="84"/>
      <c r="C43" s="84"/>
      <c r="D43" s="84"/>
      <c r="E43" s="85"/>
      <c r="F43" s="115">
        <f>(SALARIOS!C45)</f>
        <v>0.15</v>
      </c>
      <c r="G43" s="116">
        <f>++F43*H40</f>
        <v>7389.984498402654</v>
      </c>
      <c r="H43" s="117"/>
    </row>
    <row r="44" spans="1:10">
      <c r="A44" s="83" t="s">
        <v>513</v>
      </c>
      <c r="B44" s="84"/>
      <c r="C44" s="84"/>
      <c r="D44" s="84"/>
      <c r="E44" s="85"/>
      <c r="F44" s="115">
        <f>(SALARIOS!C46)</f>
        <v>0.05</v>
      </c>
      <c r="G44" s="116">
        <f>+F44*H40</f>
        <v>2463.3281661342185</v>
      </c>
      <c r="H44" s="117"/>
    </row>
    <row r="45" spans="1:10" ht="15.75" thickBot="1">
      <c r="A45" s="89" t="s">
        <v>514</v>
      </c>
      <c r="B45" s="90"/>
      <c r="C45" s="90"/>
      <c r="D45" s="90"/>
      <c r="E45" s="91"/>
      <c r="F45" s="118">
        <f>(SALARIOS!C47)</f>
        <v>0.05</v>
      </c>
      <c r="G45" s="119">
        <f>+F45*H40</f>
        <v>2463.3281661342185</v>
      </c>
      <c r="H45" s="80"/>
    </row>
    <row r="46" spans="1:10" ht="15.75" thickBot="1">
      <c r="A46" s="61"/>
      <c r="B46" s="61"/>
      <c r="C46" s="61"/>
      <c r="D46" s="61"/>
      <c r="E46" s="61"/>
      <c r="F46" s="61"/>
      <c r="G46" s="81" t="s">
        <v>491</v>
      </c>
      <c r="H46" s="120">
        <f>SUM(G43:G45)</f>
        <v>12316.640830671091</v>
      </c>
    </row>
    <row r="47" spans="1:10" ht="15.75" thickBot="1">
      <c r="A47" s="61"/>
      <c r="B47" s="61"/>
      <c r="C47" s="61"/>
      <c r="D47" s="61"/>
      <c r="E47" s="61"/>
      <c r="F47" s="61"/>
      <c r="G47" s="61"/>
      <c r="H47" s="61"/>
    </row>
    <row r="48" spans="1:10" ht="15.75" thickBot="1">
      <c r="A48" s="16"/>
      <c r="B48" s="16"/>
      <c r="C48" s="61"/>
      <c r="D48" s="108" t="s">
        <v>515</v>
      </c>
      <c r="E48" s="109"/>
      <c r="F48" s="109"/>
      <c r="G48" s="109"/>
      <c r="H48" s="82">
        <f>ROUND((H40+H46),0)</f>
        <v>61583</v>
      </c>
    </row>
  </sheetData>
  <mergeCells count="13">
    <mergeCell ref="A13:C13"/>
    <mergeCell ref="A3:C4"/>
    <mergeCell ref="A5:C5"/>
    <mergeCell ref="D5:H5"/>
    <mergeCell ref="A11:C11"/>
    <mergeCell ref="A12:C12"/>
    <mergeCell ref="A33:B33"/>
    <mergeCell ref="A14:C14"/>
    <mergeCell ref="A15:C15"/>
    <mergeCell ref="A16:C16"/>
    <mergeCell ref="A17:C17"/>
    <mergeCell ref="A20:C20"/>
    <mergeCell ref="A27:B27"/>
  </mergeCell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H48"/>
  <sheetViews>
    <sheetView topLeftCell="A4" workbookViewId="0">
      <selection activeCell="K37" sqref="K3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896</v>
      </c>
      <c r="H7" s="61"/>
    </row>
    <row r="8" spans="1:8">
      <c r="A8" s="60" t="s">
        <v>897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234" t="s">
        <v>14</v>
      </c>
      <c r="B12" s="253"/>
      <c r="C12" s="254"/>
      <c r="D12" s="68" t="s">
        <v>6</v>
      </c>
      <c r="E12" s="86">
        <f>+'EQUIPOS '!D10</f>
        <v>87000</v>
      </c>
      <c r="F12" s="161">
        <v>10</v>
      </c>
      <c r="G12" s="71">
        <f>+E12/F12</f>
        <v>8700</v>
      </c>
      <c r="H12" s="72"/>
    </row>
    <row r="13" spans="1:8">
      <c r="A13" s="175" t="s">
        <v>1327</v>
      </c>
      <c r="B13" s="176"/>
      <c r="C13" s="174"/>
      <c r="D13" s="174"/>
      <c r="E13" s="173"/>
      <c r="F13" s="69"/>
      <c r="G13" s="173">
        <f>H38*10%</f>
        <v>7528.3272621663173</v>
      </c>
      <c r="H13" s="72"/>
    </row>
    <row r="14" spans="1:8">
      <c r="A14" s="241"/>
      <c r="B14" s="242"/>
      <c r="C14" s="243"/>
      <c r="D14" s="73"/>
      <c r="E14" s="74"/>
      <c r="F14" s="69"/>
      <c r="G14" s="71"/>
      <c r="H14" s="72"/>
    </row>
    <row r="15" spans="1:8">
      <c r="A15" s="241"/>
      <c r="B15" s="242"/>
      <c r="C15" s="243"/>
      <c r="D15" s="73"/>
      <c r="E15" s="74"/>
      <c r="F15" s="69"/>
      <c r="G15" s="71"/>
      <c r="H15" s="72"/>
    </row>
    <row r="16" spans="1:8">
      <c r="A16" s="241"/>
      <c r="B16" s="242"/>
      <c r="C16" s="243"/>
      <c r="D16" s="73"/>
      <c r="E16" s="74"/>
      <c r="F16" s="69"/>
      <c r="G16" s="71"/>
      <c r="H16" s="72"/>
    </row>
    <row r="17" spans="1:8" ht="15.75" thickBot="1">
      <c r="A17" s="244"/>
      <c r="B17" s="245"/>
      <c r="C17" s="246"/>
      <c r="D17" s="76"/>
      <c r="E17" s="77"/>
      <c r="F17" s="78"/>
      <c r="G17" s="79"/>
      <c r="H17" s="80"/>
    </row>
    <row r="18" spans="1:8" ht="15.75" thickBot="1">
      <c r="A18" s="61"/>
      <c r="B18" s="61"/>
      <c r="C18" s="61"/>
      <c r="D18" s="61"/>
      <c r="E18" s="61"/>
      <c r="F18" s="61"/>
      <c r="G18" s="81" t="s">
        <v>491</v>
      </c>
      <c r="H18" s="82">
        <f>SUM(G12:G17)</f>
        <v>16228.327262166316</v>
      </c>
    </row>
    <row r="19" spans="1:8" ht="15.75" thickBot="1">
      <c r="A19" s="63" t="s">
        <v>492</v>
      </c>
      <c r="B19" s="63"/>
      <c r="C19" s="61"/>
      <c r="D19" s="61"/>
      <c r="E19" s="61"/>
      <c r="F19" s="61"/>
      <c r="G19" s="61"/>
      <c r="H19" s="61"/>
    </row>
    <row r="20" spans="1:8">
      <c r="A20" s="250" t="s">
        <v>485</v>
      </c>
      <c r="B20" s="251"/>
      <c r="C20" s="252"/>
      <c r="D20" s="252" t="s">
        <v>493</v>
      </c>
      <c r="E20" s="252" t="s">
        <v>494</v>
      </c>
      <c r="F20" s="252" t="s">
        <v>495</v>
      </c>
      <c r="G20" s="251" t="s">
        <v>489</v>
      </c>
      <c r="H20" s="67"/>
    </row>
    <row r="21" spans="1:8">
      <c r="A21" s="127" t="s">
        <v>1692</v>
      </c>
      <c r="B21" s="84"/>
      <c r="C21" s="85"/>
      <c r="D21" s="141" t="s">
        <v>1</v>
      </c>
      <c r="E21" s="139">
        <f>+MATERIALES!D313</f>
        <v>1355968.1692307692</v>
      </c>
      <c r="F21" s="137">
        <v>1</v>
      </c>
      <c r="G21" s="137">
        <f>+E21*F21</f>
        <v>1355968.1692307692</v>
      </c>
      <c r="H21" s="59"/>
    </row>
    <row r="22" spans="1:8">
      <c r="A22" s="127" t="s">
        <v>1687</v>
      </c>
      <c r="B22" s="84"/>
      <c r="C22" s="85"/>
      <c r="D22" s="68" t="s">
        <v>234</v>
      </c>
      <c r="E22" s="142">
        <f>MATERIALES!D75</f>
        <v>4750</v>
      </c>
      <c r="F22" s="69">
        <v>0.05</v>
      </c>
      <c r="G22" s="71">
        <f>+E22*F22</f>
        <v>237.5</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1356205.6692307692</v>
      </c>
    </row>
    <row r="26" spans="1:8" ht="15.75" thickBot="1">
      <c r="A26" s="92" t="s">
        <v>496</v>
      </c>
      <c r="B26" s="92"/>
      <c r="C26" s="90"/>
      <c r="D26" s="61"/>
      <c r="E26" s="61"/>
      <c r="F26" s="61"/>
      <c r="G26" s="61"/>
      <c r="H26" s="61"/>
    </row>
    <row r="27" spans="1:8">
      <c r="A27" s="238" t="s">
        <v>497</v>
      </c>
      <c r="B27" s="240"/>
      <c r="C27" s="93" t="s">
        <v>498</v>
      </c>
      <c r="D27" s="240" t="s">
        <v>499</v>
      </c>
      <c r="E27" s="240" t="s">
        <v>500</v>
      </c>
      <c r="F27" s="2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38" t="s">
        <v>503</v>
      </c>
      <c r="B33" s="240"/>
      <c r="C33" s="240" t="s">
        <v>504</v>
      </c>
      <c r="D33" s="240" t="s">
        <v>505</v>
      </c>
      <c r="E33" s="124" t="s">
        <v>506</v>
      </c>
      <c r="F33" s="102" t="s">
        <v>488</v>
      </c>
      <c r="G33" s="239" t="s">
        <v>489</v>
      </c>
      <c r="H33" s="67"/>
    </row>
    <row r="34" spans="1:8">
      <c r="A34" s="83" t="s">
        <v>553</v>
      </c>
      <c r="B34" s="84"/>
      <c r="C34" s="103">
        <f>+SALARIOS!C49*2</f>
        <v>51144</v>
      </c>
      <c r="D34" s="104">
        <f>+SALARIOS!C48</f>
        <v>1.7846558312967005</v>
      </c>
      <c r="E34" s="69">
        <f>+C34*D34</f>
        <v>91274.437835838442</v>
      </c>
      <c r="F34" s="69">
        <v>2.2000000000000002</v>
      </c>
      <c r="G34" s="105">
        <f>+E34/F34</f>
        <v>41488.380834472016</v>
      </c>
      <c r="H34" s="72"/>
    </row>
    <row r="35" spans="1:8">
      <c r="A35" s="83" t="s">
        <v>624</v>
      </c>
      <c r="B35" s="84"/>
      <c r="C35" s="103">
        <f>+SALARIOS!C50</f>
        <v>41660</v>
      </c>
      <c r="D35" s="104">
        <f>+SALARIOS!C48</f>
        <v>1.7846558312967005</v>
      </c>
      <c r="E35" s="69">
        <f>+C35*D35</f>
        <v>74348.76193182054</v>
      </c>
      <c r="F35" s="69">
        <v>2.2000000000000002</v>
      </c>
      <c r="G35" s="105">
        <f>+E35/F35</f>
        <v>33794.891787191154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75283.272621663171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1447717.2691145986</v>
      </c>
    </row>
    <row r="41" spans="1:8" ht="15.75" thickBot="1">
      <c r="A41" s="63" t="s">
        <v>509</v>
      </c>
      <c r="B41" s="63"/>
      <c r="C41" s="61"/>
      <c r="D41" s="61"/>
      <c r="E41" s="61"/>
      <c r="F41" s="61"/>
      <c r="G41" s="61"/>
      <c r="H41" s="61"/>
    </row>
    <row r="42" spans="1:8">
      <c r="A42" s="233" t="s">
        <v>485</v>
      </c>
      <c r="B42" s="251"/>
      <c r="C42" s="251"/>
      <c r="D42" s="251"/>
      <c r="E42" s="252"/>
      <c r="F42" s="252" t="s">
        <v>510</v>
      </c>
      <c r="G42" s="251" t="s">
        <v>511</v>
      </c>
      <c r="H42" s="67"/>
    </row>
    <row r="43" spans="1:8">
      <c r="A43" s="83" t="s">
        <v>512</v>
      </c>
      <c r="B43" s="84"/>
      <c r="C43" s="84"/>
      <c r="D43" s="84"/>
      <c r="E43" s="85"/>
      <c r="F43" s="115">
        <f>+SALARIOS!C45</f>
        <v>0.15</v>
      </c>
      <c r="G43" s="116">
        <f>++F43*H40</f>
        <v>217157.59036718978</v>
      </c>
      <c r="H43" s="117"/>
    </row>
    <row r="44" spans="1:8">
      <c r="A44" s="83" t="s">
        <v>513</v>
      </c>
      <c r="B44" s="84"/>
      <c r="C44" s="84"/>
      <c r="D44" s="84"/>
      <c r="E44" s="85"/>
      <c r="F44" s="115">
        <f>+SALARIOS!C46</f>
        <v>0.05</v>
      </c>
      <c r="G44" s="116">
        <f>+F44*H40</f>
        <v>72385.863455729937</v>
      </c>
      <c r="H44" s="117"/>
    </row>
    <row r="45" spans="1:8" ht="15.75" thickBot="1">
      <c r="A45" s="89" t="s">
        <v>514</v>
      </c>
      <c r="B45" s="90"/>
      <c r="C45" s="90"/>
      <c r="D45" s="90"/>
      <c r="E45" s="91"/>
      <c r="F45" s="118">
        <f>+SALARIOS!C47</f>
        <v>0.05</v>
      </c>
      <c r="G45" s="119">
        <f>+F45*H40</f>
        <v>72385.863455729937</v>
      </c>
      <c r="H45" s="80"/>
    </row>
    <row r="46" spans="1:8" ht="15.75" thickBot="1">
      <c r="A46" s="61"/>
      <c r="B46" s="61"/>
      <c r="C46" s="61"/>
      <c r="D46" s="61"/>
      <c r="E46" s="61"/>
      <c r="F46" s="61"/>
      <c r="G46" s="81" t="s">
        <v>491</v>
      </c>
      <c r="H46" s="120">
        <f>SUM(G43:G45)</f>
        <v>361929.31727864966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1809647</v>
      </c>
    </row>
  </sheetData>
  <mergeCells count="1">
    <mergeCell ref="A3:C4"/>
  </mergeCells>
  <pageMargins left="0.7" right="0.7" top="0.75" bottom="0.75" header="0.3" footer="0.3"/>
  <pageSetup paperSize="9" scale="95"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H48"/>
  <sheetViews>
    <sheetView workbookViewId="0">
      <selection activeCell="F36" sqref="F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899</v>
      </c>
      <c r="H7" s="61"/>
    </row>
    <row r="8" spans="1:8">
      <c r="A8" s="60" t="s">
        <v>900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234" t="s">
        <v>14</v>
      </c>
      <c r="B12" s="253"/>
      <c r="C12" s="254"/>
      <c r="D12" s="68" t="s">
        <v>6</v>
      </c>
      <c r="E12" s="86">
        <f>+'EQUIPOS '!D10</f>
        <v>87000</v>
      </c>
      <c r="F12" s="161">
        <v>10</v>
      </c>
      <c r="G12" s="71">
        <f>+E12/F12</f>
        <v>8700</v>
      </c>
      <c r="H12" s="72"/>
    </row>
    <row r="13" spans="1:8">
      <c r="A13" s="175" t="s">
        <v>1327</v>
      </c>
      <c r="B13" s="176"/>
      <c r="C13" s="174"/>
      <c r="D13" s="174"/>
      <c r="E13" s="173"/>
      <c r="F13" s="69"/>
      <c r="G13" s="173">
        <f>H38*10%</f>
        <v>8281.1599883829495</v>
      </c>
      <c r="H13" s="72"/>
    </row>
    <row r="14" spans="1:8">
      <c r="A14" s="241"/>
      <c r="B14" s="242"/>
      <c r="C14" s="243"/>
      <c r="D14" s="73"/>
      <c r="E14" s="74"/>
      <c r="F14" s="69"/>
      <c r="G14" s="71"/>
      <c r="H14" s="72"/>
    </row>
    <row r="15" spans="1:8">
      <c r="A15" s="241"/>
      <c r="B15" s="242"/>
      <c r="C15" s="243"/>
      <c r="D15" s="73"/>
      <c r="E15" s="74"/>
      <c r="F15" s="69"/>
      <c r="G15" s="71"/>
      <c r="H15" s="72"/>
    </row>
    <row r="16" spans="1:8">
      <c r="A16" s="241"/>
      <c r="B16" s="242"/>
      <c r="C16" s="243"/>
      <c r="D16" s="73"/>
      <c r="E16" s="74"/>
      <c r="F16" s="69"/>
      <c r="G16" s="71"/>
      <c r="H16" s="72"/>
    </row>
    <row r="17" spans="1:8" ht="15.75" thickBot="1">
      <c r="A17" s="244"/>
      <c r="B17" s="245"/>
      <c r="C17" s="246"/>
      <c r="D17" s="76"/>
      <c r="E17" s="77"/>
      <c r="F17" s="78"/>
      <c r="G17" s="79"/>
      <c r="H17" s="80"/>
    </row>
    <row r="18" spans="1:8" ht="15.75" thickBot="1">
      <c r="A18" s="61"/>
      <c r="B18" s="61"/>
      <c r="C18" s="61"/>
      <c r="D18" s="61"/>
      <c r="E18" s="61"/>
      <c r="F18" s="61"/>
      <c r="G18" s="81" t="s">
        <v>491</v>
      </c>
      <c r="H18" s="82">
        <f>SUM(G12:G17)</f>
        <v>16981.159988382948</v>
      </c>
    </row>
    <row r="19" spans="1:8" ht="15.75" thickBot="1">
      <c r="A19" s="63" t="s">
        <v>492</v>
      </c>
      <c r="B19" s="63"/>
      <c r="C19" s="61"/>
      <c r="D19" s="61"/>
      <c r="E19" s="61"/>
      <c r="F19" s="61"/>
      <c r="G19" s="61"/>
      <c r="H19" s="61"/>
    </row>
    <row r="20" spans="1:8">
      <c r="A20" s="250" t="s">
        <v>485</v>
      </c>
      <c r="B20" s="251"/>
      <c r="C20" s="252"/>
      <c r="D20" s="252" t="s">
        <v>493</v>
      </c>
      <c r="E20" s="252" t="s">
        <v>494</v>
      </c>
      <c r="F20" s="252" t="s">
        <v>495</v>
      </c>
      <c r="G20" s="251" t="s">
        <v>489</v>
      </c>
      <c r="H20" s="67"/>
    </row>
    <row r="21" spans="1:8">
      <c r="A21" s="127" t="s">
        <v>1693</v>
      </c>
      <c r="B21" s="84"/>
      <c r="C21" s="85"/>
      <c r="D21" s="141" t="s">
        <v>1</v>
      </c>
      <c r="E21" s="139">
        <f>+MATERIALES!D314</f>
        <v>1550788.1169230766</v>
      </c>
      <c r="F21" s="137">
        <v>1</v>
      </c>
      <c r="G21" s="137">
        <f>+E21*F21</f>
        <v>1550788.1169230766</v>
      </c>
      <c r="H21" s="59"/>
    </row>
    <row r="22" spans="1:8">
      <c r="A22" s="127" t="s">
        <v>1687</v>
      </c>
      <c r="B22" s="84"/>
      <c r="C22" s="85"/>
      <c r="D22" s="68" t="s">
        <v>234</v>
      </c>
      <c r="E22" s="142">
        <f>MATERIALES!D75</f>
        <v>4750</v>
      </c>
      <c r="F22" s="69">
        <v>0.06</v>
      </c>
      <c r="G22" s="71">
        <f>+E22*F22</f>
        <v>285</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1551073.1169230766</v>
      </c>
    </row>
    <row r="26" spans="1:8" ht="15.75" thickBot="1">
      <c r="A26" s="92" t="s">
        <v>496</v>
      </c>
      <c r="B26" s="92"/>
      <c r="C26" s="90"/>
      <c r="D26" s="61"/>
      <c r="E26" s="61"/>
      <c r="F26" s="61"/>
      <c r="G26" s="61"/>
      <c r="H26" s="61"/>
    </row>
    <row r="27" spans="1:8">
      <c r="A27" s="238" t="s">
        <v>497</v>
      </c>
      <c r="B27" s="240"/>
      <c r="C27" s="93" t="s">
        <v>498</v>
      </c>
      <c r="D27" s="240" t="s">
        <v>499</v>
      </c>
      <c r="E27" s="240" t="s">
        <v>500</v>
      </c>
      <c r="F27" s="2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38" t="s">
        <v>503</v>
      </c>
      <c r="B33" s="240"/>
      <c r="C33" s="240" t="s">
        <v>504</v>
      </c>
      <c r="D33" s="240" t="s">
        <v>505</v>
      </c>
      <c r="E33" s="124" t="s">
        <v>506</v>
      </c>
      <c r="F33" s="102" t="s">
        <v>488</v>
      </c>
      <c r="G33" s="239" t="s">
        <v>489</v>
      </c>
      <c r="H33" s="67"/>
    </row>
    <row r="34" spans="1:8">
      <c r="A34" s="83" t="s">
        <v>553</v>
      </c>
      <c r="B34" s="84"/>
      <c r="C34" s="103">
        <f>+SALARIOS!C49*2</f>
        <v>51144</v>
      </c>
      <c r="D34" s="104">
        <f>+SALARIOS!C48</f>
        <v>1.7846558312967005</v>
      </c>
      <c r="E34" s="69">
        <f>+C34*D34</f>
        <v>91274.437835838442</v>
      </c>
      <c r="F34" s="69">
        <v>2</v>
      </c>
      <c r="G34" s="105">
        <f>+E34/F34</f>
        <v>45637.218917919221</v>
      </c>
      <c r="H34" s="72"/>
    </row>
    <row r="35" spans="1:8">
      <c r="A35" s="83" t="s">
        <v>624</v>
      </c>
      <c r="B35" s="84"/>
      <c r="C35" s="103">
        <f>+SALARIOS!C50</f>
        <v>41660</v>
      </c>
      <c r="D35" s="104">
        <f>+SALARIOS!C48</f>
        <v>1.7846558312967005</v>
      </c>
      <c r="E35" s="69">
        <f>+C35*D35</f>
        <v>74348.76193182054</v>
      </c>
      <c r="F35" s="69">
        <v>2</v>
      </c>
      <c r="G35" s="105">
        <f>+E35/F35</f>
        <v>37174.38096591027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82811.599883829491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1650865.8767952889</v>
      </c>
    </row>
    <row r="41" spans="1:8" ht="15.75" thickBot="1">
      <c r="A41" s="63" t="s">
        <v>509</v>
      </c>
      <c r="B41" s="63"/>
      <c r="C41" s="61"/>
      <c r="D41" s="61"/>
      <c r="E41" s="61"/>
      <c r="F41" s="61"/>
      <c r="G41" s="61"/>
      <c r="H41" s="61"/>
    </row>
    <row r="42" spans="1:8">
      <c r="A42" s="233" t="s">
        <v>485</v>
      </c>
      <c r="B42" s="251"/>
      <c r="C42" s="251"/>
      <c r="D42" s="251"/>
      <c r="E42" s="252"/>
      <c r="F42" s="252" t="s">
        <v>510</v>
      </c>
      <c r="G42" s="251" t="s">
        <v>511</v>
      </c>
      <c r="H42" s="67"/>
    </row>
    <row r="43" spans="1:8">
      <c r="A43" s="83" t="s">
        <v>512</v>
      </c>
      <c r="B43" s="84"/>
      <c r="C43" s="84"/>
      <c r="D43" s="84"/>
      <c r="E43" s="85"/>
      <c r="F43" s="115">
        <f>+SALARIOS!C45</f>
        <v>0.15</v>
      </c>
      <c r="G43" s="116">
        <f>++F43*H40</f>
        <v>247629.88151929333</v>
      </c>
      <c r="H43" s="117"/>
    </row>
    <row r="44" spans="1:8">
      <c r="A44" s="83" t="s">
        <v>513</v>
      </c>
      <c r="B44" s="84"/>
      <c r="C44" s="84"/>
      <c r="D44" s="84"/>
      <c r="E44" s="85"/>
      <c r="F44" s="115">
        <f>+SALARIOS!C46</f>
        <v>0.05</v>
      </c>
      <c r="G44" s="116">
        <f>+F44*H40</f>
        <v>82543.293839764447</v>
      </c>
      <c r="H44" s="117"/>
    </row>
    <row r="45" spans="1:8" ht="15.75" thickBot="1">
      <c r="A45" s="89" t="s">
        <v>514</v>
      </c>
      <c r="B45" s="90"/>
      <c r="C45" s="90"/>
      <c r="D45" s="90"/>
      <c r="E45" s="91"/>
      <c r="F45" s="118">
        <f>+SALARIOS!C47</f>
        <v>0.05</v>
      </c>
      <c r="G45" s="119">
        <f>+F45*H40</f>
        <v>82543.293839764447</v>
      </c>
      <c r="H45" s="80"/>
    </row>
    <row r="46" spans="1:8" ht="15.75" thickBot="1">
      <c r="A46" s="61"/>
      <c r="B46" s="61"/>
      <c r="C46" s="61"/>
      <c r="D46" s="61"/>
      <c r="E46" s="61"/>
      <c r="F46" s="61"/>
      <c r="G46" s="81" t="s">
        <v>491</v>
      </c>
      <c r="H46" s="120">
        <f>SUM(G43:G45)</f>
        <v>412716.46919882222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2063582</v>
      </c>
    </row>
  </sheetData>
  <mergeCells count="1">
    <mergeCell ref="A3:C4"/>
  </mergeCells>
  <pageMargins left="0.7" right="0.7" top="0.75" bottom="0.75" header="0.3" footer="0.3"/>
  <pageSetup paperSize="9" scale="95"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902</v>
      </c>
      <c r="H7" s="61"/>
    </row>
    <row r="8" spans="1:8">
      <c r="A8" s="60" t="s">
        <v>903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253"/>
      <c r="C12" s="254"/>
      <c r="D12" s="68"/>
      <c r="E12" s="86"/>
      <c r="F12" s="161"/>
      <c r="G12" s="71">
        <f>H38*10%</f>
        <v>4732.0914219331144</v>
      </c>
      <c r="H12" s="72"/>
    </row>
    <row r="13" spans="1:8">
      <c r="A13" s="175"/>
      <c r="B13" s="176"/>
      <c r="C13" s="174"/>
      <c r="D13" s="174"/>
      <c r="E13" s="173"/>
      <c r="F13" s="69"/>
      <c r="G13" s="173"/>
      <c r="H13" s="72"/>
    </row>
    <row r="14" spans="1:8">
      <c r="A14" s="241"/>
      <c r="B14" s="242"/>
      <c r="C14" s="243"/>
      <c r="D14" s="73"/>
      <c r="E14" s="74"/>
      <c r="F14" s="69"/>
      <c r="G14" s="71"/>
      <c r="H14" s="72"/>
    </row>
    <row r="15" spans="1:8">
      <c r="A15" s="241"/>
      <c r="B15" s="242"/>
      <c r="C15" s="243"/>
      <c r="D15" s="73"/>
      <c r="E15" s="74"/>
      <c r="F15" s="69"/>
      <c r="G15" s="71"/>
      <c r="H15" s="72"/>
    </row>
    <row r="16" spans="1:8">
      <c r="A16" s="241"/>
      <c r="B16" s="242"/>
      <c r="C16" s="243"/>
      <c r="D16" s="73"/>
      <c r="E16" s="74"/>
      <c r="F16" s="69"/>
      <c r="G16" s="71"/>
      <c r="H16" s="72"/>
    </row>
    <row r="17" spans="1:8" ht="15.75" thickBot="1">
      <c r="A17" s="244"/>
      <c r="B17" s="245"/>
      <c r="C17" s="246"/>
      <c r="D17" s="76"/>
      <c r="E17" s="77"/>
      <c r="F17" s="78"/>
      <c r="G17" s="79"/>
      <c r="H17" s="80"/>
    </row>
    <row r="18" spans="1:8" ht="15.75" thickBot="1">
      <c r="A18" s="61"/>
      <c r="B18" s="61"/>
      <c r="C18" s="61"/>
      <c r="D18" s="61"/>
      <c r="E18" s="61"/>
      <c r="F18" s="61"/>
      <c r="G18" s="81" t="s">
        <v>491</v>
      </c>
      <c r="H18" s="82">
        <f>SUM(G12:G17)</f>
        <v>4732.0914219331144</v>
      </c>
    </row>
    <row r="19" spans="1:8" ht="15.75" thickBot="1">
      <c r="A19" s="63" t="s">
        <v>492</v>
      </c>
      <c r="B19" s="63"/>
      <c r="C19" s="61"/>
      <c r="D19" s="61"/>
      <c r="E19" s="61"/>
      <c r="F19" s="61"/>
      <c r="G19" s="61"/>
      <c r="H19" s="61"/>
    </row>
    <row r="20" spans="1:8">
      <c r="A20" s="250" t="s">
        <v>485</v>
      </c>
      <c r="B20" s="251"/>
      <c r="C20" s="252"/>
      <c r="D20" s="252" t="s">
        <v>493</v>
      </c>
      <c r="E20" s="252" t="s">
        <v>494</v>
      </c>
      <c r="F20" s="252" t="s">
        <v>495</v>
      </c>
      <c r="G20" s="251" t="s">
        <v>489</v>
      </c>
      <c r="H20" s="67"/>
    </row>
    <row r="21" spans="1:8">
      <c r="A21" s="127" t="s">
        <v>887</v>
      </c>
      <c r="B21" s="84"/>
      <c r="C21" s="85"/>
      <c r="D21" s="141" t="s">
        <v>1</v>
      </c>
      <c r="E21" s="139">
        <f>+MATERIALES!D308</f>
        <v>367116.79999999999</v>
      </c>
      <c r="F21" s="163">
        <v>1</v>
      </c>
      <c r="G21" s="137">
        <f>+E21*F21</f>
        <v>367116.79999999999</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367116.79999999999</v>
      </c>
    </row>
    <row r="26" spans="1:8" ht="15.75" thickBot="1">
      <c r="A26" s="92" t="s">
        <v>496</v>
      </c>
      <c r="B26" s="92"/>
      <c r="C26" s="90"/>
      <c r="D26" s="61"/>
      <c r="E26" s="61"/>
      <c r="F26" s="61"/>
      <c r="G26" s="61"/>
      <c r="H26" s="61"/>
    </row>
    <row r="27" spans="1:8">
      <c r="A27" s="238" t="s">
        <v>497</v>
      </c>
      <c r="B27" s="240"/>
      <c r="C27" s="93" t="s">
        <v>498</v>
      </c>
      <c r="D27" s="240" t="s">
        <v>499</v>
      </c>
      <c r="E27" s="240" t="s">
        <v>500</v>
      </c>
      <c r="F27" s="2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38" t="s">
        <v>503</v>
      </c>
      <c r="B33" s="240"/>
      <c r="C33" s="240" t="s">
        <v>504</v>
      </c>
      <c r="D33" s="240" t="s">
        <v>505</v>
      </c>
      <c r="E33" s="124" t="s">
        <v>506</v>
      </c>
      <c r="F33" s="102" t="s">
        <v>488</v>
      </c>
      <c r="G33" s="239" t="s">
        <v>489</v>
      </c>
      <c r="H33" s="67"/>
    </row>
    <row r="34" spans="1:8">
      <c r="A34" s="83" t="s">
        <v>553</v>
      </c>
      <c r="B34" s="84"/>
      <c r="C34" s="103">
        <f>+SALARIOS!C49*2</f>
        <v>51144</v>
      </c>
      <c r="D34" s="104">
        <f>+SALARIOS!C48</f>
        <v>1.7846558312967005</v>
      </c>
      <c r="E34" s="69">
        <f>+C34*D34</f>
        <v>91274.437835838442</v>
      </c>
      <c r="F34" s="69">
        <v>3.5</v>
      </c>
      <c r="G34" s="105">
        <f>+E34/F34</f>
        <v>26078.410810239555</v>
      </c>
      <c r="H34" s="72"/>
    </row>
    <row r="35" spans="1:8">
      <c r="A35" s="83" t="s">
        <v>624</v>
      </c>
      <c r="B35" s="84"/>
      <c r="C35" s="103">
        <f>+SALARIOS!C50</f>
        <v>41660</v>
      </c>
      <c r="D35" s="104">
        <f>+SALARIOS!C48</f>
        <v>1.7846558312967005</v>
      </c>
      <c r="E35" s="69">
        <f>+C35*D35</f>
        <v>74348.76193182054</v>
      </c>
      <c r="F35" s="69">
        <v>3.5</v>
      </c>
      <c r="G35" s="105">
        <f>+E35/F35</f>
        <v>21242.503409091583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47320.914219331142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419169.80564126419</v>
      </c>
    </row>
    <row r="41" spans="1:8" ht="15.75" thickBot="1">
      <c r="A41" s="63" t="s">
        <v>509</v>
      </c>
      <c r="B41" s="63"/>
      <c r="C41" s="61"/>
      <c r="D41" s="61"/>
      <c r="E41" s="61"/>
      <c r="F41" s="61"/>
      <c r="G41" s="61"/>
      <c r="H41" s="61"/>
    </row>
    <row r="42" spans="1:8">
      <c r="A42" s="233" t="s">
        <v>485</v>
      </c>
      <c r="B42" s="251"/>
      <c r="C42" s="251"/>
      <c r="D42" s="251"/>
      <c r="E42" s="252"/>
      <c r="F42" s="252" t="s">
        <v>510</v>
      </c>
      <c r="G42" s="251" t="s">
        <v>511</v>
      </c>
      <c r="H42" s="67"/>
    </row>
    <row r="43" spans="1:8">
      <c r="A43" s="83" t="s">
        <v>512</v>
      </c>
      <c r="B43" s="84"/>
      <c r="C43" s="84"/>
      <c r="D43" s="84"/>
      <c r="E43" s="85"/>
      <c r="F43" s="115">
        <f>+SALARIOS!C45</f>
        <v>0.15</v>
      </c>
      <c r="G43" s="116">
        <f>++F43*H40</f>
        <v>62875.470846189623</v>
      </c>
      <c r="H43" s="117"/>
    </row>
    <row r="44" spans="1:8">
      <c r="A44" s="83" t="s">
        <v>513</v>
      </c>
      <c r="B44" s="84"/>
      <c r="C44" s="84"/>
      <c r="D44" s="84"/>
      <c r="E44" s="85"/>
      <c r="F44" s="115">
        <f>+SALARIOS!C46</f>
        <v>0.05</v>
      </c>
      <c r="G44" s="116">
        <f>+F44*H40</f>
        <v>20958.490282063212</v>
      </c>
      <c r="H44" s="117"/>
    </row>
    <row r="45" spans="1:8" ht="15.75" thickBot="1">
      <c r="A45" s="89" t="s">
        <v>514</v>
      </c>
      <c r="B45" s="90"/>
      <c r="C45" s="90"/>
      <c r="D45" s="90"/>
      <c r="E45" s="91"/>
      <c r="F45" s="118">
        <f>+SALARIOS!C47</f>
        <v>0.05</v>
      </c>
      <c r="G45" s="119">
        <f>+F45*H40</f>
        <v>20958.490282063212</v>
      </c>
      <c r="H45" s="80"/>
    </row>
    <row r="46" spans="1:8" ht="15.75" thickBot="1">
      <c r="A46" s="61"/>
      <c r="B46" s="61"/>
      <c r="C46" s="61"/>
      <c r="D46" s="61"/>
      <c r="E46" s="61"/>
      <c r="F46" s="61"/>
      <c r="G46" s="81" t="s">
        <v>491</v>
      </c>
      <c r="H46" s="120">
        <f>SUM(G43:G45)</f>
        <v>104792.45141031605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523962</v>
      </c>
    </row>
  </sheetData>
  <mergeCells count="1">
    <mergeCell ref="A3:C4"/>
  </mergeCell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904</v>
      </c>
      <c r="H7" s="61"/>
    </row>
    <row r="8" spans="1:8">
      <c r="A8" s="60" t="s">
        <v>905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175" t="s">
        <v>1327</v>
      </c>
      <c r="B12" s="790"/>
      <c r="C12" s="791"/>
      <c r="D12" s="68"/>
      <c r="E12" s="86"/>
      <c r="F12" s="161"/>
      <c r="G12" s="71">
        <f>H38*10%</f>
        <v>5018.8848414442127</v>
      </c>
      <c r="H12" s="72"/>
    </row>
    <row r="13" spans="1:8">
      <c r="A13" s="175"/>
      <c r="B13" s="176"/>
      <c r="C13" s="174"/>
      <c r="D13" s="174"/>
      <c r="E13" s="173"/>
      <c r="F13" s="69"/>
      <c r="G13" s="173"/>
      <c r="H13" s="72"/>
    </row>
    <row r="14" spans="1:8">
      <c r="A14" s="241"/>
      <c r="B14" s="242"/>
      <c r="C14" s="243"/>
      <c r="D14" s="73"/>
      <c r="E14" s="74"/>
      <c r="F14" s="69"/>
      <c r="G14" s="71"/>
      <c r="H14" s="72"/>
    </row>
    <row r="15" spans="1:8">
      <c r="A15" s="241"/>
      <c r="B15" s="242"/>
      <c r="C15" s="243"/>
      <c r="D15" s="73"/>
      <c r="E15" s="74"/>
      <c r="F15" s="69"/>
      <c r="G15" s="71"/>
      <c r="H15" s="72"/>
    </row>
    <row r="16" spans="1:8">
      <c r="A16" s="241"/>
      <c r="B16" s="242"/>
      <c r="C16" s="243"/>
      <c r="D16" s="73"/>
      <c r="E16" s="74"/>
      <c r="F16" s="69"/>
      <c r="G16" s="71"/>
      <c r="H16" s="72"/>
    </row>
    <row r="17" spans="1:8" ht="15.75" thickBot="1">
      <c r="A17" s="244"/>
      <c r="B17" s="245"/>
      <c r="C17" s="246"/>
      <c r="D17" s="76"/>
      <c r="E17" s="77"/>
      <c r="F17" s="78"/>
      <c r="G17" s="79"/>
      <c r="H17" s="80"/>
    </row>
    <row r="18" spans="1:8" ht="15.75" thickBot="1">
      <c r="A18" s="61"/>
      <c r="B18" s="61"/>
      <c r="C18" s="61"/>
      <c r="D18" s="61"/>
      <c r="E18" s="61"/>
      <c r="F18" s="61"/>
      <c r="G18" s="81" t="s">
        <v>491</v>
      </c>
      <c r="H18" s="82">
        <f>SUM(G12:G17)</f>
        <v>5018.8848414442127</v>
      </c>
    </row>
    <row r="19" spans="1:8" ht="15.75" thickBot="1">
      <c r="A19" s="63" t="s">
        <v>492</v>
      </c>
      <c r="B19" s="63"/>
      <c r="C19" s="61"/>
      <c r="D19" s="61"/>
      <c r="E19" s="61"/>
      <c r="F19" s="61"/>
      <c r="G19" s="61"/>
      <c r="H19" s="61"/>
    </row>
    <row r="20" spans="1:8">
      <c r="A20" s="250" t="s">
        <v>485</v>
      </c>
      <c r="B20" s="251"/>
      <c r="C20" s="252"/>
      <c r="D20" s="252" t="s">
        <v>493</v>
      </c>
      <c r="E20" s="252" t="s">
        <v>494</v>
      </c>
      <c r="F20" s="252" t="s">
        <v>495</v>
      </c>
      <c r="G20" s="251" t="s">
        <v>489</v>
      </c>
      <c r="H20" s="67"/>
    </row>
    <row r="21" spans="1:8">
      <c r="A21" s="127" t="s">
        <v>889</v>
      </c>
      <c r="B21" s="84"/>
      <c r="C21" s="85"/>
      <c r="D21" s="141" t="s">
        <v>1</v>
      </c>
      <c r="E21" s="139">
        <f>+MATERIALES!D309</f>
        <v>421017.62769230769</v>
      </c>
      <c r="F21" s="163">
        <v>1</v>
      </c>
      <c r="G21" s="137">
        <f>+E21*F21</f>
        <v>421017.62769230769</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421017.62769230769</v>
      </c>
    </row>
    <row r="26" spans="1:8" ht="15.75" thickBot="1">
      <c r="A26" s="92" t="s">
        <v>496</v>
      </c>
      <c r="B26" s="92"/>
      <c r="C26" s="90"/>
      <c r="D26" s="61"/>
      <c r="E26" s="61"/>
      <c r="F26" s="61"/>
      <c r="G26" s="61"/>
      <c r="H26" s="61"/>
    </row>
    <row r="27" spans="1:8">
      <c r="A27" s="238" t="s">
        <v>497</v>
      </c>
      <c r="B27" s="240"/>
      <c r="C27" s="93" t="s">
        <v>498</v>
      </c>
      <c r="D27" s="240" t="s">
        <v>499</v>
      </c>
      <c r="E27" s="240" t="s">
        <v>500</v>
      </c>
      <c r="F27" s="2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38" t="s">
        <v>503</v>
      </c>
      <c r="B33" s="240"/>
      <c r="C33" s="240" t="s">
        <v>504</v>
      </c>
      <c r="D33" s="240" t="s">
        <v>505</v>
      </c>
      <c r="E33" s="124" t="s">
        <v>506</v>
      </c>
      <c r="F33" s="102" t="s">
        <v>488</v>
      </c>
      <c r="G33" s="239" t="s">
        <v>489</v>
      </c>
      <c r="H33" s="67"/>
    </row>
    <row r="34" spans="1:8">
      <c r="A34" s="83" t="s">
        <v>553</v>
      </c>
      <c r="B34" s="84"/>
      <c r="C34" s="103">
        <f>+SALARIOS!C49*2</f>
        <v>51144</v>
      </c>
      <c r="D34" s="104">
        <f>+SALARIOS!C48</f>
        <v>1.7846558312967005</v>
      </c>
      <c r="E34" s="69">
        <f>+C34*D34</f>
        <v>91274.437835838442</v>
      </c>
      <c r="F34" s="69">
        <v>3.3</v>
      </c>
      <c r="G34" s="105">
        <f>+E34/F34</f>
        <v>27658.920556314682</v>
      </c>
      <c r="H34" s="72"/>
    </row>
    <row r="35" spans="1:8">
      <c r="A35" s="83" t="s">
        <v>624</v>
      </c>
      <c r="B35" s="84"/>
      <c r="C35" s="103">
        <f>+SALARIOS!C50</f>
        <v>41660</v>
      </c>
      <c r="D35" s="104">
        <f>+SALARIOS!C48</f>
        <v>1.7846558312967005</v>
      </c>
      <c r="E35" s="69">
        <f>+C35*D35</f>
        <v>74348.76193182054</v>
      </c>
      <c r="F35" s="69">
        <v>3.3</v>
      </c>
      <c r="G35" s="105">
        <f>+E35/F35</f>
        <v>22529.927858127438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50188.848414442124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476225.36094819405</v>
      </c>
    </row>
    <row r="41" spans="1:8" ht="15.75" thickBot="1">
      <c r="A41" s="63" t="s">
        <v>509</v>
      </c>
      <c r="B41" s="63"/>
      <c r="C41" s="61"/>
      <c r="D41" s="61"/>
      <c r="E41" s="61"/>
      <c r="F41" s="61"/>
      <c r="G41" s="61"/>
      <c r="H41" s="61"/>
    </row>
    <row r="42" spans="1:8">
      <c r="A42" s="233" t="s">
        <v>485</v>
      </c>
      <c r="B42" s="251"/>
      <c r="C42" s="251"/>
      <c r="D42" s="251"/>
      <c r="E42" s="252"/>
      <c r="F42" s="252" t="s">
        <v>510</v>
      </c>
      <c r="G42" s="251" t="s">
        <v>511</v>
      </c>
      <c r="H42" s="67"/>
    </row>
    <row r="43" spans="1:8">
      <c r="A43" s="83" t="s">
        <v>512</v>
      </c>
      <c r="B43" s="84"/>
      <c r="C43" s="84"/>
      <c r="D43" s="84"/>
      <c r="E43" s="85"/>
      <c r="F43" s="115">
        <f>+SALARIOS!C45</f>
        <v>0.15</v>
      </c>
      <c r="G43" s="116">
        <f>++F43*H40</f>
        <v>71433.804142229099</v>
      </c>
      <c r="H43" s="117"/>
    </row>
    <row r="44" spans="1:8">
      <c r="A44" s="83" t="s">
        <v>513</v>
      </c>
      <c r="B44" s="84"/>
      <c r="C44" s="84"/>
      <c r="D44" s="84"/>
      <c r="E44" s="85"/>
      <c r="F44" s="115">
        <f>+SALARIOS!C46</f>
        <v>0.05</v>
      </c>
      <c r="G44" s="116">
        <f>+F44*H40</f>
        <v>23811.268047409703</v>
      </c>
      <c r="H44" s="117"/>
    </row>
    <row r="45" spans="1:8" ht="15.75" thickBot="1">
      <c r="A45" s="89" t="s">
        <v>514</v>
      </c>
      <c r="B45" s="90"/>
      <c r="C45" s="90"/>
      <c r="D45" s="90"/>
      <c r="E45" s="91"/>
      <c r="F45" s="118">
        <f>+SALARIOS!C47</f>
        <v>0.05</v>
      </c>
      <c r="G45" s="119">
        <f>+F45*H40</f>
        <v>23811.268047409703</v>
      </c>
      <c r="H45" s="80"/>
    </row>
    <row r="46" spans="1:8" ht="15.75" thickBot="1">
      <c r="A46" s="61"/>
      <c r="B46" s="61"/>
      <c r="C46" s="61"/>
      <c r="D46" s="61"/>
      <c r="E46" s="61"/>
      <c r="F46" s="61"/>
      <c r="G46" s="81" t="s">
        <v>491</v>
      </c>
      <c r="H46" s="120">
        <f>SUM(G43:G45)</f>
        <v>119056.3402370485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595282</v>
      </c>
    </row>
  </sheetData>
  <mergeCells count="1">
    <mergeCell ref="A3:C4"/>
  </mergeCell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47" t="s">
        <v>520</v>
      </c>
      <c r="B5" s="248"/>
      <c r="C5" s="249"/>
      <c r="D5" s="235"/>
      <c r="E5" s="236"/>
      <c r="F5" s="236"/>
      <c r="G5" s="236"/>
      <c r="H5" s="237"/>
    </row>
    <row r="6" spans="1:8">
      <c r="A6" s="60"/>
      <c r="B6" s="61"/>
      <c r="C6" s="61"/>
      <c r="D6" s="61"/>
      <c r="E6" s="61"/>
      <c r="F6" s="61"/>
      <c r="G6" s="61"/>
      <c r="H6" s="61"/>
    </row>
    <row r="7" spans="1:8">
      <c r="A7" s="60" t="s">
        <v>886</v>
      </c>
      <c r="B7" s="62"/>
      <c r="C7" s="61"/>
      <c r="D7" s="16"/>
      <c r="E7" s="62"/>
      <c r="F7" s="16"/>
      <c r="G7" s="62" t="s">
        <v>906</v>
      </c>
      <c r="H7" s="61"/>
    </row>
    <row r="8" spans="1:8">
      <c r="A8" s="60" t="s">
        <v>907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38" t="s">
        <v>485</v>
      </c>
      <c r="B11" s="239"/>
      <c r="C11" s="240"/>
      <c r="D11" s="240" t="s">
        <v>486</v>
      </c>
      <c r="E11" s="65" t="s">
        <v>487</v>
      </c>
      <c r="F11" s="240" t="s">
        <v>488</v>
      </c>
      <c r="G11" s="239" t="s">
        <v>489</v>
      </c>
      <c r="H11" s="67"/>
    </row>
    <row r="12" spans="1:8">
      <c r="A12" s="234" t="s">
        <v>14</v>
      </c>
      <c r="B12" s="253"/>
      <c r="C12" s="254"/>
      <c r="D12" s="68" t="s">
        <v>6</v>
      </c>
      <c r="E12" s="86">
        <f>+'EQUIPOS '!D10</f>
        <v>87000</v>
      </c>
      <c r="F12" s="161">
        <v>10</v>
      </c>
      <c r="G12" s="71">
        <f>+E12/F12</f>
        <v>8700</v>
      </c>
      <c r="H12" s="72"/>
    </row>
    <row r="13" spans="1:8">
      <c r="A13" s="175" t="s">
        <v>1327</v>
      </c>
      <c r="B13" s="790"/>
      <c r="C13" s="791"/>
      <c r="D13" s="68"/>
      <c r="E13" s="86"/>
      <c r="F13" s="161"/>
      <c r="G13" s="71">
        <f>H38*10%</f>
        <v>5342.6838634728701</v>
      </c>
      <c r="H13" s="72"/>
    </row>
    <row r="14" spans="1:8">
      <c r="A14" s="241"/>
      <c r="B14" s="242"/>
      <c r="C14" s="243"/>
      <c r="D14" s="73"/>
      <c r="E14" s="74"/>
      <c r="F14" s="69"/>
      <c r="G14" s="71"/>
      <c r="H14" s="72"/>
    </row>
    <row r="15" spans="1:8">
      <c r="A15" s="241"/>
      <c r="B15" s="242"/>
      <c r="C15" s="243"/>
      <c r="D15" s="73"/>
      <c r="E15" s="74"/>
      <c r="F15" s="69"/>
      <c r="G15" s="71"/>
      <c r="H15" s="72"/>
    </row>
    <row r="16" spans="1:8">
      <c r="A16" s="241"/>
      <c r="B16" s="242"/>
      <c r="C16" s="243"/>
      <c r="D16" s="73"/>
      <c r="E16" s="74"/>
      <c r="F16" s="69"/>
      <c r="G16" s="71"/>
      <c r="H16" s="72"/>
    </row>
    <row r="17" spans="1:8" ht="15.75" thickBot="1">
      <c r="A17" s="244"/>
      <c r="B17" s="245"/>
      <c r="C17" s="246"/>
      <c r="D17" s="76"/>
      <c r="E17" s="77"/>
      <c r="F17" s="78"/>
      <c r="G17" s="79"/>
      <c r="H17" s="80"/>
    </row>
    <row r="18" spans="1:8" ht="15.75" thickBot="1">
      <c r="A18" s="61"/>
      <c r="B18" s="61"/>
      <c r="C18" s="61"/>
      <c r="D18" s="61"/>
      <c r="E18" s="61"/>
      <c r="F18" s="61"/>
      <c r="G18" s="81" t="s">
        <v>491</v>
      </c>
      <c r="H18" s="82">
        <f>SUM(G12:G17)</f>
        <v>14042.68386347287</v>
      </c>
    </row>
    <row r="19" spans="1:8" ht="15.75" thickBot="1">
      <c r="A19" s="63" t="s">
        <v>492</v>
      </c>
      <c r="B19" s="63"/>
      <c r="C19" s="61"/>
      <c r="D19" s="61"/>
      <c r="E19" s="61"/>
      <c r="F19" s="61"/>
      <c r="G19" s="61"/>
      <c r="H19" s="61"/>
    </row>
    <row r="20" spans="1:8">
      <c r="A20" s="250" t="s">
        <v>485</v>
      </c>
      <c r="B20" s="251"/>
      <c r="C20" s="252"/>
      <c r="D20" s="252" t="s">
        <v>493</v>
      </c>
      <c r="E20" s="252" t="s">
        <v>494</v>
      </c>
      <c r="F20" s="252" t="s">
        <v>495</v>
      </c>
      <c r="G20" s="251" t="s">
        <v>489</v>
      </c>
      <c r="H20" s="67"/>
    </row>
    <row r="21" spans="1:8">
      <c r="A21" s="127" t="s">
        <v>891</v>
      </c>
      <c r="B21" s="84"/>
      <c r="C21" s="85"/>
      <c r="D21" s="141" t="s">
        <v>1</v>
      </c>
      <c r="E21" s="139">
        <f>+MATERIALES!D310</f>
        <v>548459.59999999986</v>
      </c>
      <c r="F21" s="163">
        <v>1</v>
      </c>
      <c r="G21" s="137">
        <f>+E21*F21</f>
        <v>548459.59999999986</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548459.59999999986</v>
      </c>
    </row>
    <row r="26" spans="1:8" ht="15.75" thickBot="1">
      <c r="A26" s="92" t="s">
        <v>496</v>
      </c>
      <c r="B26" s="92"/>
      <c r="C26" s="90"/>
      <c r="D26" s="61"/>
      <c r="E26" s="61"/>
      <c r="F26" s="61"/>
      <c r="G26" s="61"/>
      <c r="H26" s="61"/>
    </row>
    <row r="27" spans="1:8">
      <c r="A27" s="238" t="s">
        <v>497</v>
      </c>
      <c r="B27" s="240"/>
      <c r="C27" s="93" t="s">
        <v>498</v>
      </c>
      <c r="D27" s="240" t="s">
        <v>499</v>
      </c>
      <c r="E27" s="240" t="s">
        <v>500</v>
      </c>
      <c r="F27" s="2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38" t="s">
        <v>503</v>
      </c>
      <c r="B33" s="240"/>
      <c r="C33" s="240" t="s">
        <v>504</v>
      </c>
      <c r="D33" s="240" t="s">
        <v>505</v>
      </c>
      <c r="E33" s="124" t="s">
        <v>506</v>
      </c>
      <c r="F33" s="102" t="s">
        <v>488</v>
      </c>
      <c r="G33" s="239" t="s">
        <v>489</v>
      </c>
      <c r="H33" s="67"/>
    </row>
    <row r="34" spans="1:8">
      <c r="A34" s="83" t="s">
        <v>553</v>
      </c>
      <c r="B34" s="84"/>
      <c r="C34" s="103">
        <f>+SALARIOS!C49*2</f>
        <v>51144</v>
      </c>
      <c r="D34" s="104">
        <f>+SALARIOS!C48</f>
        <v>1.7846558312967005</v>
      </c>
      <c r="E34" s="69">
        <f>+C34*D34</f>
        <v>91274.437835838442</v>
      </c>
      <c r="F34" s="69">
        <v>3.1</v>
      </c>
      <c r="G34" s="105">
        <f>+E34/F34</f>
        <v>29443.367043818853</v>
      </c>
      <c r="H34" s="72"/>
    </row>
    <row r="35" spans="1:8">
      <c r="A35" s="83" t="s">
        <v>624</v>
      </c>
      <c r="B35" s="84"/>
      <c r="C35" s="103">
        <f>+SALARIOS!C50</f>
        <v>41660</v>
      </c>
      <c r="D35" s="104">
        <f>+SALARIOS!C48</f>
        <v>1.7846558312967005</v>
      </c>
      <c r="E35" s="69">
        <f>+C35*D35</f>
        <v>74348.76193182054</v>
      </c>
      <c r="F35" s="69">
        <v>3.1</v>
      </c>
      <c r="G35" s="105">
        <f>+E35/F35</f>
        <v>23983.471590909852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53426.838634728701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615929.12249820144</v>
      </c>
    </row>
    <row r="41" spans="1:8" ht="15.75" thickBot="1">
      <c r="A41" s="63" t="s">
        <v>509</v>
      </c>
      <c r="B41" s="63"/>
      <c r="C41" s="61"/>
      <c r="D41" s="61"/>
      <c r="E41" s="61"/>
      <c r="F41" s="61"/>
      <c r="G41" s="61"/>
      <c r="H41" s="61"/>
    </row>
    <row r="42" spans="1:8">
      <c r="A42" s="233" t="s">
        <v>485</v>
      </c>
      <c r="B42" s="251"/>
      <c r="C42" s="251"/>
      <c r="D42" s="251"/>
      <c r="E42" s="252"/>
      <c r="F42" s="252" t="s">
        <v>510</v>
      </c>
      <c r="G42" s="251" t="s">
        <v>511</v>
      </c>
      <c r="H42" s="67"/>
    </row>
    <row r="43" spans="1:8">
      <c r="A43" s="83" t="s">
        <v>512</v>
      </c>
      <c r="B43" s="84"/>
      <c r="C43" s="84"/>
      <c r="D43" s="84"/>
      <c r="E43" s="85"/>
      <c r="F43" s="115">
        <f>+SALARIOS!C45</f>
        <v>0.15</v>
      </c>
      <c r="G43" s="116">
        <f>++F43*H40</f>
        <v>92389.368374730213</v>
      </c>
      <c r="H43" s="117"/>
    </row>
    <row r="44" spans="1:8">
      <c r="A44" s="83" t="s">
        <v>513</v>
      </c>
      <c r="B44" s="84"/>
      <c r="C44" s="84"/>
      <c r="D44" s="84"/>
      <c r="E44" s="85"/>
      <c r="F44" s="115">
        <f>+SALARIOS!C46</f>
        <v>0.05</v>
      </c>
      <c r="G44" s="116">
        <f>+F44*H40</f>
        <v>30796.456124910073</v>
      </c>
      <c r="H44" s="117"/>
    </row>
    <row r="45" spans="1:8" ht="15.75" thickBot="1">
      <c r="A45" s="89" t="s">
        <v>514</v>
      </c>
      <c r="B45" s="90"/>
      <c r="C45" s="90"/>
      <c r="D45" s="90"/>
      <c r="E45" s="91"/>
      <c r="F45" s="118">
        <f>+SALARIOS!C47</f>
        <v>0.05</v>
      </c>
      <c r="G45" s="119">
        <f>+F45*H40</f>
        <v>30796.456124910073</v>
      </c>
      <c r="H45" s="80"/>
    </row>
    <row r="46" spans="1:8" ht="15.75" thickBot="1">
      <c r="A46" s="61"/>
      <c r="B46" s="61"/>
      <c r="C46" s="61"/>
      <c r="D46" s="61"/>
      <c r="E46" s="61"/>
      <c r="F46" s="61"/>
      <c r="G46" s="81" t="s">
        <v>491</v>
      </c>
      <c r="H46" s="120">
        <f>SUM(G43:G45)</f>
        <v>153982.28062455036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769911</v>
      </c>
    </row>
  </sheetData>
  <mergeCells count="1">
    <mergeCell ref="A3:C4"/>
  </mergeCell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55" t="s">
        <v>520</v>
      </c>
      <c r="B5" s="256"/>
      <c r="C5" s="257"/>
      <c r="D5" s="261"/>
      <c r="E5" s="262"/>
      <c r="F5" s="262"/>
      <c r="G5" s="262"/>
      <c r="H5" s="263"/>
    </row>
    <row r="6" spans="1:8">
      <c r="A6" s="60"/>
      <c r="B6" s="61"/>
      <c r="C6" s="61"/>
      <c r="D6" s="61"/>
      <c r="E6" s="61"/>
      <c r="F6" s="61"/>
      <c r="G6" s="61"/>
      <c r="H6" s="61"/>
    </row>
    <row r="7" spans="1:8">
      <c r="A7" s="60" t="s">
        <v>886</v>
      </c>
      <c r="B7" s="62"/>
      <c r="C7" s="61"/>
      <c r="D7" s="16"/>
      <c r="E7" s="62"/>
      <c r="F7" s="16"/>
      <c r="G7" s="62" t="s">
        <v>908</v>
      </c>
      <c r="H7" s="61"/>
    </row>
    <row r="8" spans="1:8">
      <c r="A8" s="60" t="s">
        <v>909</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58" t="s">
        <v>485</v>
      </c>
      <c r="B11" s="259"/>
      <c r="C11" s="260"/>
      <c r="D11" s="260" t="s">
        <v>486</v>
      </c>
      <c r="E11" s="65" t="s">
        <v>487</v>
      </c>
      <c r="F11" s="260" t="s">
        <v>488</v>
      </c>
      <c r="G11" s="259" t="s">
        <v>489</v>
      </c>
      <c r="H11" s="67"/>
    </row>
    <row r="12" spans="1:8">
      <c r="A12" s="234" t="s">
        <v>14</v>
      </c>
      <c r="B12" s="273"/>
      <c r="C12" s="274"/>
      <c r="D12" s="68" t="s">
        <v>6</v>
      </c>
      <c r="E12" s="86">
        <f>+'EQUIPOS '!D10</f>
        <v>87000</v>
      </c>
      <c r="F12" s="161">
        <v>10</v>
      </c>
      <c r="G12" s="71">
        <f>+E12/F12</f>
        <v>8700</v>
      </c>
      <c r="H12" s="72"/>
    </row>
    <row r="13" spans="1:8">
      <c r="A13" s="175" t="s">
        <v>1327</v>
      </c>
      <c r="B13" s="790"/>
      <c r="C13" s="791"/>
      <c r="D13" s="68"/>
      <c r="E13" s="86"/>
      <c r="F13" s="161"/>
      <c r="G13" s="71">
        <f>H38*10%</f>
        <v>5915.1142774163927</v>
      </c>
      <c r="H13" s="72"/>
    </row>
    <row r="14" spans="1:8">
      <c r="A14" s="264"/>
      <c r="B14" s="265"/>
      <c r="C14" s="266"/>
      <c r="D14" s="73"/>
      <c r="E14" s="74"/>
      <c r="F14" s="69"/>
      <c r="G14" s="71"/>
      <c r="H14" s="72"/>
    </row>
    <row r="15" spans="1:8">
      <c r="A15" s="264"/>
      <c r="B15" s="265"/>
      <c r="C15" s="266"/>
      <c r="D15" s="73"/>
      <c r="E15" s="74"/>
      <c r="F15" s="69"/>
      <c r="G15" s="71"/>
      <c r="H15" s="72"/>
    </row>
    <row r="16" spans="1:8">
      <c r="A16" s="264"/>
      <c r="B16" s="265"/>
      <c r="C16" s="266"/>
      <c r="D16" s="73"/>
      <c r="E16" s="74"/>
      <c r="F16" s="69"/>
      <c r="G16" s="71"/>
      <c r="H16" s="72"/>
    </row>
    <row r="17" spans="1:8" ht="15.75" thickBot="1">
      <c r="A17" s="267"/>
      <c r="B17" s="268"/>
      <c r="C17" s="269"/>
      <c r="D17" s="76"/>
      <c r="E17" s="77"/>
      <c r="F17" s="78"/>
      <c r="G17" s="79"/>
      <c r="H17" s="80"/>
    </row>
    <row r="18" spans="1:8" ht="15.75" thickBot="1">
      <c r="A18" s="61"/>
      <c r="B18" s="61"/>
      <c r="C18" s="61"/>
      <c r="D18" s="61"/>
      <c r="E18" s="61"/>
      <c r="F18" s="61"/>
      <c r="G18" s="81" t="s">
        <v>491</v>
      </c>
      <c r="H18" s="82">
        <f>SUM(G12:G17)</f>
        <v>14615.114277416393</v>
      </c>
    </row>
    <row r="19" spans="1:8" ht="15.75" thickBot="1">
      <c r="A19" s="63" t="s">
        <v>492</v>
      </c>
      <c r="B19" s="63"/>
      <c r="C19" s="61"/>
      <c r="D19" s="61"/>
      <c r="E19" s="61"/>
      <c r="F19" s="61"/>
      <c r="G19" s="61"/>
      <c r="H19" s="61"/>
    </row>
    <row r="20" spans="1:8">
      <c r="A20" s="270" t="s">
        <v>485</v>
      </c>
      <c r="B20" s="271"/>
      <c r="C20" s="272"/>
      <c r="D20" s="272" t="s">
        <v>493</v>
      </c>
      <c r="E20" s="272" t="s">
        <v>494</v>
      </c>
      <c r="F20" s="272" t="s">
        <v>495</v>
      </c>
      <c r="G20" s="271" t="s">
        <v>489</v>
      </c>
      <c r="H20" s="67"/>
    </row>
    <row r="21" spans="1:8">
      <c r="A21" s="127" t="s">
        <v>893</v>
      </c>
      <c r="B21" s="84"/>
      <c r="C21" s="85"/>
      <c r="D21" s="141" t="s">
        <v>1</v>
      </c>
      <c r="E21" s="139">
        <f>+MATERIALES!D311</f>
        <v>676568.03692307696</v>
      </c>
      <c r="F21" s="163">
        <v>1</v>
      </c>
      <c r="G21" s="137">
        <f>+E21*F21</f>
        <v>676568.03692307696</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676568.03692307696</v>
      </c>
    </row>
    <row r="26" spans="1:8" ht="15.75" thickBot="1">
      <c r="A26" s="92" t="s">
        <v>496</v>
      </c>
      <c r="B26" s="92"/>
      <c r="C26" s="90"/>
      <c r="D26" s="61"/>
      <c r="E26" s="61"/>
      <c r="F26" s="61"/>
      <c r="G26" s="61"/>
      <c r="H26" s="61"/>
    </row>
    <row r="27" spans="1:8">
      <c r="A27" s="258" t="s">
        <v>497</v>
      </c>
      <c r="B27" s="260"/>
      <c r="C27" s="93" t="s">
        <v>498</v>
      </c>
      <c r="D27" s="260" t="s">
        <v>499</v>
      </c>
      <c r="E27" s="260" t="s">
        <v>500</v>
      </c>
      <c r="F27" s="2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58" t="s">
        <v>503</v>
      </c>
      <c r="B33" s="260"/>
      <c r="C33" s="260" t="s">
        <v>504</v>
      </c>
      <c r="D33" s="260" t="s">
        <v>505</v>
      </c>
      <c r="E33" s="124" t="s">
        <v>506</v>
      </c>
      <c r="F33" s="102" t="s">
        <v>488</v>
      </c>
      <c r="G33" s="259" t="s">
        <v>489</v>
      </c>
      <c r="H33" s="67"/>
    </row>
    <row r="34" spans="1:8">
      <c r="A34" s="83" t="s">
        <v>553</v>
      </c>
      <c r="B34" s="84"/>
      <c r="C34" s="103">
        <f>+SALARIOS!C49*2</f>
        <v>51144</v>
      </c>
      <c r="D34" s="104">
        <f>+SALARIOS!C48</f>
        <v>1.7846558312967005</v>
      </c>
      <c r="E34" s="69">
        <f>+C34*D34</f>
        <v>91274.437835838442</v>
      </c>
      <c r="F34" s="69">
        <v>2.8</v>
      </c>
      <c r="G34" s="105">
        <f>+E34/F34</f>
        <v>32598.013512799447</v>
      </c>
      <c r="H34" s="72"/>
    </row>
    <row r="35" spans="1:8">
      <c r="A35" s="83" t="s">
        <v>624</v>
      </c>
      <c r="B35" s="84"/>
      <c r="C35" s="103">
        <f>+SALARIOS!C50</f>
        <v>41660</v>
      </c>
      <c r="D35" s="104">
        <f>+SALARIOS!C48</f>
        <v>1.7846558312967005</v>
      </c>
      <c r="E35" s="69">
        <f>+C35*D35</f>
        <v>74348.76193182054</v>
      </c>
      <c r="F35" s="69">
        <v>2.8</v>
      </c>
      <c r="G35" s="105">
        <f>+E35/F35</f>
        <v>26553.12926136448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59151.142774163927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750334.29397465731</v>
      </c>
    </row>
    <row r="41" spans="1:8" ht="15.75" thickBot="1">
      <c r="A41" s="63" t="s">
        <v>509</v>
      </c>
      <c r="B41" s="63"/>
      <c r="C41" s="61"/>
      <c r="D41" s="61"/>
      <c r="E41" s="61"/>
      <c r="F41" s="61"/>
      <c r="G41" s="61"/>
      <c r="H41" s="61"/>
    </row>
    <row r="42" spans="1:8">
      <c r="A42" s="233" t="s">
        <v>485</v>
      </c>
      <c r="B42" s="271"/>
      <c r="C42" s="271"/>
      <c r="D42" s="271"/>
      <c r="E42" s="272"/>
      <c r="F42" s="272" t="s">
        <v>510</v>
      </c>
      <c r="G42" s="271" t="s">
        <v>511</v>
      </c>
      <c r="H42" s="67"/>
    </row>
    <row r="43" spans="1:8">
      <c r="A43" s="83" t="s">
        <v>512</v>
      </c>
      <c r="B43" s="84"/>
      <c r="C43" s="84"/>
      <c r="D43" s="84"/>
      <c r="E43" s="85"/>
      <c r="F43" s="115">
        <f>+SALARIOS!C45</f>
        <v>0.15</v>
      </c>
      <c r="G43" s="116">
        <f>++F43*H40</f>
        <v>112550.14409619859</v>
      </c>
      <c r="H43" s="117"/>
    </row>
    <row r="44" spans="1:8">
      <c r="A44" s="83" t="s">
        <v>513</v>
      </c>
      <c r="B44" s="84"/>
      <c r="C44" s="84"/>
      <c r="D44" s="84"/>
      <c r="E44" s="85"/>
      <c r="F44" s="115">
        <f>+SALARIOS!C46</f>
        <v>0.05</v>
      </c>
      <c r="G44" s="116">
        <f>+F44*H40</f>
        <v>37516.714698732867</v>
      </c>
      <c r="H44" s="117"/>
    </row>
    <row r="45" spans="1:8" ht="15.75" thickBot="1">
      <c r="A45" s="89" t="s">
        <v>514</v>
      </c>
      <c r="B45" s="90"/>
      <c r="C45" s="90"/>
      <c r="D45" s="90"/>
      <c r="E45" s="91"/>
      <c r="F45" s="118">
        <f>+SALARIOS!C47</f>
        <v>0.05</v>
      </c>
      <c r="G45" s="119">
        <f>+F45*H40</f>
        <v>37516.714698732867</v>
      </c>
      <c r="H45" s="80"/>
    </row>
    <row r="46" spans="1:8" ht="15.75" thickBot="1">
      <c r="A46" s="61"/>
      <c r="B46" s="61"/>
      <c r="C46" s="61"/>
      <c r="D46" s="61"/>
      <c r="E46" s="61"/>
      <c r="F46" s="61"/>
      <c r="G46" s="81" t="s">
        <v>491</v>
      </c>
      <c r="H46" s="120">
        <f>SUM(G43:G45)</f>
        <v>187583.57349366433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937918</v>
      </c>
    </row>
  </sheetData>
  <mergeCells count="1">
    <mergeCell ref="A3:C4"/>
  </mergeCell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55" t="s">
        <v>520</v>
      </c>
      <c r="B5" s="256"/>
      <c r="C5" s="257"/>
      <c r="D5" s="261"/>
      <c r="E5" s="262"/>
      <c r="F5" s="262"/>
      <c r="G5" s="262"/>
      <c r="H5" s="263"/>
    </row>
    <row r="6" spans="1:8">
      <c r="A6" s="60"/>
      <c r="B6" s="61"/>
      <c r="C6" s="61"/>
      <c r="D6" s="61"/>
      <c r="E6" s="61"/>
      <c r="F6" s="61"/>
      <c r="G6" s="61"/>
      <c r="H6" s="61"/>
    </row>
    <row r="7" spans="1:8">
      <c r="A7" s="60" t="s">
        <v>886</v>
      </c>
      <c r="B7" s="62"/>
      <c r="C7" s="61"/>
      <c r="D7" s="16"/>
      <c r="E7" s="62"/>
      <c r="F7" s="16"/>
      <c r="G7" s="62" t="s">
        <v>910</v>
      </c>
      <c r="H7" s="61"/>
    </row>
    <row r="8" spans="1:8">
      <c r="A8" s="60" t="s">
        <v>911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58" t="s">
        <v>485</v>
      </c>
      <c r="B11" s="259"/>
      <c r="C11" s="260"/>
      <c r="D11" s="260" t="s">
        <v>486</v>
      </c>
      <c r="E11" s="65" t="s">
        <v>487</v>
      </c>
      <c r="F11" s="260" t="s">
        <v>488</v>
      </c>
      <c r="G11" s="259" t="s">
        <v>489</v>
      </c>
      <c r="H11" s="67"/>
    </row>
    <row r="12" spans="1:8">
      <c r="A12" s="234" t="s">
        <v>14</v>
      </c>
      <c r="B12" s="273"/>
      <c r="C12" s="274"/>
      <c r="D12" s="68" t="s">
        <v>6</v>
      </c>
      <c r="E12" s="86">
        <f>+'EQUIPOS '!D10</f>
        <v>87000</v>
      </c>
      <c r="F12" s="161">
        <v>10</v>
      </c>
      <c r="G12" s="71">
        <f>+E12/F12</f>
        <v>8700</v>
      </c>
      <c r="H12" s="72"/>
    </row>
    <row r="13" spans="1:8">
      <c r="A13" s="175" t="s">
        <v>1327</v>
      </c>
      <c r="B13" s="790"/>
      <c r="C13" s="791"/>
      <c r="D13" s="68"/>
      <c r="E13" s="86"/>
      <c r="F13" s="161"/>
      <c r="G13" s="71">
        <f>H38*10%</f>
        <v>6624.9279907063583</v>
      </c>
      <c r="H13" s="72"/>
    </row>
    <row r="14" spans="1:8">
      <c r="A14" s="264"/>
      <c r="B14" s="265"/>
      <c r="C14" s="266"/>
      <c r="D14" s="73"/>
      <c r="E14" s="74"/>
      <c r="F14" s="69"/>
      <c r="G14" s="71"/>
      <c r="H14" s="72"/>
    </row>
    <row r="15" spans="1:8">
      <c r="A15" s="264"/>
      <c r="B15" s="265"/>
      <c r="C15" s="266"/>
      <c r="D15" s="73"/>
      <c r="E15" s="74"/>
      <c r="F15" s="69"/>
      <c r="G15" s="71"/>
      <c r="H15" s="72"/>
    </row>
    <row r="16" spans="1:8">
      <c r="A16" s="264"/>
      <c r="B16" s="265"/>
      <c r="C16" s="266"/>
      <c r="D16" s="73"/>
      <c r="E16" s="74"/>
      <c r="F16" s="69"/>
      <c r="G16" s="71"/>
      <c r="H16" s="72"/>
    </row>
    <row r="17" spans="1:8" ht="15.75" thickBot="1">
      <c r="A17" s="267"/>
      <c r="B17" s="268"/>
      <c r="C17" s="269"/>
      <c r="D17" s="76"/>
      <c r="E17" s="77"/>
      <c r="F17" s="78"/>
      <c r="G17" s="79"/>
      <c r="H17" s="80"/>
    </row>
    <row r="18" spans="1:8" ht="15.75" thickBot="1">
      <c r="A18" s="61"/>
      <c r="B18" s="61"/>
      <c r="C18" s="61"/>
      <c r="D18" s="61"/>
      <c r="E18" s="61"/>
      <c r="F18" s="61"/>
      <c r="G18" s="81" t="s">
        <v>491</v>
      </c>
      <c r="H18" s="82">
        <f>SUM(G12:G17)</f>
        <v>15324.927990706357</v>
      </c>
    </row>
    <row r="19" spans="1:8" ht="15.75" thickBot="1">
      <c r="A19" s="63" t="s">
        <v>492</v>
      </c>
      <c r="B19" s="63"/>
      <c r="C19" s="61"/>
      <c r="D19" s="61"/>
      <c r="E19" s="61"/>
      <c r="F19" s="61"/>
      <c r="G19" s="61"/>
      <c r="H19" s="61"/>
    </row>
    <row r="20" spans="1:8">
      <c r="A20" s="270" t="s">
        <v>485</v>
      </c>
      <c r="B20" s="271"/>
      <c r="C20" s="272"/>
      <c r="D20" s="272" t="s">
        <v>493</v>
      </c>
      <c r="E20" s="272" t="s">
        <v>494</v>
      </c>
      <c r="F20" s="272" t="s">
        <v>495</v>
      </c>
      <c r="G20" s="271" t="s">
        <v>489</v>
      </c>
      <c r="H20" s="67"/>
    </row>
    <row r="21" spans="1:8">
      <c r="A21" s="127" t="s">
        <v>895</v>
      </c>
      <c r="B21" s="84"/>
      <c r="C21" s="85"/>
      <c r="D21" s="141" t="s">
        <v>1</v>
      </c>
      <c r="E21" s="139">
        <f>+MATERIALES!D312</f>
        <v>985130.98153846152</v>
      </c>
      <c r="F21" s="163">
        <v>1</v>
      </c>
      <c r="G21" s="137">
        <f>+E21*F21</f>
        <v>985130.98153846152</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985130.98153846152</v>
      </c>
    </row>
    <row r="26" spans="1:8" ht="15.75" thickBot="1">
      <c r="A26" s="92" t="s">
        <v>496</v>
      </c>
      <c r="B26" s="92"/>
      <c r="C26" s="90"/>
      <c r="D26" s="61"/>
      <c r="E26" s="61"/>
      <c r="F26" s="61"/>
      <c r="G26" s="61"/>
      <c r="H26" s="61"/>
    </row>
    <row r="27" spans="1:8">
      <c r="A27" s="258" t="s">
        <v>497</v>
      </c>
      <c r="B27" s="260"/>
      <c r="C27" s="93" t="s">
        <v>498</v>
      </c>
      <c r="D27" s="260" t="s">
        <v>499</v>
      </c>
      <c r="E27" s="260" t="s">
        <v>500</v>
      </c>
      <c r="F27" s="2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58" t="s">
        <v>503</v>
      </c>
      <c r="B33" s="260"/>
      <c r="C33" s="260" t="s">
        <v>504</v>
      </c>
      <c r="D33" s="260" t="s">
        <v>505</v>
      </c>
      <c r="E33" s="124" t="s">
        <v>506</v>
      </c>
      <c r="F33" s="102" t="s">
        <v>488</v>
      </c>
      <c r="G33" s="259" t="s">
        <v>489</v>
      </c>
      <c r="H33" s="67"/>
    </row>
    <row r="34" spans="1:8">
      <c r="A34" s="83" t="s">
        <v>553</v>
      </c>
      <c r="B34" s="84"/>
      <c r="C34" s="103">
        <f>+SALARIOS!C49*2</f>
        <v>51144</v>
      </c>
      <c r="D34" s="104">
        <f>+SALARIOS!C48</f>
        <v>1.7846558312967005</v>
      </c>
      <c r="E34" s="69">
        <f>+C34*D34</f>
        <v>91274.437835838442</v>
      </c>
      <c r="F34" s="69">
        <v>2.5</v>
      </c>
      <c r="G34" s="105">
        <f>+E34/F34</f>
        <v>36509.775134335374</v>
      </c>
      <c r="H34" s="72"/>
    </row>
    <row r="35" spans="1:8">
      <c r="A35" s="83" t="s">
        <v>624</v>
      </c>
      <c r="B35" s="84"/>
      <c r="C35" s="103">
        <f>+SALARIOS!C50</f>
        <v>41660</v>
      </c>
      <c r="D35" s="104">
        <f>+SALARIOS!C48</f>
        <v>1.7846558312967005</v>
      </c>
      <c r="E35" s="69">
        <f>+C35*D35</f>
        <v>74348.76193182054</v>
      </c>
      <c r="F35" s="69">
        <v>2.5</v>
      </c>
      <c r="G35" s="105">
        <f>+E35/F35</f>
        <v>29739.504772728214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66249.279907063581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1066705.1894362315</v>
      </c>
    </row>
    <row r="41" spans="1:8" ht="15.75" thickBot="1">
      <c r="A41" s="63" t="s">
        <v>509</v>
      </c>
      <c r="B41" s="63"/>
      <c r="C41" s="61"/>
      <c r="D41" s="61"/>
      <c r="E41" s="61"/>
      <c r="F41" s="61"/>
      <c r="G41" s="61"/>
      <c r="H41" s="61"/>
    </row>
    <row r="42" spans="1:8">
      <c r="A42" s="233" t="s">
        <v>485</v>
      </c>
      <c r="B42" s="271"/>
      <c r="C42" s="271"/>
      <c r="D42" s="271"/>
      <c r="E42" s="272"/>
      <c r="F42" s="272" t="s">
        <v>510</v>
      </c>
      <c r="G42" s="271" t="s">
        <v>511</v>
      </c>
      <c r="H42" s="67"/>
    </row>
    <row r="43" spans="1:8">
      <c r="A43" s="83" t="s">
        <v>512</v>
      </c>
      <c r="B43" s="84"/>
      <c r="C43" s="84"/>
      <c r="D43" s="84"/>
      <c r="E43" s="85"/>
      <c r="F43" s="115">
        <f>+SALARIOS!C45</f>
        <v>0.15</v>
      </c>
      <c r="G43" s="116">
        <f>++F43*H40</f>
        <v>160005.77841543473</v>
      </c>
      <c r="H43" s="117"/>
    </row>
    <row r="44" spans="1:8">
      <c r="A44" s="83" t="s">
        <v>513</v>
      </c>
      <c r="B44" s="84"/>
      <c r="C44" s="84"/>
      <c r="D44" s="84"/>
      <c r="E44" s="85"/>
      <c r="F44" s="115">
        <f>+SALARIOS!C46</f>
        <v>0.05</v>
      </c>
      <c r="G44" s="116">
        <f>+F44*H40</f>
        <v>53335.25947181158</v>
      </c>
      <c r="H44" s="117"/>
    </row>
    <row r="45" spans="1:8" ht="15.75" thickBot="1">
      <c r="A45" s="89" t="s">
        <v>514</v>
      </c>
      <c r="B45" s="90"/>
      <c r="C45" s="90"/>
      <c r="D45" s="90"/>
      <c r="E45" s="91"/>
      <c r="F45" s="118">
        <f>+SALARIOS!C47</f>
        <v>0.05</v>
      </c>
      <c r="G45" s="119">
        <f>+F45*H40</f>
        <v>53335.25947181158</v>
      </c>
      <c r="H45" s="80"/>
    </row>
    <row r="46" spans="1:8" ht="15.75" thickBot="1">
      <c r="A46" s="61"/>
      <c r="B46" s="61"/>
      <c r="C46" s="61"/>
      <c r="D46" s="61"/>
      <c r="E46" s="61"/>
      <c r="F46" s="61"/>
      <c r="G46" s="81" t="s">
        <v>491</v>
      </c>
      <c r="H46" s="120">
        <f>SUM(G43:G45)</f>
        <v>266676.29735905788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1333381</v>
      </c>
    </row>
  </sheetData>
  <mergeCells count="1">
    <mergeCell ref="A3:C4"/>
  </mergeCell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H48"/>
  <sheetViews>
    <sheetView workbookViewId="0">
      <selection activeCell="F36" sqref="F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55" t="s">
        <v>520</v>
      </c>
      <c r="B5" s="256"/>
      <c r="C5" s="257"/>
      <c r="D5" s="261"/>
      <c r="E5" s="262"/>
      <c r="F5" s="262"/>
      <c r="G5" s="262"/>
      <c r="H5" s="263"/>
    </row>
    <row r="6" spans="1:8">
      <c r="A6" s="60"/>
      <c r="B6" s="61"/>
      <c r="C6" s="61"/>
      <c r="D6" s="61"/>
      <c r="E6" s="61"/>
      <c r="F6" s="61"/>
      <c r="G6" s="61"/>
      <c r="H6" s="61"/>
    </row>
    <row r="7" spans="1:8">
      <c r="A7" s="60" t="s">
        <v>886</v>
      </c>
      <c r="B7" s="62"/>
      <c r="C7" s="61"/>
      <c r="D7" s="16"/>
      <c r="E7" s="62"/>
      <c r="F7" s="16"/>
      <c r="G7" s="62" t="s">
        <v>912</v>
      </c>
      <c r="H7" s="61"/>
    </row>
    <row r="8" spans="1:8">
      <c r="A8" s="60" t="s">
        <v>913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58" t="s">
        <v>485</v>
      </c>
      <c r="B11" s="259"/>
      <c r="C11" s="260"/>
      <c r="D11" s="260" t="s">
        <v>486</v>
      </c>
      <c r="E11" s="65" t="s">
        <v>487</v>
      </c>
      <c r="F11" s="260" t="s">
        <v>488</v>
      </c>
      <c r="G11" s="259" t="s">
        <v>489</v>
      </c>
      <c r="H11" s="67"/>
    </row>
    <row r="12" spans="1:8">
      <c r="A12" s="234" t="s">
        <v>14</v>
      </c>
      <c r="B12" s="273"/>
      <c r="C12" s="274"/>
      <c r="D12" s="68" t="s">
        <v>6</v>
      </c>
      <c r="E12" s="86">
        <f>+'EQUIPOS '!D10</f>
        <v>87000</v>
      </c>
      <c r="F12" s="161">
        <v>10</v>
      </c>
      <c r="G12" s="71">
        <f>+E12/F12</f>
        <v>8700</v>
      </c>
      <c r="H12" s="72"/>
    </row>
    <row r="13" spans="1:8">
      <c r="A13" s="175" t="s">
        <v>1327</v>
      </c>
      <c r="B13" s="790"/>
      <c r="C13" s="791"/>
      <c r="D13" s="68"/>
      <c r="E13" s="86"/>
      <c r="F13" s="161"/>
      <c r="G13" s="71">
        <f>H38*10%</f>
        <v>8281.1599883829495</v>
      </c>
      <c r="H13" s="72"/>
    </row>
    <row r="14" spans="1:8">
      <c r="A14" s="264"/>
      <c r="B14" s="265"/>
      <c r="C14" s="266"/>
      <c r="D14" s="73"/>
      <c r="E14" s="74"/>
      <c r="F14" s="69"/>
      <c r="G14" s="71"/>
      <c r="H14" s="72"/>
    </row>
    <row r="15" spans="1:8">
      <c r="A15" s="264"/>
      <c r="B15" s="265"/>
      <c r="C15" s="266"/>
      <c r="D15" s="73"/>
      <c r="E15" s="74"/>
      <c r="F15" s="69"/>
      <c r="G15" s="71"/>
      <c r="H15" s="72"/>
    </row>
    <row r="16" spans="1:8">
      <c r="A16" s="264"/>
      <c r="B16" s="265"/>
      <c r="C16" s="266"/>
      <c r="D16" s="73"/>
      <c r="E16" s="74"/>
      <c r="F16" s="69"/>
      <c r="G16" s="71"/>
      <c r="H16" s="72"/>
    </row>
    <row r="17" spans="1:8" ht="15.75" thickBot="1">
      <c r="A17" s="267"/>
      <c r="B17" s="268"/>
      <c r="C17" s="269"/>
      <c r="D17" s="76"/>
      <c r="E17" s="77"/>
      <c r="F17" s="78"/>
      <c r="G17" s="79"/>
      <c r="H17" s="80"/>
    </row>
    <row r="18" spans="1:8" ht="15.75" thickBot="1">
      <c r="A18" s="61"/>
      <c r="B18" s="61"/>
      <c r="C18" s="61"/>
      <c r="D18" s="61"/>
      <c r="E18" s="61"/>
      <c r="F18" s="61"/>
      <c r="G18" s="81" t="s">
        <v>491</v>
      </c>
      <c r="H18" s="82">
        <f>SUM(G12:G17)</f>
        <v>16981.159988382948</v>
      </c>
    </row>
    <row r="19" spans="1:8" ht="15.75" thickBot="1">
      <c r="A19" s="63" t="s">
        <v>492</v>
      </c>
      <c r="B19" s="63"/>
      <c r="C19" s="61"/>
      <c r="D19" s="61"/>
      <c r="E19" s="61"/>
      <c r="F19" s="61"/>
      <c r="G19" s="61"/>
      <c r="H19" s="61"/>
    </row>
    <row r="20" spans="1:8">
      <c r="A20" s="270" t="s">
        <v>485</v>
      </c>
      <c r="B20" s="271"/>
      <c r="C20" s="272"/>
      <c r="D20" s="272" t="s">
        <v>493</v>
      </c>
      <c r="E20" s="272" t="s">
        <v>494</v>
      </c>
      <c r="F20" s="272" t="s">
        <v>495</v>
      </c>
      <c r="G20" s="271" t="s">
        <v>489</v>
      </c>
      <c r="H20" s="67"/>
    </row>
    <row r="21" spans="1:8">
      <c r="A21" s="127" t="s">
        <v>898</v>
      </c>
      <c r="B21" s="84"/>
      <c r="C21" s="85"/>
      <c r="D21" s="141" t="s">
        <v>1</v>
      </c>
      <c r="E21" s="139">
        <f>+MATERIALES!D313</f>
        <v>1355968.1692307692</v>
      </c>
      <c r="F21" s="163">
        <v>1</v>
      </c>
      <c r="G21" s="137">
        <f>+E21*F21</f>
        <v>1355968.1692307692</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1355968.1692307692</v>
      </c>
    </row>
    <row r="26" spans="1:8" ht="15.75" thickBot="1">
      <c r="A26" s="92" t="s">
        <v>496</v>
      </c>
      <c r="B26" s="92"/>
      <c r="C26" s="90"/>
      <c r="D26" s="61"/>
      <c r="E26" s="61"/>
      <c r="F26" s="61"/>
      <c r="G26" s="61"/>
      <c r="H26" s="61"/>
    </row>
    <row r="27" spans="1:8">
      <c r="A27" s="258" t="s">
        <v>497</v>
      </c>
      <c r="B27" s="260"/>
      <c r="C27" s="93" t="s">
        <v>498</v>
      </c>
      <c r="D27" s="260" t="s">
        <v>499</v>
      </c>
      <c r="E27" s="260" t="s">
        <v>500</v>
      </c>
      <c r="F27" s="2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58" t="s">
        <v>503</v>
      </c>
      <c r="B33" s="260"/>
      <c r="C33" s="260" t="s">
        <v>504</v>
      </c>
      <c r="D33" s="260" t="s">
        <v>505</v>
      </c>
      <c r="E33" s="124" t="s">
        <v>506</v>
      </c>
      <c r="F33" s="102" t="s">
        <v>488</v>
      </c>
      <c r="G33" s="259" t="s">
        <v>489</v>
      </c>
      <c r="H33" s="67"/>
    </row>
    <row r="34" spans="1:8">
      <c r="A34" s="83" t="s">
        <v>553</v>
      </c>
      <c r="B34" s="84"/>
      <c r="C34" s="103">
        <f>+SALARIOS!C49*2</f>
        <v>51144</v>
      </c>
      <c r="D34" s="104">
        <f>+SALARIOS!C48</f>
        <v>1.7846558312967005</v>
      </c>
      <c r="E34" s="69">
        <f>+C34*D34</f>
        <v>91274.437835838442</v>
      </c>
      <c r="F34" s="69">
        <v>2</v>
      </c>
      <c r="G34" s="105">
        <f>+E34/F34</f>
        <v>45637.218917919221</v>
      </c>
      <c r="H34" s="72"/>
    </row>
    <row r="35" spans="1:8">
      <c r="A35" s="83" t="s">
        <v>624</v>
      </c>
      <c r="B35" s="84"/>
      <c r="C35" s="103">
        <f>+SALARIOS!C50</f>
        <v>41660</v>
      </c>
      <c r="D35" s="104">
        <f>+SALARIOS!C48</f>
        <v>1.7846558312967005</v>
      </c>
      <c r="E35" s="69">
        <f>+C35*D35</f>
        <v>74348.76193182054</v>
      </c>
      <c r="F35" s="69">
        <v>2</v>
      </c>
      <c r="G35" s="105">
        <f>+E35/F35</f>
        <v>37174.38096591027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82811.599883829491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1455760.9291029817</v>
      </c>
    </row>
    <row r="41" spans="1:8" ht="15.75" thickBot="1">
      <c r="A41" s="63" t="s">
        <v>509</v>
      </c>
      <c r="B41" s="63"/>
      <c r="C41" s="61"/>
      <c r="D41" s="61"/>
      <c r="E41" s="61"/>
      <c r="F41" s="61"/>
      <c r="G41" s="61"/>
      <c r="H41" s="61"/>
    </row>
    <row r="42" spans="1:8">
      <c r="A42" s="233" t="s">
        <v>485</v>
      </c>
      <c r="B42" s="271"/>
      <c r="C42" s="271"/>
      <c r="D42" s="271"/>
      <c r="E42" s="272"/>
      <c r="F42" s="272" t="s">
        <v>510</v>
      </c>
      <c r="G42" s="271" t="s">
        <v>511</v>
      </c>
      <c r="H42" s="67"/>
    </row>
    <row r="43" spans="1:8">
      <c r="A43" s="83" t="s">
        <v>512</v>
      </c>
      <c r="B43" s="84"/>
      <c r="C43" s="84"/>
      <c r="D43" s="84"/>
      <c r="E43" s="85"/>
      <c r="F43" s="115">
        <f>+SALARIOS!C45</f>
        <v>0.15</v>
      </c>
      <c r="G43" s="116">
        <f>++F43*H40</f>
        <v>218364.13936544725</v>
      </c>
      <c r="H43" s="117"/>
    </row>
    <row r="44" spans="1:8">
      <c r="A44" s="83" t="s">
        <v>513</v>
      </c>
      <c r="B44" s="84"/>
      <c r="C44" s="84"/>
      <c r="D44" s="84"/>
      <c r="E44" s="85"/>
      <c r="F44" s="115">
        <f>+SALARIOS!C46</f>
        <v>0.05</v>
      </c>
      <c r="G44" s="116">
        <f>+F44*H40</f>
        <v>72788.046455149088</v>
      </c>
      <c r="H44" s="117"/>
    </row>
    <row r="45" spans="1:8" ht="15.75" thickBot="1">
      <c r="A45" s="89" t="s">
        <v>514</v>
      </c>
      <c r="B45" s="90"/>
      <c r="C45" s="90"/>
      <c r="D45" s="90"/>
      <c r="E45" s="91"/>
      <c r="F45" s="118">
        <f>+SALARIOS!C47</f>
        <v>0.05</v>
      </c>
      <c r="G45" s="119">
        <f>+F45*H40</f>
        <v>72788.046455149088</v>
      </c>
      <c r="H45" s="80"/>
    </row>
    <row r="46" spans="1:8" ht="15.75" thickBot="1">
      <c r="A46" s="61"/>
      <c r="B46" s="61"/>
      <c r="C46" s="61"/>
      <c r="D46" s="61"/>
      <c r="E46" s="61"/>
      <c r="F46" s="61"/>
      <c r="G46" s="81" t="s">
        <v>491</v>
      </c>
      <c r="H46" s="120">
        <f>SUM(G43:G45)</f>
        <v>363940.23227574542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1819701</v>
      </c>
    </row>
  </sheetData>
  <mergeCells count="1">
    <mergeCell ref="A3:C4"/>
  </mergeCell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H48"/>
  <sheetViews>
    <sheetView workbookViewId="0">
      <selection activeCell="F36" sqref="F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55" t="s">
        <v>520</v>
      </c>
      <c r="B5" s="256"/>
      <c r="C5" s="257"/>
      <c r="D5" s="261"/>
      <c r="E5" s="262"/>
      <c r="F5" s="262"/>
      <c r="G5" s="262"/>
      <c r="H5" s="263"/>
    </row>
    <row r="6" spans="1:8">
      <c r="A6" s="60"/>
      <c r="B6" s="61"/>
      <c r="C6" s="61"/>
      <c r="D6" s="61"/>
      <c r="E6" s="61"/>
      <c r="F6" s="61"/>
      <c r="G6" s="61"/>
      <c r="H6" s="61"/>
    </row>
    <row r="7" spans="1:8">
      <c r="A7" s="60" t="s">
        <v>886</v>
      </c>
      <c r="B7" s="62"/>
      <c r="C7" s="61"/>
      <c r="D7" s="16"/>
      <c r="E7" s="62"/>
      <c r="F7" s="16"/>
      <c r="G7" s="62" t="s">
        <v>914</v>
      </c>
      <c r="H7" s="61"/>
    </row>
    <row r="8" spans="1:8">
      <c r="A8" s="60" t="s">
        <v>915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58" t="s">
        <v>485</v>
      </c>
      <c r="B11" s="259"/>
      <c r="C11" s="260"/>
      <c r="D11" s="260" t="s">
        <v>486</v>
      </c>
      <c r="E11" s="65" t="s">
        <v>487</v>
      </c>
      <c r="F11" s="260" t="s">
        <v>488</v>
      </c>
      <c r="G11" s="259" t="s">
        <v>489</v>
      </c>
      <c r="H11" s="67"/>
    </row>
    <row r="12" spans="1:8">
      <c r="A12" s="234" t="s">
        <v>14</v>
      </c>
      <c r="B12" s="273"/>
      <c r="C12" s="274"/>
      <c r="D12" s="68" t="s">
        <v>6</v>
      </c>
      <c r="E12" s="86">
        <f>+'EQUIPOS '!D10</f>
        <v>87000</v>
      </c>
      <c r="F12" s="161">
        <v>10</v>
      </c>
      <c r="G12" s="71">
        <f>+E12/F12</f>
        <v>8700</v>
      </c>
      <c r="H12" s="72"/>
    </row>
    <row r="13" spans="1:8">
      <c r="A13" s="175" t="s">
        <v>1327</v>
      </c>
      <c r="B13" s="790"/>
      <c r="C13" s="791"/>
      <c r="D13" s="68"/>
      <c r="E13" s="86"/>
      <c r="F13" s="161"/>
      <c r="G13" s="71">
        <f>H38*10%</f>
        <v>9201.2888759810539</v>
      </c>
      <c r="H13" s="72"/>
    </row>
    <row r="14" spans="1:8">
      <c r="A14" s="264"/>
      <c r="B14" s="265"/>
      <c r="C14" s="266"/>
      <c r="D14" s="73"/>
      <c r="E14" s="74"/>
      <c r="F14" s="69"/>
      <c r="G14" s="71"/>
      <c r="H14" s="72"/>
    </row>
    <row r="15" spans="1:8">
      <c r="A15" s="264"/>
      <c r="B15" s="265"/>
      <c r="C15" s="266"/>
      <c r="D15" s="73"/>
      <c r="E15" s="74"/>
      <c r="F15" s="69"/>
      <c r="G15" s="71"/>
      <c r="H15" s="72"/>
    </row>
    <row r="16" spans="1:8">
      <c r="A16" s="264"/>
      <c r="B16" s="265"/>
      <c r="C16" s="266"/>
      <c r="D16" s="73"/>
      <c r="E16" s="74"/>
      <c r="F16" s="69"/>
      <c r="G16" s="71"/>
      <c r="H16" s="72"/>
    </row>
    <row r="17" spans="1:8" ht="15.75" thickBot="1">
      <c r="A17" s="267"/>
      <c r="B17" s="268"/>
      <c r="C17" s="269"/>
      <c r="D17" s="76"/>
      <c r="E17" s="77"/>
      <c r="F17" s="78"/>
      <c r="G17" s="79"/>
      <c r="H17" s="80"/>
    </row>
    <row r="18" spans="1:8" ht="15.75" thickBot="1">
      <c r="A18" s="61"/>
      <c r="B18" s="61"/>
      <c r="C18" s="61"/>
      <c r="D18" s="61"/>
      <c r="E18" s="61"/>
      <c r="F18" s="61"/>
      <c r="G18" s="81" t="s">
        <v>491</v>
      </c>
      <c r="H18" s="82">
        <f>SUM(G12:G17)</f>
        <v>17901.288875981052</v>
      </c>
    </row>
    <row r="19" spans="1:8" ht="15.75" thickBot="1">
      <c r="A19" s="63" t="s">
        <v>492</v>
      </c>
      <c r="B19" s="63"/>
      <c r="C19" s="61"/>
      <c r="D19" s="61"/>
      <c r="E19" s="61"/>
      <c r="F19" s="61"/>
      <c r="G19" s="61"/>
      <c r="H19" s="61"/>
    </row>
    <row r="20" spans="1:8">
      <c r="A20" s="270" t="s">
        <v>485</v>
      </c>
      <c r="B20" s="271"/>
      <c r="C20" s="272"/>
      <c r="D20" s="272" t="s">
        <v>493</v>
      </c>
      <c r="E20" s="272" t="s">
        <v>494</v>
      </c>
      <c r="F20" s="272" t="s">
        <v>495</v>
      </c>
      <c r="G20" s="271" t="s">
        <v>489</v>
      </c>
      <c r="H20" s="67"/>
    </row>
    <row r="21" spans="1:8">
      <c r="A21" s="127" t="s">
        <v>901</v>
      </c>
      <c r="B21" s="84"/>
      <c r="C21" s="85"/>
      <c r="D21" s="141" t="s">
        <v>1</v>
      </c>
      <c r="E21" s="139">
        <f>+MATERIALES!D314</f>
        <v>1550788.1169230766</v>
      </c>
      <c r="F21" s="163">
        <v>1</v>
      </c>
      <c r="G21" s="137">
        <f>+E21*F21</f>
        <v>1550788.1169230766</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1550788.1169230766</v>
      </c>
    </row>
    <row r="26" spans="1:8" ht="15.75" thickBot="1">
      <c r="A26" s="92" t="s">
        <v>496</v>
      </c>
      <c r="B26" s="92"/>
      <c r="C26" s="90"/>
      <c r="D26" s="61"/>
      <c r="E26" s="61"/>
      <c r="F26" s="61"/>
      <c r="G26" s="61"/>
      <c r="H26" s="61"/>
    </row>
    <row r="27" spans="1:8">
      <c r="A27" s="258" t="s">
        <v>497</v>
      </c>
      <c r="B27" s="260"/>
      <c r="C27" s="93" t="s">
        <v>498</v>
      </c>
      <c r="D27" s="260" t="s">
        <v>499</v>
      </c>
      <c r="E27" s="260" t="s">
        <v>500</v>
      </c>
      <c r="F27" s="2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58" t="s">
        <v>503</v>
      </c>
      <c r="B33" s="260"/>
      <c r="C33" s="260" t="s">
        <v>504</v>
      </c>
      <c r="D33" s="260" t="s">
        <v>505</v>
      </c>
      <c r="E33" s="124" t="s">
        <v>506</v>
      </c>
      <c r="F33" s="102" t="s">
        <v>488</v>
      </c>
      <c r="G33" s="259" t="s">
        <v>489</v>
      </c>
      <c r="H33" s="67"/>
    </row>
    <row r="34" spans="1:8">
      <c r="A34" s="83" t="s">
        <v>553</v>
      </c>
      <c r="B34" s="84"/>
      <c r="C34" s="103">
        <f>+SALARIOS!C49*2</f>
        <v>51144</v>
      </c>
      <c r="D34" s="104">
        <f>+SALARIOS!C48</f>
        <v>1.7846558312967005</v>
      </c>
      <c r="E34" s="69">
        <f>+C34*D34</f>
        <v>91274.437835838442</v>
      </c>
      <c r="F34" s="69">
        <v>1.8</v>
      </c>
      <c r="G34" s="105">
        <f>+E34/F34</f>
        <v>50708.021019910244</v>
      </c>
      <c r="H34" s="72"/>
    </row>
    <row r="35" spans="1:8">
      <c r="A35" s="83" t="s">
        <v>624</v>
      </c>
      <c r="B35" s="84"/>
      <c r="C35" s="103">
        <f>+SALARIOS!C50</f>
        <v>41660</v>
      </c>
      <c r="D35" s="104">
        <f>+SALARIOS!C48</f>
        <v>1.7846558312967005</v>
      </c>
      <c r="E35" s="69">
        <f>+C35*D35</f>
        <v>74348.76193182054</v>
      </c>
      <c r="F35" s="69">
        <v>1.8</v>
      </c>
      <c r="G35" s="105">
        <f>+E35/F35</f>
        <v>41304.867739900299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92012.888759810536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1660702.294558868</v>
      </c>
    </row>
    <row r="41" spans="1:8" ht="15.75" thickBot="1">
      <c r="A41" s="63" t="s">
        <v>509</v>
      </c>
      <c r="B41" s="63"/>
      <c r="C41" s="61"/>
      <c r="D41" s="61"/>
      <c r="E41" s="61"/>
      <c r="F41" s="61"/>
      <c r="G41" s="61"/>
      <c r="H41" s="61"/>
    </row>
    <row r="42" spans="1:8">
      <c r="A42" s="233" t="s">
        <v>485</v>
      </c>
      <c r="B42" s="271"/>
      <c r="C42" s="271"/>
      <c r="D42" s="271"/>
      <c r="E42" s="272"/>
      <c r="F42" s="272" t="s">
        <v>510</v>
      </c>
      <c r="G42" s="271" t="s">
        <v>511</v>
      </c>
      <c r="H42" s="67"/>
    </row>
    <row r="43" spans="1:8">
      <c r="A43" s="83" t="s">
        <v>512</v>
      </c>
      <c r="B43" s="84"/>
      <c r="C43" s="84"/>
      <c r="D43" s="84"/>
      <c r="E43" s="85"/>
      <c r="F43" s="115">
        <f>+SALARIOS!C45</f>
        <v>0.15</v>
      </c>
      <c r="G43" s="116">
        <f>++F43*H40</f>
        <v>249105.3441838302</v>
      </c>
      <c r="H43" s="117"/>
    </row>
    <row r="44" spans="1:8">
      <c r="A44" s="83" t="s">
        <v>513</v>
      </c>
      <c r="B44" s="84"/>
      <c r="C44" s="84"/>
      <c r="D44" s="84"/>
      <c r="E44" s="85"/>
      <c r="F44" s="115">
        <f>+SALARIOS!C46</f>
        <v>0.05</v>
      </c>
      <c r="G44" s="116">
        <f>+F44*H40</f>
        <v>83035.114727943408</v>
      </c>
      <c r="H44" s="117"/>
    </row>
    <row r="45" spans="1:8" ht="15.75" thickBot="1">
      <c r="A45" s="89" t="s">
        <v>514</v>
      </c>
      <c r="B45" s="90"/>
      <c r="C45" s="90"/>
      <c r="D45" s="90"/>
      <c r="E45" s="91"/>
      <c r="F45" s="118">
        <f>+SALARIOS!C47</f>
        <v>0.05</v>
      </c>
      <c r="G45" s="119">
        <f>+F45*H40</f>
        <v>83035.114727943408</v>
      </c>
      <c r="H45" s="80"/>
    </row>
    <row r="46" spans="1:8" ht="15.75" thickBot="1">
      <c r="A46" s="61"/>
      <c r="B46" s="61"/>
      <c r="C46" s="61"/>
      <c r="D46" s="61"/>
      <c r="E46" s="61"/>
      <c r="F46" s="61"/>
      <c r="G46" s="81" t="s">
        <v>491</v>
      </c>
      <c r="H46" s="120">
        <f>SUM(G43:G45)</f>
        <v>415175.57363971707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2075878</v>
      </c>
    </row>
  </sheetData>
  <mergeCells count="1">
    <mergeCell ref="A3:C4"/>
  </mergeCell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9"/>
  <sheetViews>
    <sheetView topLeftCell="A7" zoomScaleNormal="100"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916</v>
      </c>
      <c r="H7" s="61"/>
    </row>
    <row r="8" spans="1:8">
      <c r="A8" s="60" t="s">
        <v>918</v>
      </c>
      <c r="B8" s="62"/>
      <c r="C8" s="61"/>
      <c r="D8" s="62"/>
      <c r="E8" s="62"/>
      <c r="F8" s="62"/>
      <c r="G8" s="62" t="s">
        <v>925</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H39*10%</f>
        <v>11593.623983736128</v>
      </c>
      <c r="H12" s="72"/>
    </row>
    <row r="13" spans="1:8">
      <c r="A13" s="164"/>
      <c r="B13" s="165"/>
      <c r="C13" s="166"/>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11593.623983736128</v>
      </c>
    </row>
    <row r="19" spans="1:8" ht="15.75" thickBot="1">
      <c r="A19" s="63" t="s">
        <v>492</v>
      </c>
      <c r="B19" s="63"/>
      <c r="C19" s="61"/>
      <c r="D19" s="61"/>
      <c r="E19" s="61"/>
      <c r="F19" s="61"/>
      <c r="G19" s="61"/>
      <c r="H19" s="61"/>
    </row>
    <row r="20" spans="1:8">
      <c r="A20" s="759" t="s">
        <v>485</v>
      </c>
      <c r="B20" s="760"/>
      <c r="C20" s="761"/>
      <c r="D20" s="761" t="s">
        <v>493</v>
      </c>
      <c r="E20" s="761" t="s">
        <v>494</v>
      </c>
      <c r="F20" s="761" t="s">
        <v>495</v>
      </c>
      <c r="G20" s="452" t="s">
        <v>489</v>
      </c>
      <c r="H20" s="684"/>
    </row>
    <row r="21" spans="1:8">
      <c r="A21" s="83" t="s">
        <v>194</v>
      </c>
      <c r="B21" s="84"/>
      <c r="C21" s="85"/>
      <c r="D21" s="141" t="s">
        <v>19</v>
      </c>
      <c r="E21" s="139">
        <f>'5,5'!H26</f>
        <v>345913.20750000002</v>
      </c>
      <c r="F21" s="137">
        <v>0.68</v>
      </c>
      <c r="G21" s="685">
        <f>+E21*F21</f>
        <v>235220.98110000003</v>
      </c>
      <c r="H21" s="59"/>
    </row>
    <row r="22" spans="1:8">
      <c r="A22" s="83" t="s">
        <v>1819</v>
      </c>
      <c r="B22" s="84"/>
      <c r="C22" s="85"/>
      <c r="D22" s="68" t="s">
        <v>1809</v>
      </c>
      <c r="E22" s="142">
        <f>MATERIALES!D56</f>
        <v>4166.666666666667</v>
      </c>
      <c r="F22" s="70">
        <v>4</v>
      </c>
      <c r="G22" s="685">
        <f>+E22*F22</f>
        <v>16666.666666666668</v>
      </c>
      <c r="H22" s="59"/>
    </row>
    <row r="23" spans="1:8">
      <c r="A23" s="128" t="s">
        <v>1821</v>
      </c>
      <c r="B23" s="129"/>
      <c r="C23" s="130"/>
      <c r="D23" s="68" t="s">
        <v>1809</v>
      </c>
      <c r="E23" s="86">
        <f>MATERIALES!D74</f>
        <v>1300</v>
      </c>
      <c r="F23" s="70">
        <v>2</v>
      </c>
      <c r="G23" s="685">
        <f>+E23*F23</f>
        <v>2600</v>
      </c>
      <c r="H23" s="59"/>
    </row>
    <row r="24" spans="1:8">
      <c r="A24" s="83" t="s">
        <v>1822</v>
      </c>
      <c r="B24" s="84"/>
      <c r="C24" s="85"/>
      <c r="D24" s="131" t="s">
        <v>234</v>
      </c>
      <c r="E24" s="132">
        <f>MATERIALES!D64</f>
        <v>1575</v>
      </c>
      <c r="F24" s="133">
        <v>0.2</v>
      </c>
      <c r="G24" s="685">
        <f>+E24*F24</f>
        <v>315</v>
      </c>
      <c r="H24" s="59"/>
    </row>
    <row r="25" spans="1:8" ht="15.75" thickBot="1">
      <c r="A25" s="89"/>
      <c r="B25" s="90"/>
      <c r="C25" s="91"/>
      <c r="D25" s="76"/>
      <c r="E25" s="77"/>
      <c r="F25" s="78"/>
      <c r="G25" s="453"/>
      <c r="H25" s="451"/>
    </row>
    <row r="26" spans="1:8" ht="15.75" thickBot="1">
      <c r="A26" s="61"/>
      <c r="B26" s="61"/>
      <c r="C26" s="61"/>
      <c r="D26" s="61"/>
      <c r="E26" s="61"/>
      <c r="F26" s="61"/>
      <c r="G26" s="81" t="s">
        <v>491</v>
      </c>
      <c r="H26" s="82">
        <f>SUM(G21:G25)</f>
        <v>254802.64776666669</v>
      </c>
    </row>
    <row r="27" spans="1:8" ht="15.75" thickBot="1">
      <c r="A27" s="92" t="s">
        <v>496</v>
      </c>
      <c r="B27" s="92"/>
      <c r="C27" s="90"/>
      <c r="D27" s="61"/>
      <c r="E27" s="61"/>
      <c r="F27" s="61"/>
      <c r="G27" s="61"/>
      <c r="H27" s="61"/>
    </row>
    <row r="28" spans="1:8">
      <c r="A28" s="278" t="s">
        <v>497</v>
      </c>
      <c r="B28" s="280"/>
      <c r="C28" s="93" t="s">
        <v>498</v>
      </c>
      <c r="D28" s="280" t="s">
        <v>499</v>
      </c>
      <c r="E28" s="280" t="s">
        <v>500</v>
      </c>
      <c r="F28" s="280" t="s">
        <v>501</v>
      </c>
      <c r="G28" s="94" t="s">
        <v>489</v>
      </c>
      <c r="H28" s="67"/>
    </row>
    <row r="29" spans="1:8">
      <c r="A29" s="83"/>
      <c r="B29" s="84"/>
      <c r="C29" s="95"/>
      <c r="D29" s="96"/>
      <c r="E29" s="96"/>
      <c r="F29" s="97"/>
      <c r="G29" s="97"/>
      <c r="H29" s="72"/>
    </row>
    <row r="30" spans="1:8">
      <c r="A30" s="83"/>
      <c r="B30" s="84"/>
      <c r="C30" s="98"/>
      <c r="D30" s="68"/>
      <c r="E30" s="96"/>
      <c r="F30" s="97"/>
      <c r="G30" s="97"/>
      <c r="H30" s="72"/>
    </row>
    <row r="31" spans="1:8" ht="15.75" thickBot="1">
      <c r="A31" s="100"/>
      <c r="B31" s="101"/>
      <c r="C31" s="76"/>
      <c r="D31" s="76"/>
      <c r="E31" s="211"/>
      <c r="F31" s="212"/>
      <c r="G31" s="76"/>
      <c r="H31" s="72"/>
    </row>
    <row r="32" spans="1:8" ht="15.75" thickBot="1">
      <c r="A32" s="61"/>
      <c r="B32" s="61"/>
      <c r="C32" s="61"/>
      <c r="D32" s="61"/>
      <c r="E32" s="61"/>
      <c r="F32" s="61"/>
      <c r="G32" s="81" t="s">
        <v>491</v>
      </c>
      <c r="H32" s="82">
        <f>SUM(G29:G31)</f>
        <v>0</v>
      </c>
    </row>
    <row r="33" spans="1:8" ht="15.75" thickBot="1">
      <c r="A33" s="92" t="s">
        <v>502</v>
      </c>
      <c r="B33" s="92"/>
      <c r="C33" s="61"/>
      <c r="D33" s="61"/>
      <c r="E33" s="61"/>
      <c r="F33" s="61"/>
      <c r="G33" s="61"/>
      <c r="H33" s="61"/>
    </row>
    <row r="34" spans="1:8">
      <c r="A34" s="278" t="s">
        <v>503</v>
      </c>
      <c r="B34" s="280"/>
      <c r="C34" s="280" t="s">
        <v>504</v>
      </c>
      <c r="D34" s="280" t="s">
        <v>505</v>
      </c>
      <c r="E34" s="124" t="s">
        <v>506</v>
      </c>
      <c r="F34" s="102" t="s">
        <v>488</v>
      </c>
      <c r="G34" s="279" t="s">
        <v>489</v>
      </c>
      <c r="H34" s="67"/>
    </row>
    <row r="35" spans="1:8">
      <c r="A35" s="83" t="s">
        <v>553</v>
      </c>
      <c r="B35" s="84"/>
      <c r="C35" s="103">
        <f>+SALARIOS!C49*2</f>
        <v>51144</v>
      </c>
      <c r="D35" s="104">
        <f>+SALARIOS!C48</f>
        <v>1.7846558312967005</v>
      </c>
      <c r="E35" s="69">
        <f>+C35*D35</f>
        <v>91274.437835838442</v>
      </c>
      <c r="F35" s="69">
        <v>0.7</v>
      </c>
      <c r="G35" s="105">
        <f>+E35*F35</f>
        <v>63892.106485086908</v>
      </c>
      <c r="H35" s="72"/>
    </row>
    <row r="36" spans="1:8">
      <c r="A36" s="83" t="s">
        <v>624</v>
      </c>
      <c r="B36" s="84"/>
      <c r="C36" s="103">
        <f>+SALARIOS!C50</f>
        <v>41660</v>
      </c>
      <c r="D36" s="104">
        <f>+SALARIOS!C48</f>
        <v>1.7846558312967005</v>
      </c>
      <c r="E36" s="69">
        <f>+C36*D36</f>
        <v>74348.76193182054</v>
      </c>
      <c r="F36" s="69">
        <v>0.7</v>
      </c>
      <c r="G36" s="105">
        <f>+E36*F36</f>
        <v>52044.133352274373</v>
      </c>
      <c r="H36" s="72"/>
    </row>
    <row r="37" spans="1:8">
      <c r="A37" s="83"/>
      <c r="B37" s="84"/>
      <c r="C37" s="103"/>
      <c r="D37" s="104"/>
      <c r="E37" s="69"/>
      <c r="F37" s="69"/>
      <c r="G37" s="105"/>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115936.23983736128</v>
      </c>
    </row>
    <row r="40" spans="1:8" ht="15.75" thickBot="1">
      <c r="A40" s="61"/>
      <c r="B40" s="61"/>
      <c r="C40" s="61"/>
      <c r="D40" s="61"/>
      <c r="E40" s="61"/>
      <c r="F40" s="61"/>
      <c r="G40" s="107"/>
      <c r="H40" s="58"/>
    </row>
    <row r="41" spans="1:8" ht="15.75" thickBot="1">
      <c r="A41" s="61"/>
      <c r="B41" s="61"/>
      <c r="C41" s="61"/>
      <c r="D41" s="61"/>
      <c r="E41" s="81" t="s">
        <v>508</v>
      </c>
      <c r="F41" s="107"/>
      <c r="G41" s="107"/>
      <c r="H41" s="82">
        <f>H18+H26+H32+H39</f>
        <v>382332.51158776408</v>
      </c>
    </row>
    <row r="42" spans="1:8" ht="15.75" thickBot="1">
      <c r="A42" s="63" t="s">
        <v>509</v>
      </c>
      <c r="B42" s="63"/>
      <c r="C42" s="61"/>
      <c r="D42" s="61"/>
      <c r="E42" s="61"/>
      <c r="F42" s="61"/>
      <c r="G42" s="61"/>
      <c r="H42" s="61"/>
    </row>
    <row r="43" spans="1:8">
      <c r="A43" s="233" t="s">
        <v>485</v>
      </c>
      <c r="B43" s="291"/>
      <c r="C43" s="291"/>
      <c r="D43" s="291"/>
      <c r="E43" s="292"/>
      <c r="F43" s="292" t="s">
        <v>510</v>
      </c>
      <c r="G43" s="291" t="s">
        <v>511</v>
      </c>
      <c r="H43" s="67"/>
    </row>
    <row r="44" spans="1:8">
      <c r="A44" s="83" t="s">
        <v>512</v>
      </c>
      <c r="B44" s="84"/>
      <c r="C44" s="84"/>
      <c r="D44" s="84"/>
      <c r="E44" s="85"/>
      <c r="F44" s="115">
        <f>+SALARIOS!C45</f>
        <v>0.15</v>
      </c>
      <c r="G44" s="116">
        <f>++F44*H41</f>
        <v>57349.87673816461</v>
      </c>
      <c r="H44" s="117"/>
    </row>
    <row r="45" spans="1:8">
      <c r="A45" s="83" t="s">
        <v>513</v>
      </c>
      <c r="B45" s="84"/>
      <c r="C45" s="84"/>
      <c r="D45" s="84"/>
      <c r="E45" s="85"/>
      <c r="F45" s="115">
        <f>+SALARIOS!C46</f>
        <v>0.05</v>
      </c>
      <c r="G45" s="116">
        <f>+F45*H41</f>
        <v>19116.625579388205</v>
      </c>
      <c r="H45" s="117"/>
    </row>
    <row r="46" spans="1:8" ht="15.75" thickBot="1">
      <c r="A46" s="89" t="s">
        <v>514</v>
      </c>
      <c r="B46" s="90"/>
      <c r="C46" s="90"/>
      <c r="D46" s="90"/>
      <c r="E46" s="91"/>
      <c r="F46" s="118">
        <f>+SALARIOS!C47</f>
        <v>0.05</v>
      </c>
      <c r="G46" s="119">
        <f>+F46*H41</f>
        <v>19116.625579388205</v>
      </c>
      <c r="H46" s="80"/>
    </row>
    <row r="47" spans="1:8" ht="15.75" thickBot="1">
      <c r="A47" s="61"/>
      <c r="B47" s="61"/>
      <c r="C47" s="61"/>
      <c r="D47" s="61"/>
      <c r="E47" s="61"/>
      <c r="F47" s="61"/>
      <c r="G47" s="81" t="s">
        <v>491</v>
      </c>
      <c r="H47" s="120">
        <f>SUM(G44:G46)</f>
        <v>95583.12789694102</v>
      </c>
    </row>
    <row r="48" spans="1:8" ht="15.75" thickBot="1">
      <c r="A48" s="61"/>
      <c r="B48" s="61"/>
      <c r="C48" s="61"/>
      <c r="D48" s="61"/>
      <c r="E48" s="61"/>
      <c r="F48" s="61"/>
      <c r="G48" s="61"/>
      <c r="H48" s="61"/>
    </row>
    <row r="49" spans="1:8" ht="15.75" thickBot="1">
      <c r="A49" s="16"/>
      <c r="B49" s="16"/>
      <c r="C49" s="61"/>
      <c r="D49" s="81" t="s">
        <v>515</v>
      </c>
      <c r="E49" s="107"/>
      <c r="F49" s="107"/>
      <c r="G49" s="107"/>
      <c r="H49" s="82">
        <f>ROUND((H41+H47),0)</f>
        <v>477916</v>
      </c>
    </row>
  </sheetData>
  <mergeCells count="1">
    <mergeCell ref="A3:C4"/>
  </mergeCells>
  <pageMargins left="0.7" right="0.7" top="0.75" bottom="0.75" header="0.3" footer="0.3"/>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34" workbookViewId="0">
      <selection activeCell="G34" sqref="G3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521</v>
      </c>
      <c r="B7" s="62"/>
      <c r="C7" s="61"/>
      <c r="D7" s="16"/>
      <c r="E7" s="62"/>
      <c r="F7" s="16"/>
      <c r="G7" s="62" t="s">
        <v>557</v>
      </c>
      <c r="H7" s="61"/>
    </row>
    <row r="8" spans="1:8">
      <c r="A8" s="60" t="s">
        <v>558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1" t="s">
        <v>486</v>
      </c>
      <c r="E11" s="65" t="s">
        <v>487</v>
      </c>
      <c r="F11" s="151" t="s">
        <v>488</v>
      </c>
      <c r="G11" s="150" t="s">
        <v>489</v>
      </c>
      <c r="H11" s="67"/>
    </row>
    <row r="12" spans="1:8">
      <c r="A12" s="1463" t="s">
        <v>1327</v>
      </c>
      <c r="B12" s="1464"/>
      <c r="C12" s="1465"/>
      <c r="D12" s="68"/>
      <c r="E12" s="86"/>
      <c r="F12" s="161"/>
      <c r="G12" s="71">
        <f>H38*10%</f>
        <v>1140.9304729479807</v>
      </c>
      <c r="H12" s="72"/>
    </row>
    <row r="13" spans="1:8">
      <c r="A13" s="164"/>
      <c r="B13" s="165"/>
      <c r="C13" s="166"/>
      <c r="D13" s="167"/>
      <c r="E13" s="167"/>
      <c r="F13" s="167"/>
      <c r="G13" s="164"/>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1140.9304729479807</v>
      </c>
    </row>
    <row r="19" spans="1:8" ht="15.75" thickBot="1">
      <c r="A19" s="63" t="s">
        <v>492</v>
      </c>
      <c r="B19" s="63"/>
      <c r="C19" s="61"/>
      <c r="D19" s="61"/>
      <c r="E19" s="61"/>
      <c r="F19" s="61"/>
      <c r="G19" s="61"/>
      <c r="H19" s="61"/>
    </row>
    <row r="20" spans="1:8">
      <c r="A20" s="1472" t="s">
        <v>485</v>
      </c>
      <c r="B20" s="1473"/>
      <c r="C20" s="1474"/>
      <c r="D20" s="153" t="s">
        <v>493</v>
      </c>
      <c r="E20" s="153" t="s">
        <v>494</v>
      </c>
      <c r="F20" s="153" t="s">
        <v>495</v>
      </c>
      <c r="G20" s="152"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1" t="s">
        <v>499</v>
      </c>
      <c r="E27" s="151" t="s">
        <v>500</v>
      </c>
      <c r="F27" s="151"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1" t="s">
        <v>504</v>
      </c>
      <c r="D33" s="151" t="s">
        <v>505</v>
      </c>
      <c r="E33" s="124" t="s">
        <v>506</v>
      </c>
      <c r="F33" s="102" t="s">
        <v>488</v>
      </c>
      <c r="G33" s="150" t="s">
        <v>489</v>
      </c>
      <c r="H33" s="67"/>
    </row>
    <row r="34" spans="1:8">
      <c r="A34" s="83" t="s">
        <v>554</v>
      </c>
      <c r="B34" s="84"/>
      <c r="C34" s="103">
        <f>+SALARIOS!C49*2</f>
        <v>51144</v>
      </c>
      <c r="D34" s="104">
        <f>+SALARIOS!C48</f>
        <v>1.7846558312967005</v>
      </c>
      <c r="E34" s="69">
        <f>(C34*D34)</f>
        <v>91274.437835838442</v>
      </c>
      <c r="F34" s="69">
        <v>8</v>
      </c>
      <c r="G34" s="105">
        <f>E34/F34</f>
        <v>11409.304729479805</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11409.304729479805</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12550.235202427786</v>
      </c>
    </row>
    <row r="41" spans="1:8" ht="15.75" thickBot="1">
      <c r="A41" s="63" t="s">
        <v>509</v>
      </c>
      <c r="B41" s="63"/>
      <c r="C41" s="61"/>
      <c r="D41" s="61"/>
      <c r="E41" s="61"/>
      <c r="F41" s="61"/>
      <c r="G41" s="61"/>
      <c r="H41" s="61"/>
    </row>
    <row r="42" spans="1:8">
      <c r="A42" s="110" t="s">
        <v>485</v>
      </c>
      <c r="B42" s="111"/>
      <c r="C42" s="111"/>
      <c r="D42" s="111"/>
      <c r="E42" s="112"/>
      <c r="F42" s="153" t="s">
        <v>510</v>
      </c>
      <c r="G42" s="152" t="s">
        <v>511</v>
      </c>
      <c r="H42" s="67"/>
    </row>
    <row r="43" spans="1:8">
      <c r="A43" s="83" t="s">
        <v>512</v>
      </c>
      <c r="B43" s="84"/>
      <c r="C43" s="84"/>
      <c r="D43" s="84"/>
      <c r="E43" s="85"/>
      <c r="F43" s="115">
        <f>(SALARIOS!C45)</f>
        <v>0.15</v>
      </c>
      <c r="G43" s="116">
        <f>++F43*H40</f>
        <v>1882.5352803641679</v>
      </c>
      <c r="H43" s="117"/>
    </row>
    <row r="44" spans="1:8">
      <c r="A44" s="83" t="s">
        <v>513</v>
      </c>
      <c r="B44" s="84"/>
      <c r="C44" s="84"/>
      <c r="D44" s="84"/>
      <c r="E44" s="85"/>
      <c r="F44" s="115">
        <f>(SALARIOS!C46)</f>
        <v>0.05</v>
      </c>
      <c r="G44" s="116">
        <f>+F44*H40</f>
        <v>627.51176012138933</v>
      </c>
      <c r="H44" s="117"/>
    </row>
    <row r="45" spans="1:8" ht="15.75" thickBot="1">
      <c r="A45" s="89" t="s">
        <v>514</v>
      </c>
      <c r="B45" s="90"/>
      <c r="C45" s="90"/>
      <c r="D45" s="90"/>
      <c r="E45" s="91"/>
      <c r="F45" s="118">
        <f>(SALARIOS!C47)</f>
        <v>0.05</v>
      </c>
      <c r="G45" s="119">
        <f>+F45*H40</f>
        <v>627.51176012138933</v>
      </c>
      <c r="H45" s="80"/>
    </row>
    <row r="46" spans="1:8" ht="15.75" thickBot="1">
      <c r="A46" s="61"/>
      <c r="B46" s="61"/>
      <c r="C46" s="61"/>
      <c r="D46" s="61"/>
      <c r="E46" s="61"/>
      <c r="F46" s="61"/>
      <c r="G46" s="81" t="s">
        <v>491</v>
      </c>
      <c r="H46" s="120">
        <f>SUM(G43:G45)</f>
        <v>3137.5588006069465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15688</v>
      </c>
    </row>
  </sheetData>
  <mergeCells count="12">
    <mergeCell ref="A33:B33"/>
    <mergeCell ref="A14:C14"/>
    <mergeCell ref="A15:C15"/>
    <mergeCell ref="A16:C16"/>
    <mergeCell ref="A17:C17"/>
    <mergeCell ref="A20:C20"/>
    <mergeCell ref="A27:B27"/>
    <mergeCell ref="A3:C4"/>
    <mergeCell ref="A5:C5"/>
    <mergeCell ref="D5:H5"/>
    <mergeCell ref="A11:C11"/>
    <mergeCell ref="A12:C12"/>
  </mergeCells>
  <pageMargins left="0.7" right="0.7" top="0.75" bottom="0.75" header="0.3" footer="0.3"/>
  <pageSetup paperSize="9" scale="90"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919</v>
      </c>
      <c r="H7" s="61"/>
    </row>
    <row r="8" spans="1:8">
      <c r="A8" s="60" t="s">
        <v>920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4140.5799941914747</v>
      </c>
      <c r="H12" s="72"/>
    </row>
    <row r="13" spans="1:8">
      <c r="A13" s="164"/>
      <c r="B13" s="165"/>
      <c r="C13" s="166"/>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4140.5799941914747</v>
      </c>
    </row>
    <row r="19" spans="1:8" ht="15.75" thickBot="1">
      <c r="A19" s="63" t="s">
        <v>492</v>
      </c>
      <c r="B19" s="63"/>
      <c r="C19" s="61"/>
      <c r="D19" s="61"/>
      <c r="E19" s="61"/>
      <c r="F19" s="61"/>
      <c r="G19" s="61"/>
      <c r="H19" s="61"/>
    </row>
    <row r="20" spans="1:8">
      <c r="A20" s="759" t="s">
        <v>485</v>
      </c>
      <c r="B20" s="760"/>
      <c r="C20" s="761"/>
      <c r="D20" s="761" t="s">
        <v>493</v>
      </c>
      <c r="E20" s="761" t="s">
        <v>494</v>
      </c>
      <c r="F20" s="761" t="s">
        <v>495</v>
      </c>
      <c r="G20" s="452" t="s">
        <v>489</v>
      </c>
      <c r="H20" s="684"/>
    </row>
    <row r="21" spans="1:8">
      <c r="A21" s="83" t="s">
        <v>208</v>
      </c>
      <c r="B21" s="84"/>
      <c r="C21" s="85"/>
      <c r="D21" s="141" t="s">
        <v>19</v>
      </c>
      <c r="E21" s="139">
        <f>'5,16'!H25</f>
        <v>322301.86379999993</v>
      </c>
      <c r="F21" s="137">
        <v>0.11</v>
      </c>
      <c r="G21" s="685">
        <f>+E21*F21</f>
        <v>35453.205017999993</v>
      </c>
      <c r="H21" s="59"/>
    </row>
    <row r="22" spans="1:8">
      <c r="A22" s="83"/>
      <c r="B22" s="84"/>
      <c r="C22" s="85"/>
      <c r="D22" s="68"/>
      <c r="E22" s="142"/>
      <c r="F22" s="70"/>
      <c r="G22" s="105"/>
      <c r="H22" s="59"/>
    </row>
    <row r="23" spans="1:8">
      <c r="A23" s="128"/>
      <c r="B23" s="129"/>
      <c r="C23" s="130"/>
      <c r="D23" s="131"/>
      <c r="E23" s="132"/>
      <c r="F23" s="133"/>
      <c r="G23" s="686"/>
      <c r="H23" s="59"/>
    </row>
    <row r="24" spans="1:8" ht="15.75" thickBot="1">
      <c r="A24" s="89"/>
      <c r="B24" s="90"/>
      <c r="C24" s="91"/>
      <c r="D24" s="76"/>
      <c r="E24" s="77"/>
      <c r="F24" s="78"/>
      <c r="G24" s="453"/>
      <c r="H24" s="451"/>
    </row>
    <row r="25" spans="1:8" ht="15.75" thickBot="1">
      <c r="A25" s="61"/>
      <c r="B25" s="61"/>
      <c r="C25" s="61"/>
      <c r="D25" s="61"/>
      <c r="E25" s="61"/>
      <c r="F25" s="61"/>
      <c r="G25" s="81" t="s">
        <v>491</v>
      </c>
      <c r="H25" s="82">
        <f>SUM(G21:G24)</f>
        <v>35453.205017999993</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4</v>
      </c>
      <c r="G34" s="105">
        <f>+E34/F34</f>
        <v>22818.60945895961</v>
      </c>
      <c r="H34" s="72"/>
    </row>
    <row r="35" spans="1:8">
      <c r="A35" s="83" t="s">
        <v>624</v>
      </c>
      <c r="B35" s="84"/>
      <c r="C35" s="103">
        <f>+SALARIOS!C50</f>
        <v>41660</v>
      </c>
      <c r="D35" s="104">
        <f>+SALARIOS!C48</f>
        <v>1.7846558312967005</v>
      </c>
      <c r="E35" s="69">
        <f>+C35*D35</f>
        <v>74348.76193182054</v>
      </c>
      <c r="F35" s="69">
        <v>4</v>
      </c>
      <c r="G35" s="105">
        <f>+E35/F35</f>
        <v>18587.190482955135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41405.799941914745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80999.58495410622</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12149.937743115932</v>
      </c>
      <c r="H43" s="117"/>
    </row>
    <row r="44" spans="1:8">
      <c r="A44" s="83" t="s">
        <v>513</v>
      </c>
      <c r="B44" s="84"/>
      <c r="C44" s="84"/>
      <c r="D44" s="84"/>
      <c r="E44" s="85"/>
      <c r="F44" s="115">
        <f>+SALARIOS!C46</f>
        <v>0.05</v>
      </c>
      <c r="G44" s="116">
        <f>+F44*H40</f>
        <v>4049.9792477053111</v>
      </c>
      <c r="H44" s="117"/>
    </row>
    <row r="45" spans="1:8" ht="15.75" thickBot="1">
      <c r="A45" s="89" t="s">
        <v>514</v>
      </c>
      <c r="B45" s="90"/>
      <c r="C45" s="90"/>
      <c r="D45" s="90"/>
      <c r="E45" s="91"/>
      <c r="F45" s="118">
        <f>+SALARIOS!C47</f>
        <v>0.05</v>
      </c>
      <c r="G45" s="119">
        <f>+F45*H40</f>
        <v>4049.9792477053111</v>
      </c>
      <c r="H45" s="80"/>
    </row>
    <row r="46" spans="1:8" ht="15.75" thickBot="1">
      <c r="A46" s="61"/>
      <c r="B46" s="61"/>
      <c r="C46" s="61"/>
      <c r="D46" s="61"/>
      <c r="E46" s="61"/>
      <c r="F46" s="61"/>
      <c r="G46" s="81" t="s">
        <v>491</v>
      </c>
      <c r="H46" s="120">
        <f>SUM(G43:G45)</f>
        <v>20249.896238526555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101249</v>
      </c>
    </row>
  </sheetData>
  <mergeCells count="1">
    <mergeCell ref="A3:C4"/>
  </mergeCell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workbookViewId="0">
      <selection activeCell="F36" sqref="F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921</v>
      </c>
      <c r="H7" s="61"/>
    </row>
    <row r="8" spans="1:8">
      <c r="A8" s="60" t="s">
        <v>922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3312.4639953531791</v>
      </c>
      <c r="H12" s="72"/>
    </row>
    <row r="13" spans="1:8">
      <c r="A13" s="164"/>
      <c r="B13" s="165"/>
      <c r="C13" s="166"/>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3312.4639953531791</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204</v>
      </c>
      <c r="B21" s="84"/>
      <c r="C21" s="85"/>
      <c r="D21" s="141" t="s">
        <v>61</v>
      </c>
      <c r="E21" s="139">
        <f>+MATERIALES!D73</f>
        <v>600</v>
      </c>
      <c r="F21" s="163">
        <v>400</v>
      </c>
      <c r="G21" s="137">
        <f>+E21*F21</f>
        <v>240000</v>
      </c>
      <c r="H21" s="59"/>
    </row>
    <row r="22" spans="1:8">
      <c r="A22" s="127" t="s">
        <v>208</v>
      </c>
      <c r="B22" s="84"/>
      <c r="C22" s="85"/>
      <c r="D22" s="68" t="s">
        <v>19</v>
      </c>
      <c r="E22" s="139">
        <f>'5,16'!H25</f>
        <v>322301.86379999993</v>
      </c>
      <c r="F22" s="70">
        <v>0.34699999999999998</v>
      </c>
      <c r="G22" s="69">
        <f>+E22*F22</f>
        <v>111838.74673859996</v>
      </c>
      <c r="H22" s="59"/>
    </row>
    <row r="23" spans="1:8">
      <c r="A23" s="128"/>
      <c r="B23" s="129"/>
      <c r="C23" s="130"/>
      <c r="D23" s="131"/>
      <c r="E23" s="86"/>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351838.74673859996</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5</v>
      </c>
      <c r="G34" s="105">
        <f>+E34/F34</f>
        <v>18254.887567167687</v>
      </c>
      <c r="H34" s="72"/>
    </row>
    <row r="35" spans="1:8">
      <c r="A35" s="83" t="s">
        <v>624</v>
      </c>
      <c r="B35" s="84"/>
      <c r="C35" s="103">
        <f>+SALARIOS!C50</f>
        <v>41660</v>
      </c>
      <c r="D35" s="104">
        <f>+SALARIOS!C48</f>
        <v>1.7846558312967005</v>
      </c>
      <c r="E35" s="69">
        <f>+C35*D35</f>
        <v>74348.76193182054</v>
      </c>
      <c r="F35" s="69">
        <v>5</v>
      </c>
      <c r="G35" s="105">
        <f>+E35/F35</f>
        <v>14869.752386364107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33124.639953531791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388275.85068748496</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58241.377603122739</v>
      </c>
      <c r="H43" s="117"/>
    </row>
    <row r="44" spans="1:8">
      <c r="A44" s="83" t="s">
        <v>513</v>
      </c>
      <c r="B44" s="84"/>
      <c r="C44" s="84"/>
      <c r="D44" s="84"/>
      <c r="E44" s="85"/>
      <c r="F44" s="115">
        <f>+SALARIOS!C46</f>
        <v>0.05</v>
      </c>
      <c r="G44" s="116">
        <f>+F44*H40</f>
        <v>19413.79253437425</v>
      </c>
      <c r="H44" s="117"/>
    </row>
    <row r="45" spans="1:8" ht="15.75" thickBot="1">
      <c r="A45" s="89" t="s">
        <v>514</v>
      </c>
      <c r="B45" s="90"/>
      <c r="C45" s="90"/>
      <c r="D45" s="90"/>
      <c r="E45" s="91"/>
      <c r="F45" s="118">
        <f>+SALARIOS!C47</f>
        <v>0.05</v>
      </c>
      <c r="G45" s="119">
        <f>+F45*H40</f>
        <v>19413.79253437425</v>
      </c>
      <c r="H45" s="80"/>
    </row>
    <row r="46" spans="1:8" ht="15.75" thickBot="1">
      <c r="A46" s="61"/>
      <c r="B46" s="61"/>
      <c r="C46" s="61"/>
      <c r="D46" s="61"/>
      <c r="E46" s="61"/>
      <c r="F46" s="61"/>
      <c r="G46" s="81" t="s">
        <v>491</v>
      </c>
      <c r="H46" s="120">
        <f>SUM(G43:G45)</f>
        <v>97068.962671871239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485345</v>
      </c>
    </row>
  </sheetData>
  <mergeCells count="1">
    <mergeCell ref="A3:C4"/>
  </mergeCell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923</v>
      </c>
      <c r="H7" s="61"/>
    </row>
    <row r="8" spans="1:8">
      <c r="A8" s="60" t="s">
        <v>924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12740.246135973768</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12740.246135973768</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204</v>
      </c>
      <c r="B21" s="84"/>
      <c r="C21" s="85"/>
      <c r="D21" s="141" t="s">
        <v>61</v>
      </c>
      <c r="E21" s="139">
        <f>+MATERIALES!D73</f>
        <v>600</v>
      </c>
      <c r="F21" s="163">
        <v>265</v>
      </c>
      <c r="G21" s="137">
        <f>+E21*F21</f>
        <v>159000</v>
      </c>
      <c r="H21" s="59"/>
    </row>
    <row r="22" spans="1:8">
      <c r="A22" s="127" t="s">
        <v>208</v>
      </c>
      <c r="B22" s="84"/>
      <c r="C22" s="85"/>
      <c r="D22" s="68" t="s">
        <v>19</v>
      </c>
      <c r="E22" s="142">
        <f>'5,16'!H25</f>
        <v>322301.86379999993</v>
      </c>
      <c r="F22" s="69">
        <v>0.15</v>
      </c>
      <c r="G22" s="69">
        <f>+E22*F22</f>
        <v>48345.279569999992</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207345.27956999998</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1.3</v>
      </c>
      <c r="G34" s="105">
        <f>+E34/F34</f>
        <v>70211.106027568036</v>
      </c>
      <c r="H34" s="72"/>
    </row>
    <row r="35" spans="1:8">
      <c r="A35" s="83" t="s">
        <v>624</v>
      </c>
      <c r="B35" s="84"/>
      <c r="C35" s="103">
        <f>+SALARIOS!C50</f>
        <v>41660</v>
      </c>
      <c r="D35" s="104">
        <f>+SALARIOS!C48</f>
        <v>1.7846558312967005</v>
      </c>
      <c r="E35" s="69">
        <f>+C35*D35</f>
        <v>74348.76193182054</v>
      </c>
      <c r="F35" s="69">
        <v>1.3</v>
      </c>
      <c r="G35" s="105">
        <f>+E35/F35</f>
        <v>57191.355332169645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127402.46135973767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347487.98706571141</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52123.19805985671</v>
      </c>
      <c r="H43" s="117"/>
    </row>
    <row r="44" spans="1:8">
      <c r="A44" s="83" t="s">
        <v>513</v>
      </c>
      <c r="B44" s="84"/>
      <c r="C44" s="84"/>
      <c r="D44" s="84"/>
      <c r="E44" s="85"/>
      <c r="F44" s="115">
        <f>+SALARIOS!C46</f>
        <v>0.05</v>
      </c>
      <c r="G44" s="116">
        <f>+F44*H40</f>
        <v>17374.399353285571</v>
      </c>
      <c r="H44" s="117"/>
    </row>
    <row r="45" spans="1:8" ht="15.75" thickBot="1">
      <c r="A45" s="89" t="s">
        <v>514</v>
      </c>
      <c r="B45" s="90"/>
      <c r="C45" s="90"/>
      <c r="D45" s="90"/>
      <c r="E45" s="91"/>
      <c r="F45" s="118">
        <f>+SALARIOS!C47</f>
        <v>0.05</v>
      </c>
      <c r="G45" s="119">
        <f>+F45*H40</f>
        <v>17374.399353285571</v>
      </c>
      <c r="H45" s="80"/>
    </row>
    <row r="46" spans="1:8" ht="15.75" thickBot="1">
      <c r="A46" s="61"/>
      <c r="B46" s="61"/>
      <c r="C46" s="61"/>
      <c r="D46" s="61"/>
      <c r="E46" s="61"/>
      <c r="F46" s="61"/>
      <c r="G46" s="81" t="s">
        <v>491</v>
      </c>
      <c r="H46" s="120">
        <f>SUM(G43:G45)</f>
        <v>86871.996766427852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434360</v>
      </c>
    </row>
  </sheetData>
  <mergeCells count="1">
    <mergeCell ref="A3:C4"/>
  </mergeCell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927</v>
      </c>
      <c r="H7" s="61"/>
    </row>
    <row r="8" spans="1:8">
      <c r="A8" s="60" t="s">
        <v>928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760.62031529865374</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760.62031529865374</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929</v>
      </c>
      <c r="B21" s="84"/>
      <c r="C21" s="85"/>
      <c r="D21" s="141" t="s">
        <v>44</v>
      </c>
      <c r="E21" s="139">
        <f>+MATERIALES!D5</f>
        <v>2271</v>
      </c>
      <c r="F21" s="137">
        <v>2.25</v>
      </c>
      <c r="G21" s="137">
        <f>+E21*F21</f>
        <v>5109.75</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5109.75</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12</v>
      </c>
      <c r="G34" s="105">
        <f>+E34/F34</f>
        <v>7606.2031529865371</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7606.2031529865371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13476.573468285191</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2021.4860202427785</v>
      </c>
      <c r="H43" s="117"/>
    </row>
    <row r="44" spans="1:8">
      <c r="A44" s="83" t="s">
        <v>513</v>
      </c>
      <c r="B44" s="84"/>
      <c r="C44" s="84"/>
      <c r="D44" s="84"/>
      <c r="E44" s="85"/>
      <c r="F44" s="115">
        <f>+SALARIOS!C46</f>
        <v>0.05</v>
      </c>
      <c r="G44" s="116">
        <f>+F44*H40</f>
        <v>673.82867341425958</v>
      </c>
      <c r="H44" s="117"/>
    </row>
    <row r="45" spans="1:8" ht="15.75" thickBot="1">
      <c r="A45" s="89" t="s">
        <v>514</v>
      </c>
      <c r="B45" s="90"/>
      <c r="C45" s="90"/>
      <c r="D45" s="90"/>
      <c r="E45" s="91"/>
      <c r="F45" s="118">
        <f>+SALARIOS!C47</f>
        <v>0.05</v>
      </c>
      <c r="G45" s="119">
        <f>+F45*H40</f>
        <v>673.82867341425958</v>
      </c>
      <c r="H45" s="80"/>
    </row>
    <row r="46" spans="1:8" ht="15.75" thickBot="1">
      <c r="A46" s="61"/>
      <c r="B46" s="61"/>
      <c r="C46" s="61"/>
      <c r="D46" s="61"/>
      <c r="E46" s="61"/>
      <c r="F46" s="61"/>
      <c r="G46" s="81" t="s">
        <v>491</v>
      </c>
      <c r="H46" s="120">
        <f>SUM(G43:G45)</f>
        <v>3369.1433670712977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16846</v>
      </c>
    </row>
  </sheetData>
  <mergeCells count="1">
    <mergeCell ref="A3:C4"/>
  </mergeCell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topLeftCell="A4" workbookViewId="0">
      <selection activeCell="E22" sqref="E2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930</v>
      </c>
      <c r="H7" s="61"/>
    </row>
    <row r="8" spans="1:8">
      <c r="A8" s="60" t="s">
        <v>1864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608.49625223892303</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608.49625223892303</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194</v>
      </c>
      <c r="B21" s="84"/>
      <c r="C21" s="85"/>
      <c r="D21" s="141" t="s">
        <v>19</v>
      </c>
      <c r="E21" s="139">
        <f>'5,5'!H26</f>
        <v>345913.20750000002</v>
      </c>
      <c r="F21" s="137">
        <v>0.1</v>
      </c>
      <c r="G21" s="137">
        <f>+E21*F21</f>
        <v>34591.320750000006</v>
      </c>
      <c r="H21" s="59"/>
    </row>
    <row r="22" spans="1:8">
      <c r="A22" s="127" t="s">
        <v>1862</v>
      </c>
      <c r="B22" s="84"/>
      <c r="C22" s="85"/>
      <c r="D22" s="68" t="s">
        <v>61</v>
      </c>
      <c r="E22" s="142">
        <f>MATERIALES!D271</f>
        <v>399000.56</v>
      </c>
      <c r="F22" s="161">
        <v>1</v>
      </c>
      <c r="G22" s="69">
        <f>+E22*F22</f>
        <v>399000.56</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433591.88075000001</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15</v>
      </c>
      <c r="G34" s="105">
        <f>+E34/F34</f>
        <v>6084.9625223892299</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6084.9625223892299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440285.33952462819</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66042.800928694225</v>
      </c>
      <c r="H43" s="117"/>
    </row>
    <row r="44" spans="1:8">
      <c r="A44" s="83" t="s">
        <v>513</v>
      </c>
      <c r="B44" s="84"/>
      <c r="C44" s="84"/>
      <c r="D44" s="84"/>
      <c r="E44" s="85"/>
      <c r="F44" s="115">
        <f>+SALARIOS!C46</f>
        <v>0.05</v>
      </c>
      <c r="G44" s="116">
        <f>+F44*H40</f>
        <v>22014.266976231411</v>
      </c>
      <c r="H44" s="117"/>
    </row>
    <row r="45" spans="1:8" ht="15.75" thickBot="1">
      <c r="A45" s="89" t="s">
        <v>514</v>
      </c>
      <c r="B45" s="90"/>
      <c r="C45" s="90"/>
      <c r="D45" s="90"/>
      <c r="E45" s="91"/>
      <c r="F45" s="118">
        <f>+SALARIOS!C47</f>
        <v>0.05</v>
      </c>
      <c r="G45" s="119">
        <f>+F45*H40</f>
        <v>22014.266976231411</v>
      </c>
      <c r="H45" s="80"/>
    </row>
    <row r="46" spans="1:8" ht="15.75" thickBot="1">
      <c r="A46" s="61"/>
      <c r="B46" s="61"/>
      <c r="C46" s="61"/>
      <c r="D46" s="61"/>
      <c r="E46" s="61"/>
      <c r="F46" s="61"/>
      <c r="G46" s="81" t="s">
        <v>491</v>
      </c>
      <c r="H46" s="120">
        <f>SUM(G43:G45)</f>
        <v>110071.33488115706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550357</v>
      </c>
    </row>
  </sheetData>
  <mergeCells count="1">
    <mergeCell ref="A3:C4"/>
  </mergeCell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workbookViewId="0">
      <selection activeCell="E21" sqref="E21"/>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931</v>
      </c>
      <c r="H7" s="61"/>
    </row>
    <row r="8" spans="1:8">
      <c r="A8" s="60" t="s">
        <v>932</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608.49625223892303</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608.49625223892303</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1885</v>
      </c>
      <c r="B21" s="84"/>
      <c r="C21" s="85"/>
      <c r="D21" s="68" t="s">
        <v>61</v>
      </c>
      <c r="E21" s="142">
        <f>MATERIALES!D274</f>
        <v>281880</v>
      </c>
      <c r="F21" s="161">
        <v>1</v>
      </c>
      <c r="G21" s="69">
        <f>+E21*F21</f>
        <v>281880</v>
      </c>
      <c r="H21" s="59"/>
    </row>
    <row r="22" spans="1:8">
      <c r="A22" s="127" t="s">
        <v>194</v>
      </c>
      <c r="B22" s="84"/>
      <c r="C22" s="85"/>
      <c r="D22" s="68" t="s">
        <v>19</v>
      </c>
      <c r="E22" s="142">
        <f>'5,5'!H26</f>
        <v>345913.20750000002</v>
      </c>
      <c r="F22" s="69">
        <v>0.1</v>
      </c>
      <c r="G22" s="69">
        <f>+E22*F22</f>
        <v>34591.320750000006</v>
      </c>
      <c r="H22" s="59"/>
    </row>
    <row r="23" spans="1:8">
      <c r="A23" s="127"/>
      <c r="B23" s="84"/>
      <c r="C23" s="85"/>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316471.32075000001</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15</v>
      </c>
      <c r="G34" s="105">
        <f>+E34/F34</f>
        <v>6084.9625223892299</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6084.9625223892299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323164.77952462819</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48474.71692869423</v>
      </c>
      <c r="H43" s="117"/>
    </row>
    <row r="44" spans="1:8">
      <c r="A44" s="83" t="s">
        <v>513</v>
      </c>
      <c r="B44" s="84"/>
      <c r="C44" s="84"/>
      <c r="D44" s="84"/>
      <c r="E44" s="85"/>
      <c r="F44" s="115">
        <f>+SALARIOS!C46</f>
        <v>0.05</v>
      </c>
      <c r="G44" s="116">
        <f>+F44*H40</f>
        <v>16158.238976231411</v>
      </c>
      <c r="H44" s="117"/>
    </row>
    <row r="45" spans="1:8" ht="15.75" thickBot="1">
      <c r="A45" s="89" t="s">
        <v>514</v>
      </c>
      <c r="B45" s="90"/>
      <c r="C45" s="90"/>
      <c r="D45" s="90"/>
      <c r="E45" s="91"/>
      <c r="F45" s="118">
        <f>+SALARIOS!C47</f>
        <v>0.05</v>
      </c>
      <c r="G45" s="119">
        <f>+F45*H40</f>
        <v>16158.238976231411</v>
      </c>
      <c r="H45" s="80"/>
    </row>
    <row r="46" spans="1:8" ht="15.75" thickBot="1">
      <c r="A46" s="61"/>
      <c r="B46" s="61"/>
      <c r="C46" s="61"/>
      <c r="D46" s="61"/>
      <c r="E46" s="61"/>
      <c r="F46" s="61"/>
      <c r="G46" s="81" t="s">
        <v>491</v>
      </c>
      <c r="H46" s="120">
        <f>SUM(G43:G45)</f>
        <v>80791.194881157047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403956</v>
      </c>
    </row>
  </sheetData>
  <mergeCells count="1">
    <mergeCell ref="A3:C4"/>
  </mergeCell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9"/>
  <sheetViews>
    <sheetView topLeftCell="A10" workbookViewId="0">
      <selection activeCell="E22" sqref="E2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933</v>
      </c>
      <c r="H7" s="61"/>
    </row>
    <row r="8" spans="1:8" s="46" customFormat="1" ht="24" customHeight="1">
      <c r="A8" s="1479" t="s">
        <v>1827</v>
      </c>
      <c r="B8" s="1479"/>
      <c r="C8" s="1479"/>
      <c r="D8" s="1479"/>
      <c r="E8" s="1479"/>
      <c r="F8" s="763"/>
      <c r="G8" s="763" t="s">
        <v>926</v>
      </c>
      <c r="H8" s="764"/>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H39*10%</f>
        <v>9598.8784679791825</v>
      </c>
      <c r="H12" s="72"/>
    </row>
    <row r="13" spans="1:8">
      <c r="A13" s="281"/>
      <c r="B13" s="282"/>
      <c r="C13" s="283"/>
      <c r="D13" s="73"/>
      <c r="E13" s="74"/>
      <c r="F13" s="69"/>
      <c r="G13" s="71"/>
      <c r="H13" s="72"/>
    </row>
    <row r="14" spans="1:8">
      <c r="A14" s="281"/>
      <c r="B14" s="282"/>
      <c r="C14" s="283"/>
      <c r="D14" s="73"/>
      <c r="E14" s="74"/>
      <c r="F14" s="69"/>
      <c r="G14" s="71"/>
      <c r="H14" s="72"/>
    </row>
    <row r="15" spans="1:8">
      <c r="A15" s="281"/>
      <c r="B15" s="282"/>
      <c r="C15" s="283"/>
      <c r="D15" s="73"/>
      <c r="E15" s="74"/>
      <c r="F15" s="69"/>
      <c r="G15" s="71"/>
      <c r="H15" s="72"/>
    </row>
    <row r="16" spans="1:8" ht="15.75" thickBot="1">
      <c r="A16" s="284"/>
      <c r="B16" s="285"/>
      <c r="C16" s="286"/>
      <c r="D16" s="76"/>
      <c r="E16" s="77"/>
      <c r="F16" s="78"/>
      <c r="G16" s="79"/>
      <c r="H16" s="80"/>
    </row>
    <row r="17" spans="1:8" ht="15.75" thickBot="1">
      <c r="A17" s="61"/>
      <c r="B17" s="61"/>
      <c r="C17" s="61"/>
      <c r="D17" s="61"/>
      <c r="E17" s="61"/>
      <c r="F17" s="61"/>
      <c r="G17" s="81" t="s">
        <v>491</v>
      </c>
      <c r="H17" s="82">
        <f>SUM(G12:G16)</f>
        <v>9598.8784679791825</v>
      </c>
    </row>
    <row r="18" spans="1:8" ht="15.75" thickBot="1">
      <c r="A18" s="63" t="s">
        <v>492</v>
      </c>
      <c r="B18" s="63"/>
      <c r="C18" s="61"/>
      <c r="D18" s="61"/>
      <c r="E18" s="61"/>
      <c r="F18" s="61"/>
      <c r="G18" s="61"/>
      <c r="H18" s="61"/>
    </row>
    <row r="19" spans="1:8">
      <c r="A19" s="290" t="s">
        <v>485</v>
      </c>
      <c r="B19" s="291"/>
      <c r="C19" s="292"/>
      <c r="D19" s="292" t="s">
        <v>493</v>
      </c>
      <c r="E19" s="292" t="s">
        <v>494</v>
      </c>
      <c r="F19" s="292" t="s">
        <v>495</v>
      </c>
      <c r="G19" s="291" t="s">
        <v>489</v>
      </c>
      <c r="H19" s="67"/>
    </row>
    <row r="20" spans="1:8">
      <c r="A20" s="127" t="s">
        <v>193</v>
      </c>
      <c r="B20" s="84"/>
      <c r="C20" s="85"/>
      <c r="D20" s="141" t="s">
        <v>19</v>
      </c>
      <c r="E20" s="139">
        <f>'5,2'!H26</f>
        <v>313268.23499999993</v>
      </c>
      <c r="F20" s="87">
        <v>9.6000000000000002E-2</v>
      </c>
      <c r="G20" s="137">
        <f t="shared" ref="G20:G25" si="0">+E20*F20</f>
        <v>30073.750559999993</v>
      </c>
      <c r="H20" s="59"/>
    </row>
    <row r="21" spans="1:8">
      <c r="A21" s="127" t="s">
        <v>194</v>
      </c>
      <c r="B21" s="84"/>
      <c r="C21" s="85"/>
      <c r="D21" s="141" t="s">
        <v>19</v>
      </c>
      <c r="E21" s="139">
        <f>'5,5'!H26</f>
        <v>345913.20750000002</v>
      </c>
      <c r="F21" s="87">
        <v>2.4E-2</v>
      </c>
      <c r="G21" s="137">
        <f t="shared" si="0"/>
        <v>8301.91698</v>
      </c>
      <c r="H21" s="59"/>
    </row>
    <row r="22" spans="1:8">
      <c r="A22" s="127" t="s">
        <v>1961</v>
      </c>
      <c r="B22" s="84"/>
      <c r="C22" s="85"/>
      <c r="D22" s="141" t="s">
        <v>44</v>
      </c>
      <c r="E22" s="139">
        <f>MATERIALES!D5</f>
        <v>2271</v>
      </c>
      <c r="F22" s="163">
        <v>3.2</v>
      </c>
      <c r="G22" s="137">
        <f t="shared" si="0"/>
        <v>7267.2000000000007</v>
      </c>
      <c r="H22" s="59"/>
    </row>
    <row r="23" spans="1:8">
      <c r="A23" s="127" t="s">
        <v>204</v>
      </c>
      <c r="B23" s="84"/>
      <c r="C23" s="85"/>
      <c r="D23" s="68" t="s">
        <v>61</v>
      </c>
      <c r="E23" s="768">
        <f>+MATERIALES!D73</f>
        <v>600</v>
      </c>
      <c r="F23" s="86">
        <v>135</v>
      </c>
      <c r="G23" s="69">
        <f t="shared" si="0"/>
        <v>81000</v>
      </c>
      <c r="H23" s="59"/>
    </row>
    <row r="24" spans="1:8">
      <c r="A24" s="128" t="s">
        <v>1484</v>
      </c>
      <c r="B24" s="129"/>
      <c r="C24" s="130"/>
      <c r="D24" s="131" t="s">
        <v>19</v>
      </c>
      <c r="E24" s="132">
        <f>'5,15'!H25</f>
        <v>387397.25430000003</v>
      </c>
      <c r="F24" s="133">
        <v>0.06</v>
      </c>
      <c r="G24" s="138">
        <f t="shared" si="0"/>
        <v>23243.835257999999</v>
      </c>
      <c r="H24" s="59"/>
    </row>
    <row r="25" spans="1:8" ht="15.75" thickBot="1">
      <c r="A25" s="89" t="s">
        <v>1828</v>
      </c>
      <c r="B25" s="90"/>
      <c r="C25" s="91"/>
      <c r="D25" s="76" t="s">
        <v>1809</v>
      </c>
      <c r="E25" s="77">
        <f>MATERIALES!D7</f>
        <v>2850</v>
      </c>
      <c r="F25" s="78">
        <v>5.6</v>
      </c>
      <c r="G25" s="79">
        <f t="shared" si="0"/>
        <v>15959.999999999998</v>
      </c>
      <c r="H25" s="80"/>
    </row>
    <row r="26" spans="1:8" ht="15.75" thickBot="1">
      <c r="A26" s="61"/>
      <c r="B26" s="61"/>
      <c r="C26" s="61"/>
      <c r="D26" s="61"/>
      <c r="E26" s="61"/>
      <c r="F26" s="61"/>
      <c r="G26" s="81" t="s">
        <v>491</v>
      </c>
      <c r="H26" s="82">
        <f>SUM(G20:G25)</f>
        <v>165846.70279799998</v>
      </c>
    </row>
    <row r="27" spans="1:8" ht="15.75" thickBot="1">
      <c r="A27" s="92" t="s">
        <v>496</v>
      </c>
      <c r="B27" s="92"/>
      <c r="C27" s="90"/>
      <c r="D27" s="61"/>
      <c r="E27" s="61"/>
      <c r="F27" s="61"/>
      <c r="G27" s="61"/>
      <c r="H27" s="61"/>
    </row>
    <row r="28" spans="1:8">
      <c r="A28" s="278" t="s">
        <v>497</v>
      </c>
      <c r="B28" s="280"/>
      <c r="C28" s="93" t="s">
        <v>498</v>
      </c>
      <c r="D28" s="280" t="s">
        <v>499</v>
      </c>
      <c r="E28" s="280" t="s">
        <v>500</v>
      </c>
      <c r="F28" s="280" t="s">
        <v>501</v>
      </c>
      <c r="G28" s="94" t="s">
        <v>489</v>
      </c>
      <c r="H28" s="67"/>
    </row>
    <row r="29" spans="1:8">
      <c r="A29" s="83"/>
      <c r="B29" s="84"/>
      <c r="C29" s="95"/>
      <c r="D29" s="96"/>
      <c r="E29" s="96"/>
      <c r="F29" s="97"/>
      <c r="G29" s="97"/>
      <c r="H29" s="72"/>
    </row>
    <row r="30" spans="1:8">
      <c r="A30" s="83"/>
      <c r="B30" s="84"/>
      <c r="C30" s="98"/>
      <c r="D30" s="68"/>
      <c r="E30" s="96"/>
      <c r="F30" s="97"/>
      <c r="G30" s="97"/>
      <c r="H30" s="72"/>
    </row>
    <row r="31" spans="1:8" ht="15.75" thickBot="1">
      <c r="A31" s="100"/>
      <c r="B31" s="101"/>
      <c r="C31" s="76"/>
      <c r="D31" s="76"/>
      <c r="E31" s="211"/>
      <c r="F31" s="212"/>
      <c r="G31" s="76"/>
      <c r="H31" s="72"/>
    </row>
    <row r="32" spans="1:8" ht="15.75" thickBot="1">
      <c r="A32" s="61"/>
      <c r="B32" s="61"/>
      <c r="C32" s="61"/>
      <c r="D32" s="61"/>
      <c r="E32" s="61"/>
      <c r="F32" s="61"/>
      <c r="G32" s="81" t="s">
        <v>491</v>
      </c>
      <c r="H32" s="82">
        <f>SUM(G29:G31)</f>
        <v>0</v>
      </c>
    </row>
    <row r="33" spans="1:8" ht="15.75" thickBot="1">
      <c r="A33" s="92" t="s">
        <v>502</v>
      </c>
      <c r="B33" s="92"/>
      <c r="C33" s="61"/>
      <c r="D33" s="61"/>
      <c r="E33" s="61"/>
      <c r="F33" s="61"/>
      <c r="G33" s="61"/>
      <c r="H33" s="61"/>
    </row>
    <row r="34" spans="1:8">
      <c r="A34" s="278" t="s">
        <v>503</v>
      </c>
      <c r="B34" s="280"/>
      <c r="C34" s="280" t="s">
        <v>504</v>
      </c>
      <c r="D34" s="280" t="s">
        <v>505</v>
      </c>
      <c r="E34" s="124" t="s">
        <v>506</v>
      </c>
      <c r="F34" s="102" t="s">
        <v>488</v>
      </c>
      <c r="G34" s="279" t="s">
        <v>489</v>
      </c>
      <c r="H34" s="67"/>
    </row>
    <row r="35" spans="1:8">
      <c r="A35" s="83" t="s">
        <v>697</v>
      </c>
      <c r="B35" s="84"/>
      <c r="C35" s="103">
        <f>+SALARIOS!C49</f>
        <v>25572</v>
      </c>
      <c r="D35" s="104">
        <f>+SALARIOS!C48</f>
        <v>1.7846558312967005</v>
      </c>
      <c r="E35" s="69">
        <f>+C35*D35</f>
        <v>45637.218917919221</v>
      </c>
      <c r="F35" s="69">
        <v>0.8</v>
      </c>
      <c r="G35" s="105">
        <f>+E35*F35</f>
        <v>36509.775134335381</v>
      </c>
      <c r="H35" s="72"/>
    </row>
    <row r="36" spans="1:8">
      <c r="A36" s="83" t="s">
        <v>624</v>
      </c>
      <c r="B36" s="84"/>
      <c r="C36" s="103">
        <f>+SALARIOS!C50</f>
        <v>41660</v>
      </c>
      <c r="D36" s="104">
        <f>+SALARIOS!C48</f>
        <v>1.7846558312967005</v>
      </c>
      <c r="E36" s="69">
        <f>+C36*D36</f>
        <v>74348.76193182054</v>
      </c>
      <c r="F36" s="69">
        <v>0.8</v>
      </c>
      <c r="G36" s="105">
        <f>+E36*F36</f>
        <v>59479.009545456436</v>
      </c>
      <c r="H36" s="72"/>
    </row>
    <row r="37" spans="1:8">
      <c r="A37" s="83"/>
      <c r="B37" s="84"/>
      <c r="C37" s="103"/>
      <c r="D37" s="104"/>
      <c r="E37" s="69"/>
      <c r="F37" s="69"/>
      <c r="G37" s="105"/>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95988.784679791817</v>
      </c>
    </row>
    <row r="40" spans="1:8" ht="15.75" thickBot="1">
      <c r="A40" s="61"/>
      <c r="B40" s="61"/>
      <c r="C40" s="61"/>
      <c r="D40" s="61"/>
      <c r="E40" s="61"/>
      <c r="F40" s="61"/>
      <c r="G40" s="107"/>
      <c r="H40" s="58"/>
    </row>
    <row r="41" spans="1:8" ht="15.75" thickBot="1">
      <c r="A41" s="61"/>
      <c r="B41" s="61"/>
      <c r="C41" s="61"/>
      <c r="D41" s="61"/>
      <c r="E41" s="81" t="s">
        <v>508</v>
      </c>
      <c r="F41" s="107"/>
      <c r="G41" s="107"/>
      <c r="H41" s="82">
        <f>H17+H26+H32+H39</f>
        <v>271434.36594577099</v>
      </c>
    </row>
    <row r="42" spans="1:8" ht="15.75" thickBot="1">
      <c r="A42" s="63" t="s">
        <v>509</v>
      </c>
      <c r="B42" s="63"/>
      <c r="C42" s="61"/>
      <c r="D42" s="61"/>
      <c r="E42" s="61"/>
      <c r="F42" s="61"/>
      <c r="G42" s="61"/>
      <c r="H42" s="61"/>
    </row>
    <row r="43" spans="1:8">
      <c r="A43" s="233" t="s">
        <v>485</v>
      </c>
      <c r="B43" s="291"/>
      <c r="C43" s="291"/>
      <c r="D43" s="291"/>
      <c r="E43" s="292"/>
      <c r="F43" s="292" t="s">
        <v>510</v>
      </c>
      <c r="G43" s="291" t="s">
        <v>511</v>
      </c>
      <c r="H43" s="67"/>
    </row>
    <row r="44" spans="1:8">
      <c r="A44" s="83" t="s">
        <v>512</v>
      </c>
      <c r="B44" s="84"/>
      <c r="C44" s="84"/>
      <c r="D44" s="84"/>
      <c r="E44" s="85"/>
      <c r="F44" s="115">
        <f>+SALARIOS!C45</f>
        <v>0.15</v>
      </c>
      <c r="G44" s="116">
        <f>++F44*H41</f>
        <v>40715.154891865648</v>
      </c>
      <c r="H44" s="117"/>
    </row>
    <row r="45" spans="1:8">
      <c r="A45" s="83" t="s">
        <v>513</v>
      </c>
      <c r="B45" s="84"/>
      <c r="C45" s="84"/>
      <c r="D45" s="84"/>
      <c r="E45" s="85"/>
      <c r="F45" s="115">
        <f>+SALARIOS!C46</f>
        <v>0.05</v>
      </c>
      <c r="G45" s="116">
        <f>+F45*H41</f>
        <v>13571.718297288549</v>
      </c>
      <c r="H45" s="117"/>
    </row>
    <row r="46" spans="1:8" ht="15.75" thickBot="1">
      <c r="A46" s="89" t="s">
        <v>514</v>
      </c>
      <c r="B46" s="90"/>
      <c r="C46" s="90"/>
      <c r="D46" s="90"/>
      <c r="E46" s="91"/>
      <c r="F46" s="118">
        <f>+SALARIOS!C47</f>
        <v>0.05</v>
      </c>
      <c r="G46" s="119">
        <f>+F46*H41</f>
        <v>13571.718297288549</v>
      </c>
      <c r="H46" s="80"/>
    </row>
    <row r="47" spans="1:8" ht="15.75" thickBot="1">
      <c r="A47" s="61"/>
      <c r="B47" s="61"/>
      <c r="C47" s="61"/>
      <c r="D47" s="61"/>
      <c r="E47" s="61"/>
      <c r="F47" s="61"/>
      <c r="G47" s="81" t="s">
        <v>491</v>
      </c>
      <c r="H47" s="120">
        <f>SUM(G44:G46)</f>
        <v>67858.591486442747</v>
      </c>
    </row>
    <row r="48" spans="1:8" ht="15.75" thickBot="1">
      <c r="A48" s="61"/>
      <c r="B48" s="61"/>
      <c r="C48" s="61"/>
      <c r="D48" s="61"/>
      <c r="E48" s="61"/>
      <c r="F48" s="61"/>
      <c r="G48" s="61"/>
      <c r="H48" s="61"/>
    </row>
    <row r="49" spans="1:8" ht="15.75" thickBot="1">
      <c r="A49" s="16"/>
      <c r="B49" s="16"/>
      <c r="C49" s="61"/>
      <c r="D49" s="81" t="s">
        <v>515</v>
      </c>
      <c r="E49" s="107"/>
      <c r="F49" s="107"/>
      <c r="G49" s="107"/>
      <c r="H49" s="82">
        <f>ROUND((H41+H47),0)</f>
        <v>339293</v>
      </c>
    </row>
  </sheetData>
  <mergeCells count="2">
    <mergeCell ref="A3:C4"/>
    <mergeCell ref="A8:E8"/>
  </mergeCells>
  <pageMargins left="0.7" right="0.7" top="0.75" bottom="0.75" header="0.3" footer="0.3"/>
  <pageSetup paperSize="9" scale="95"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50"/>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934</v>
      </c>
      <c r="H7" s="61"/>
    </row>
    <row r="8" spans="1:8" ht="26.25" customHeight="1">
      <c r="A8" s="1479" t="s">
        <v>1831</v>
      </c>
      <c r="B8" s="1479"/>
      <c r="C8" s="1479"/>
      <c r="D8" s="1479"/>
      <c r="E8" s="1479"/>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H40*10%</f>
        <v>11158.696219025798</v>
      </c>
      <c r="H12" s="72"/>
    </row>
    <row r="13" spans="1:8">
      <c r="A13" s="175"/>
      <c r="B13" s="176"/>
      <c r="C13" s="174"/>
      <c r="D13" s="174"/>
      <c r="E13" s="173"/>
      <c r="F13" s="69"/>
      <c r="G13" s="173"/>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11158.696219025798</v>
      </c>
    </row>
    <row r="19" spans="1:8" ht="15.75" thickBot="1">
      <c r="A19" s="63" t="s">
        <v>492</v>
      </c>
      <c r="B19" s="63"/>
      <c r="C19" s="61"/>
      <c r="D19" s="61"/>
      <c r="E19" s="61"/>
      <c r="F19" s="61"/>
      <c r="G19" s="61"/>
      <c r="H19" s="61"/>
    </row>
    <row r="20" spans="1:8">
      <c r="A20" s="765" t="s">
        <v>485</v>
      </c>
      <c r="B20" s="766"/>
      <c r="C20" s="767"/>
      <c r="D20" s="767" t="s">
        <v>493</v>
      </c>
      <c r="E20" s="767" t="s">
        <v>494</v>
      </c>
      <c r="F20" s="767" t="s">
        <v>495</v>
      </c>
      <c r="G20" s="452" t="s">
        <v>489</v>
      </c>
      <c r="H20" s="684"/>
    </row>
    <row r="21" spans="1:8">
      <c r="A21" s="83" t="s">
        <v>193</v>
      </c>
      <c r="B21" s="84"/>
      <c r="C21" s="85"/>
      <c r="D21" s="141" t="s">
        <v>19</v>
      </c>
      <c r="E21" s="139">
        <f>'5,2'!H26</f>
        <v>313268.23499999993</v>
      </c>
      <c r="F21" s="87">
        <v>0.2</v>
      </c>
      <c r="G21" s="685">
        <f t="shared" ref="G21:G26" si="0">+E21*F21</f>
        <v>62653.64699999999</v>
      </c>
      <c r="H21" s="59"/>
    </row>
    <row r="22" spans="1:8">
      <c r="A22" s="83" t="s">
        <v>194</v>
      </c>
      <c r="B22" s="84"/>
      <c r="C22" s="85"/>
      <c r="D22" s="141" t="s">
        <v>19</v>
      </c>
      <c r="E22" s="139">
        <f>'5,5'!H26</f>
        <v>345913.20750000002</v>
      </c>
      <c r="F22" s="87">
        <v>2.4E-2</v>
      </c>
      <c r="G22" s="685">
        <f t="shared" si="0"/>
        <v>8301.91698</v>
      </c>
      <c r="H22" s="59"/>
    </row>
    <row r="23" spans="1:8">
      <c r="A23" s="83" t="s">
        <v>1961</v>
      </c>
      <c r="B23" s="84"/>
      <c r="C23" s="85"/>
      <c r="D23" s="141" t="s">
        <v>44</v>
      </c>
      <c r="E23" s="139">
        <f>MATERIALES!D6</f>
        <v>2591.5</v>
      </c>
      <c r="F23" s="163">
        <v>5</v>
      </c>
      <c r="G23" s="685">
        <f t="shared" si="0"/>
        <v>12957.5</v>
      </c>
      <c r="H23" s="59"/>
    </row>
    <row r="24" spans="1:8">
      <c r="A24" s="83" t="s">
        <v>204</v>
      </c>
      <c r="B24" s="84"/>
      <c r="C24" s="85"/>
      <c r="D24" s="68" t="s">
        <v>61</v>
      </c>
      <c r="E24" s="768">
        <f>+MATERIALES!D73</f>
        <v>600</v>
      </c>
      <c r="F24" s="86">
        <v>140</v>
      </c>
      <c r="G24" s="105">
        <f t="shared" si="0"/>
        <v>84000</v>
      </c>
      <c r="H24" s="59"/>
    </row>
    <row r="25" spans="1:8">
      <c r="A25" s="128" t="s">
        <v>1484</v>
      </c>
      <c r="B25" s="129"/>
      <c r="C25" s="130"/>
      <c r="D25" s="131" t="s">
        <v>19</v>
      </c>
      <c r="E25" s="132">
        <f>'5,15'!H25</f>
        <v>387397.25430000003</v>
      </c>
      <c r="F25" s="133">
        <v>7.0000000000000007E-2</v>
      </c>
      <c r="G25" s="686">
        <f t="shared" si="0"/>
        <v>27117.807801000006</v>
      </c>
      <c r="H25" s="59"/>
    </row>
    <row r="26" spans="1:8" ht="15.75" thickBot="1">
      <c r="A26" s="89" t="s">
        <v>1828</v>
      </c>
      <c r="B26" s="90"/>
      <c r="C26" s="91"/>
      <c r="D26" s="76" t="s">
        <v>1809</v>
      </c>
      <c r="E26" s="77">
        <f>MATERIALES!D7</f>
        <v>2850</v>
      </c>
      <c r="F26" s="78">
        <v>6.8</v>
      </c>
      <c r="G26" s="453">
        <f t="shared" si="0"/>
        <v>19380</v>
      </c>
      <c r="H26" s="59"/>
    </row>
    <row r="27" spans="1:8" ht="15.75" thickBot="1">
      <c r="A27" s="61"/>
      <c r="B27" s="61"/>
      <c r="C27" s="61"/>
      <c r="D27" s="61"/>
      <c r="E27" s="61"/>
      <c r="F27" s="61"/>
      <c r="G27" s="81" t="s">
        <v>491</v>
      </c>
      <c r="H27" s="82">
        <f>SUM(G21:G26)</f>
        <v>214410.87178099999</v>
      </c>
    </row>
    <row r="28" spans="1:8" ht="15.75" thickBot="1">
      <c r="A28" s="92" t="s">
        <v>496</v>
      </c>
      <c r="B28" s="92"/>
      <c r="C28" s="90"/>
      <c r="D28" s="61"/>
      <c r="E28" s="61"/>
      <c r="F28" s="61"/>
      <c r="G28" s="61"/>
      <c r="H28" s="61"/>
    </row>
    <row r="29" spans="1:8">
      <c r="A29" s="278" t="s">
        <v>497</v>
      </c>
      <c r="B29" s="280"/>
      <c r="C29" s="93" t="s">
        <v>498</v>
      </c>
      <c r="D29" s="280" t="s">
        <v>499</v>
      </c>
      <c r="E29" s="280" t="s">
        <v>500</v>
      </c>
      <c r="F29" s="280" t="s">
        <v>501</v>
      </c>
      <c r="G29" s="94" t="s">
        <v>489</v>
      </c>
      <c r="H29" s="67"/>
    </row>
    <row r="30" spans="1:8">
      <c r="A30" s="83"/>
      <c r="B30" s="84"/>
      <c r="C30" s="95"/>
      <c r="D30" s="96"/>
      <c r="E30" s="96"/>
      <c r="F30" s="97"/>
      <c r="G30" s="97"/>
      <c r="H30" s="72"/>
    </row>
    <row r="31" spans="1:8">
      <c r="A31" s="83"/>
      <c r="B31" s="84"/>
      <c r="C31" s="98"/>
      <c r="D31" s="68"/>
      <c r="E31" s="96"/>
      <c r="F31" s="97"/>
      <c r="G31" s="97"/>
      <c r="H31" s="72"/>
    </row>
    <row r="32" spans="1:8" ht="15.75" thickBot="1">
      <c r="A32" s="100"/>
      <c r="B32" s="101"/>
      <c r="C32" s="76"/>
      <c r="D32" s="76"/>
      <c r="E32" s="211"/>
      <c r="F32" s="212"/>
      <c r="G32" s="76"/>
      <c r="H32" s="72"/>
    </row>
    <row r="33" spans="1:8" ht="15.75" thickBot="1">
      <c r="A33" s="61"/>
      <c r="B33" s="61"/>
      <c r="C33" s="61"/>
      <c r="D33" s="61"/>
      <c r="E33" s="61"/>
      <c r="F33" s="61"/>
      <c r="G33" s="81" t="s">
        <v>491</v>
      </c>
      <c r="H33" s="82">
        <f>SUM(G30:G32)</f>
        <v>0</v>
      </c>
    </row>
    <row r="34" spans="1:8" ht="15.75" thickBot="1">
      <c r="A34" s="92" t="s">
        <v>502</v>
      </c>
      <c r="B34" s="92"/>
      <c r="C34" s="61"/>
      <c r="D34" s="61"/>
      <c r="E34" s="61"/>
      <c r="F34" s="61"/>
      <c r="G34" s="61"/>
      <c r="H34" s="61"/>
    </row>
    <row r="35" spans="1:8">
      <c r="A35" s="278" t="s">
        <v>503</v>
      </c>
      <c r="B35" s="280"/>
      <c r="C35" s="280" t="s">
        <v>504</v>
      </c>
      <c r="D35" s="280" t="s">
        <v>505</v>
      </c>
      <c r="E35" s="124" t="s">
        <v>506</v>
      </c>
      <c r="F35" s="102" t="s">
        <v>488</v>
      </c>
      <c r="G35" s="279" t="s">
        <v>489</v>
      </c>
      <c r="H35" s="67"/>
    </row>
    <row r="36" spans="1:8">
      <c r="A36" s="83" t="s">
        <v>697</v>
      </c>
      <c r="B36" s="84"/>
      <c r="C36" s="103">
        <f>+SALARIOS!C49</f>
        <v>25572</v>
      </c>
      <c r="D36" s="104">
        <f>+SALARIOS!C48</f>
        <v>1.7846558312967005</v>
      </c>
      <c r="E36" s="69">
        <f>+C36*D36</f>
        <v>45637.218917919221</v>
      </c>
      <c r="F36" s="69">
        <v>0.93</v>
      </c>
      <c r="G36" s="105">
        <f>+E36*F36</f>
        <v>42442.613593664879</v>
      </c>
      <c r="H36" s="72"/>
    </row>
    <row r="37" spans="1:8">
      <c r="A37" s="83" t="s">
        <v>624</v>
      </c>
      <c r="B37" s="84"/>
      <c r="C37" s="103">
        <f>+SALARIOS!C50</f>
        <v>41660</v>
      </c>
      <c r="D37" s="104">
        <f>+SALARIOS!C48</f>
        <v>1.7846558312967005</v>
      </c>
      <c r="E37" s="69">
        <f>+C37*D37</f>
        <v>74348.76193182054</v>
      </c>
      <c r="F37" s="69">
        <v>0.93</v>
      </c>
      <c r="G37" s="105">
        <f>+E37*F37</f>
        <v>69144.348596593103</v>
      </c>
      <c r="H37" s="72"/>
    </row>
    <row r="38" spans="1:8">
      <c r="A38" s="83"/>
      <c r="B38" s="84"/>
      <c r="C38" s="103"/>
      <c r="D38" s="104"/>
      <c r="E38" s="69"/>
      <c r="F38" s="69"/>
      <c r="G38" s="105"/>
      <c r="H38" s="72"/>
    </row>
    <row r="39" spans="1:8" ht="15.75" thickBot="1">
      <c r="A39" s="100"/>
      <c r="B39" s="106"/>
      <c r="C39" s="77"/>
      <c r="D39" s="91"/>
      <c r="E39" s="143"/>
      <c r="F39" s="91"/>
      <c r="G39" s="90"/>
      <c r="H39" s="80"/>
    </row>
    <row r="40" spans="1:8" ht="15.75" thickBot="1">
      <c r="A40" s="61"/>
      <c r="B40" s="61"/>
      <c r="C40" s="61"/>
      <c r="D40" s="61"/>
      <c r="E40" s="61"/>
      <c r="F40" s="61"/>
      <c r="G40" s="81" t="s">
        <v>491</v>
      </c>
      <c r="H40" s="82">
        <f>SUM(G36:G39)</f>
        <v>111586.96219025798</v>
      </c>
    </row>
    <row r="41" spans="1:8" ht="15.75" thickBot="1">
      <c r="A41" s="61"/>
      <c r="B41" s="61"/>
      <c r="C41" s="61"/>
      <c r="D41" s="61"/>
      <c r="E41" s="61"/>
      <c r="F41" s="61"/>
      <c r="G41" s="107"/>
      <c r="H41" s="58"/>
    </row>
    <row r="42" spans="1:8" ht="15.75" thickBot="1">
      <c r="A42" s="61"/>
      <c r="B42" s="61"/>
      <c r="C42" s="61"/>
      <c r="D42" s="61"/>
      <c r="E42" s="81" t="s">
        <v>508</v>
      </c>
      <c r="F42" s="107"/>
      <c r="G42" s="107"/>
      <c r="H42" s="82">
        <f>H18+H27+H33+H40</f>
        <v>337156.53019028378</v>
      </c>
    </row>
    <row r="43" spans="1:8" ht="15.75" thickBot="1">
      <c r="A43" s="63" t="s">
        <v>509</v>
      </c>
      <c r="B43" s="63"/>
      <c r="C43" s="61"/>
      <c r="D43" s="61"/>
      <c r="E43" s="61"/>
      <c r="F43" s="61"/>
      <c r="G43" s="61"/>
      <c r="H43" s="61"/>
    </row>
    <row r="44" spans="1:8">
      <c r="A44" s="233" t="s">
        <v>485</v>
      </c>
      <c r="B44" s="291"/>
      <c r="C44" s="291"/>
      <c r="D44" s="291"/>
      <c r="E44" s="292"/>
      <c r="F44" s="292" t="s">
        <v>510</v>
      </c>
      <c r="G44" s="291" t="s">
        <v>511</v>
      </c>
      <c r="H44" s="67"/>
    </row>
    <row r="45" spans="1:8">
      <c r="A45" s="83" t="s">
        <v>512</v>
      </c>
      <c r="B45" s="84"/>
      <c r="C45" s="84"/>
      <c r="D45" s="84"/>
      <c r="E45" s="85"/>
      <c r="F45" s="115">
        <f>+SALARIOS!C45</f>
        <v>0.15</v>
      </c>
      <c r="G45" s="116">
        <f>++F45*H42</f>
        <v>50573.479528542564</v>
      </c>
      <c r="H45" s="117"/>
    </row>
    <row r="46" spans="1:8">
      <c r="A46" s="83" t="s">
        <v>513</v>
      </c>
      <c r="B46" s="84"/>
      <c r="C46" s="84"/>
      <c r="D46" s="84"/>
      <c r="E46" s="85"/>
      <c r="F46" s="115">
        <f>+SALARIOS!C46</f>
        <v>0.05</v>
      </c>
      <c r="G46" s="116">
        <f>+F46*H42</f>
        <v>16857.826509514191</v>
      </c>
      <c r="H46" s="117"/>
    </row>
    <row r="47" spans="1:8" ht="15.75" thickBot="1">
      <c r="A47" s="89" t="s">
        <v>514</v>
      </c>
      <c r="B47" s="90"/>
      <c r="C47" s="90"/>
      <c r="D47" s="90"/>
      <c r="E47" s="91"/>
      <c r="F47" s="118">
        <f>+SALARIOS!C47</f>
        <v>0.05</v>
      </c>
      <c r="G47" s="119">
        <f>+F47*H42</f>
        <v>16857.826509514191</v>
      </c>
      <c r="H47" s="80"/>
    </row>
    <row r="48" spans="1:8" ht="15.75" thickBot="1">
      <c r="A48" s="61"/>
      <c r="B48" s="61"/>
      <c r="C48" s="61"/>
      <c r="D48" s="61"/>
      <c r="E48" s="61"/>
      <c r="F48" s="61"/>
      <c r="G48" s="81" t="s">
        <v>491</v>
      </c>
      <c r="H48" s="120">
        <f>SUM(G45:G47)</f>
        <v>84289.132547570945</v>
      </c>
    </row>
    <row r="49" spans="1:8" ht="15.75" thickBot="1">
      <c r="A49" s="61"/>
      <c r="B49" s="61"/>
      <c r="C49" s="61"/>
      <c r="D49" s="61"/>
      <c r="E49" s="61"/>
      <c r="F49" s="61"/>
      <c r="G49" s="61"/>
      <c r="H49" s="61"/>
    </row>
    <row r="50" spans="1:8" ht="15.75" thickBot="1">
      <c r="A50" s="16"/>
      <c r="B50" s="16"/>
      <c r="C50" s="61"/>
      <c r="D50" s="81" t="s">
        <v>515</v>
      </c>
      <c r="E50" s="107"/>
      <c r="F50" s="107"/>
      <c r="G50" s="107"/>
      <c r="H50" s="82">
        <f>ROUND((H42+H48),0)</f>
        <v>421446</v>
      </c>
    </row>
  </sheetData>
  <mergeCells count="2">
    <mergeCell ref="A3:C4"/>
    <mergeCell ref="A8:E8"/>
  </mergeCells>
  <pageMargins left="0.7" right="0.7" top="0.75" bottom="0.75" header="0.3" footer="0.3"/>
  <pageSetup paperSize="9"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50"/>
  <sheetViews>
    <sheetView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935</v>
      </c>
      <c r="H7" s="61"/>
    </row>
    <row r="8" spans="1:8">
      <c r="A8" s="60" t="s">
        <v>936</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H40*10%</f>
        <v>3999.5326949913251</v>
      </c>
      <c r="H12" s="72"/>
    </row>
    <row r="13" spans="1:8">
      <c r="A13" s="281"/>
      <c r="B13" s="282"/>
      <c r="C13" s="283"/>
      <c r="D13" s="73"/>
      <c r="E13" s="74"/>
      <c r="F13" s="137"/>
      <c r="G13" s="71"/>
      <c r="H13" s="72"/>
    </row>
    <row r="14" spans="1:8">
      <c r="A14" s="164"/>
      <c r="B14" s="165"/>
      <c r="C14" s="166"/>
      <c r="D14" s="167"/>
      <c r="E14" s="167"/>
      <c r="F14" s="167"/>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3999.5326949913251</v>
      </c>
    </row>
    <row r="19" spans="1:8" ht="15.75" thickBot="1">
      <c r="A19" s="63" t="s">
        <v>492</v>
      </c>
      <c r="B19" s="63"/>
      <c r="C19" s="61"/>
      <c r="D19" s="61"/>
      <c r="E19" s="61"/>
      <c r="F19" s="61"/>
      <c r="G19" s="61"/>
      <c r="H19" s="61"/>
    </row>
    <row r="20" spans="1:8">
      <c r="A20" s="765" t="s">
        <v>485</v>
      </c>
      <c r="B20" s="766"/>
      <c r="C20" s="767"/>
      <c r="D20" s="767" t="s">
        <v>493</v>
      </c>
      <c r="E20" s="767" t="s">
        <v>494</v>
      </c>
      <c r="F20" s="767" t="s">
        <v>495</v>
      </c>
      <c r="G20" s="452" t="s">
        <v>489</v>
      </c>
      <c r="H20" s="684"/>
    </row>
    <row r="21" spans="1:8">
      <c r="A21" s="83" t="s">
        <v>194</v>
      </c>
      <c r="B21" s="84"/>
      <c r="C21" s="85"/>
      <c r="D21" s="141" t="s">
        <v>19</v>
      </c>
      <c r="E21" s="139">
        <f>'5,5'!H26</f>
        <v>345913.20750000002</v>
      </c>
      <c r="F21" s="163">
        <v>0.5</v>
      </c>
      <c r="G21" s="685">
        <f t="shared" ref="G21:G26" si="0">+E21*F21</f>
        <v>172956.60375000001</v>
      </c>
      <c r="H21" s="59"/>
    </row>
    <row r="22" spans="1:8">
      <c r="A22" s="83" t="s">
        <v>1822</v>
      </c>
      <c r="B22" s="84"/>
      <c r="C22" s="85"/>
      <c r="D22" s="68" t="s">
        <v>234</v>
      </c>
      <c r="E22" s="142">
        <f>+MATERIALES!D64</f>
        <v>1575</v>
      </c>
      <c r="F22" s="161">
        <v>1.5</v>
      </c>
      <c r="G22" s="105">
        <f t="shared" si="0"/>
        <v>2362.5</v>
      </c>
      <c r="H22" s="59"/>
    </row>
    <row r="23" spans="1:8">
      <c r="A23" s="128" t="s">
        <v>229</v>
      </c>
      <c r="B23" s="129"/>
      <c r="C23" s="130"/>
      <c r="D23" s="131" t="s">
        <v>44</v>
      </c>
      <c r="E23" s="132">
        <f>+MATERIALES!F10</f>
        <v>4466</v>
      </c>
      <c r="F23" s="315">
        <v>0.3</v>
      </c>
      <c r="G23" s="686">
        <f t="shared" si="0"/>
        <v>1339.8</v>
      </c>
      <c r="H23" s="59"/>
    </row>
    <row r="24" spans="1:8">
      <c r="A24" s="83" t="s">
        <v>1824</v>
      </c>
      <c r="B24" s="84"/>
      <c r="C24" s="85"/>
      <c r="D24" s="68" t="s">
        <v>1809</v>
      </c>
      <c r="E24" s="86">
        <f>MATERIALES!D56</f>
        <v>4166.666666666667</v>
      </c>
      <c r="F24" s="161">
        <v>3.5</v>
      </c>
      <c r="G24" s="686">
        <f t="shared" si="0"/>
        <v>14583.333333333334</v>
      </c>
      <c r="H24" s="59"/>
    </row>
    <row r="25" spans="1:8">
      <c r="A25" s="83" t="s">
        <v>1832</v>
      </c>
      <c r="B25" s="84"/>
      <c r="C25" s="85"/>
      <c r="D25" s="73" t="s">
        <v>1809</v>
      </c>
      <c r="E25" s="74">
        <f>MATERIALES!D74</f>
        <v>1300</v>
      </c>
      <c r="F25" s="163">
        <v>3.5</v>
      </c>
      <c r="G25" s="686">
        <f t="shared" si="0"/>
        <v>4550</v>
      </c>
      <c r="H25" s="59"/>
    </row>
    <row r="26" spans="1:8" ht="15.75" thickBot="1">
      <c r="A26" s="89" t="s">
        <v>938</v>
      </c>
      <c r="B26" s="90"/>
      <c r="C26" s="91"/>
      <c r="D26" s="76" t="s">
        <v>61</v>
      </c>
      <c r="E26" s="77">
        <f>+MATERIALES!D278</f>
        <v>180000</v>
      </c>
      <c r="F26" s="762">
        <v>1</v>
      </c>
      <c r="G26" s="453">
        <f t="shared" si="0"/>
        <v>180000</v>
      </c>
      <c r="H26" s="451"/>
    </row>
    <row r="27" spans="1:8" ht="15.75" thickBot="1">
      <c r="A27" s="61"/>
      <c r="B27" s="61"/>
      <c r="C27" s="61"/>
      <c r="D27" s="61"/>
      <c r="E27" s="61"/>
      <c r="F27" s="61"/>
      <c r="G27" s="81" t="s">
        <v>491</v>
      </c>
      <c r="H27" s="82">
        <f>SUM(G21:G26)</f>
        <v>375792.23708333331</v>
      </c>
    </row>
    <row r="28" spans="1:8" ht="15.75" thickBot="1">
      <c r="A28" s="92" t="s">
        <v>496</v>
      </c>
      <c r="B28" s="92"/>
      <c r="C28" s="90"/>
      <c r="D28" s="61"/>
      <c r="E28" s="61"/>
      <c r="F28" s="61"/>
      <c r="G28" s="61"/>
      <c r="H28" s="61"/>
    </row>
    <row r="29" spans="1:8">
      <c r="A29" s="278" t="s">
        <v>497</v>
      </c>
      <c r="B29" s="280"/>
      <c r="C29" s="93" t="s">
        <v>498</v>
      </c>
      <c r="D29" s="280" t="s">
        <v>499</v>
      </c>
      <c r="E29" s="280" t="s">
        <v>500</v>
      </c>
      <c r="F29" s="280" t="s">
        <v>501</v>
      </c>
      <c r="G29" s="94" t="s">
        <v>489</v>
      </c>
      <c r="H29" s="67"/>
    </row>
    <row r="30" spans="1:8">
      <c r="A30" s="83"/>
      <c r="B30" s="84"/>
      <c r="C30" s="95"/>
      <c r="D30" s="96"/>
      <c r="E30" s="96"/>
      <c r="F30" s="97"/>
      <c r="G30" s="97"/>
      <c r="H30" s="72"/>
    </row>
    <row r="31" spans="1:8">
      <c r="A31" s="83"/>
      <c r="B31" s="84"/>
      <c r="C31" s="98"/>
      <c r="D31" s="68"/>
      <c r="E31" s="96"/>
      <c r="F31" s="97"/>
      <c r="G31" s="97"/>
      <c r="H31" s="72"/>
    </row>
    <row r="32" spans="1:8" ht="15.75" thickBot="1">
      <c r="A32" s="100"/>
      <c r="B32" s="101"/>
      <c r="C32" s="76"/>
      <c r="D32" s="76"/>
      <c r="E32" s="211"/>
      <c r="F32" s="212"/>
      <c r="G32" s="76"/>
      <c r="H32" s="72"/>
    </row>
    <row r="33" spans="1:8" ht="15.75" thickBot="1">
      <c r="A33" s="61"/>
      <c r="B33" s="61"/>
      <c r="C33" s="61"/>
      <c r="D33" s="61"/>
      <c r="E33" s="61"/>
      <c r="F33" s="61"/>
      <c r="G33" s="81" t="s">
        <v>491</v>
      </c>
      <c r="H33" s="82">
        <f>SUM(G30:G32)</f>
        <v>0</v>
      </c>
    </row>
    <row r="34" spans="1:8" ht="15.75" thickBot="1">
      <c r="A34" s="92" t="s">
        <v>502</v>
      </c>
      <c r="B34" s="92"/>
      <c r="C34" s="61"/>
      <c r="D34" s="61"/>
      <c r="E34" s="61"/>
      <c r="F34" s="61"/>
      <c r="G34" s="61"/>
      <c r="H34" s="61"/>
    </row>
    <row r="35" spans="1:8">
      <c r="A35" s="278" t="s">
        <v>503</v>
      </c>
      <c r="B35" s="280"/>
      <c r="C35" s="280" t="s">
        <v>504</v>
      </c>
      <c r="D35" s="280" t="s">
        <v>505</v>
      </c>
      <c r="E35" s="124" t="s">
        <v>506</v>
      </c>
      <c r="F35" s="102" t="s">
        <v>488</v>
      </c>
      <c r="G35" s="279" t="s">
        <v>489</v>
      </c>
      <c r="H35" s="67"/>
    </row>
    <row r="36" spans="1:8">
      <c r="A36" s="83" t="s">
        <v>697</v>
      </c>
      <c r="B36" s="84"/>
      <c r="C36" s="103">
        <f>+SALARIOS!C49</f>
        <v>25572</v>
      </c>
      <c r="D36" s="104">
        <f>+SALARIOS!C48</f>
        <v>1.7846558312967005</v>
      </c>
      <c r="E36" s="69">
        <f>+C36*D36</f>
        <v>45637.218917919221</v>
      </c>
      <c r="F36" s="69">
        <v>3</v>
      </c>
      <c r="G36" s="105">
        <f>+E36/F36</f>
        <v>15212.406305973074</v>
      </c>
      <c r="H36" s="72"/>
    </row>
    <row r="37" spans="1:8">
      <c r="A37" s="83" t="s">
        <v>624</v>
      </c>
      <c r="B37" s="84"/>
      <c r="C37" s="103">
        <f>+SALARIOS!C50</f>
        <v>41660</v>
      </c>
      <c r="D37" s="104">
        <f>+SALARIOS!C48</f>
        <v>1.7846558312967005</v>
      </c>
      <c r="E37" s="69">
        <f>+C37*D37</f>
        <v>74348.76193182054</v>
      </c>
      <c r="F37" s="69">
        <v>3</v>
      </c>
      <c r="G37" s="105">
        <f>+E37/F37</f>
        <v>24782.920643940179</v>
      </c>
      <c r="H37" s="72"/>
    </row>
    <row r="38" spans="1:8">
      <c r="A38" s="83"/>
      <c r="B38" s="84"/>
      <c r="C38" s="103"/>
      <c r="D38" s="104"/>
      <c r="E38" s="69"/>
      <c r="F38" s="69"/>
      <c r="G38" s="105"/>
      <c r="H38" s="72"/>
    </row>
    <row r="39" spans="1:8" ht="15.75" thickBot="1">
      <c r="A39" s="100"/>
      <c r="B39" s="106"/>
      <c r="C39" s="77"/>
      <c r="D39" s="91"/>
      <c r="E39" s="143"/>
      <c r="F39" s="91"/>
      <c r="G39" s="90"/>
      <c r="H39" s="80"/>
    </row>
    <row r="40" spans="1:8" ht="15.75" thickBot="1">
      <c r="A40" s="61"/>
      <c r="B40" s="61"/>
      <c r="C40" s="61"/>
      <c r="D40" s="61"/>
      <c r="E40" s="61"/>
      <c r="F40" s="61"/>
      <c r="G40" s="81" t="s">
        <v>491</v>
      </c>
      <c r="H40" s="82">
        <f>SUM(G36:G39)</f>
        <v>39995.326949913251</v>
      </c>
    </row>
    <row r="41" spans="1:8" ht="15.75" thickBot="1">
      <c r="A41" s="61"/>
      <c r="B41" s="61"/>
      <c r="C41" s="61"/>
      <c r="D41" s="61"/>
      <c r="E41" s="61"/>
      <c r="F41" s="61"/>
      <c r="G41" s="107"/>
      <c r="H41" s="58"/>
    </row>
    <row r="42" spans="1:8" ht="15.75" thickBot="1">
      <c r="A42" s="61"/>
      <c r="B42" s="61"/>
      <c r="C42" s="61"/>
      <c r="D42" s="61"/>
      <c r="E42" s="81" t="s">
        <v>508</v>
      </c>
      <c r="F42" s="107"/>
      <c r="G42" s="107"/>
      <c r="H42" s="82">
        <f>H18+H27+H33+H40</f>
        <v>419787.09672823787</v>
      </c>
    </row>
    <row r="43" spans="1:8" ht="15.75" thickBot="1">
      <c r="A43" s="63" t="s">
        <v>509</v>
      </c>
      <c r="B43" s="63"/>
      <c r="C43" s="61"/>
      <c r="D43" s="61"/>
      <c r="E43" s="61"/>
      <c r="F43" s="61"/>
      <c r="G43" s="61"/>
      <c r="H43" s="61"/>
    </row>
    <row r="44" spans="1:8">
      <c r="A44" s="233" t="s">
        <v>485</v>
      </c>
      <c r="B44" s="291"/>
      <c r="C44" s="291"/>
      <c r="D44" s="291"/>
      <c r="E44" s="292"/>
      <c r="F44" s="292" t="s">
        <v>510</v>
      </c>
      <c r="G44" s="291" t="s">
        <v>511</v>
      </c>
      <c r="H44" s="67"/>
    </row>
    <row r="45" spans="1:8">
      <c r="A45" s="83" t="s">
        <v>512</v>
      </c>
      <c r="B45" s="84"/>
      <c r="C45" s="84"/>
      <c r="D45" s="84"/>
      <c r="E45" s="85"/>
      <c r="F45" s="115">
        <f>+SALARIOS!C45</f>
        <v>0.15</v>
      </c>
      <c r="G45" s="116">
        <f>++F45*H42</f>
        <v>62968.064509235679</v>
      </c>
      <c r="H45" s="117"/>
    </row>
    <row r="46" spans="1:8">
      <c r="A46" s="83" t="s">
        <v>513</v>
      </c>
      <c r="B46" s="84"/>
      <c r="C46" s="84"/>
      <c r="D46" s="84"/>
      <c r="E46" s="85"/>
      <c r="F46" s="115">
        <f>+SALARIOS!C46</f>
        <v>0.05</v>
      </c>
      <c r="G46" s="116">
        <f>+F46*H42</f>
        <v>20989.354836411894</v>
      </c>
      <c r="H46" s="117"/>
    </row>
    <row r="47" spans="1:8" ht="15.75" thickBot="1">
      <c r="A47" s="89" t="s">
        <v>514</v>
      </c>
      <c r="B47" s="90"/>
      <c r="C47" s="90"/>
      <c r="D47" s="90"/>
      <c r="E47" s="91"/>
      <c r="F47" s="118">
        <f>+SALARIOS!C47</f>
        <v>0.05</v>
      </c>
      <c r="G47" s="119">
        <f>+F47*H42</f>
        <v>20989.354836411894</v>
      </c>
      <c r="H47" s="80"/>
    </row>
    <row r="48" spans="1:8" ht="15.75" thickBot="1">
      <c r="A48" s="61"/>
      <c r="B48" s="61"/>
      <c r="C48" s="61"/>
      <c r="D48" s="61"/>
      <c r="E48" s="61"/>
      <c r="F48" s="61"/>
      <c r="G48" s="81" t="s">
        <v>491</v>
      </c>
      <c r="H48" s="120">
        <f>SUM(G45:G47)</f>
        <v>104946.77418205947</v>
      </c>
    </row>
    <row r="49" spans="1:8" ht="15.75" thickBot="1">
      <c r="A49" s="61"/>
      <c r="B49" s="61"/>
      <c r="C49" s="61"/>
      <c r="D49" s="61"/>
      <c r="E49" s="61"/>
      <c r="F49" s="61"/>
      <c r="G49" s="61"/>
      <c r="H49" s="61"/>
    </row>
    <row r="50" spans="1:8" ht="15.75" thickBot="1">
      <c r="A50" s="16"/>
      <c r="B50" s="16"/>
      <c r="C50" s="61"/>
      <c r="D50" s="81" t="s">
        <v>515</v>
      </c>
      <c r="E50" s="107"/>
      <c r="F50" s="107"/>
      <c r="G50" s="107"/>
      <c r="H50" s="82">
        <f>ROUND((H42+H48),0)</f>
        <v>524734</v>
      </c>
    </row>
  </sheetData>
  <mergeCells count="1">
    <mergeCell ref="A3:C4"/>
  </mergeCell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topLeftCell="A4"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939</v>
      </c>
      <c r="H7" s="61"/>
    </row>
    <row r="8" spans="1:8">
      <c r="A8" s="60" t="s">
        <v>940</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4799.4392339895903</v>
      </c>
      <c r="H12" s="72"/>
    </row>
    <row r="13" spans="1:8">
      <c r="A13" s="281" t="s">
        <v>937</v>
      </c>
      <c r="B13" s="282"/>
      <c r="C13" s="283"/>
      <c r="D13" s="68" t="s">
        <v>549</v>
      </c>
      <c r="E13" s="86"/>
      <c r="F13" s="69"/>
      <c r="G13" s="71">
        <v>10000</v>
      </c>
      <c r="H13" s="72"/>
    </row>
    <row r="14" spans="1:8">
      <c r="A14" s="164"/>
      <c r="B14" s="165"/>
      <c r="C14" s="166"/>
      <c r="D14" s="167"/>
      <c r="E14" s="167"/>
      <c r="F14" s="167"/>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14799.439233989589</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194</v>
      </c>
      <c r="B21" s="84"/>
      <c r="C21" s="85"/>
      <c r="D21" s="141" t="s">
        <v>19</v>
      </c>
      <c r="E21" s="139">
        <f>'5,5'!H26</f>
        <v>345913.20750000002</v>
      </c>
      <c r="F21" s="163">
        <v>0.45</v>
      </c>
      <c r="G21" s="137">
        <f>+E21*F21</f>
        <v>155660.943375</v>
      </c>
      <c r="H21" s="59"/>
    </row>
    <row r="22" spans="1:8">
      <c r="A22" s="127" t="s">
        <v>70</v>
      </c>
      <c r="B22" s="84"/>
      <c r="C22" s="85"/>
      <c r="D22" s="68" t="s">
        <v>234</v>
      </c>
      <c r="E22" s="142">
        <f>+MATERIALES!D64</f>
        <v>1575</v>
      </c>
      <c r="F22" s="161">
        <v>1</v>
      </c>
      <c r="G22" s="69">
        <f>+E22*F22</f>
        <v>1575</v>
      </c>
      <c r="H22" s="59"/>
    </row>
    <row r="23" spans="1:8">
      <c r="A23" s="128" t="s">
        <v>229</v>
      </c>
      <c r="B23" s="129"/>
      <c r="C23" s="130"/>
      <c r="D23" s="131" t="s">
        <v>44</v>
      </c>
      <c r="E23" s="132">
        <f>MATERIALES!D10</f>
        <v>4576.5866666666661</v>
      </c>
      <c r="F23" s="315">
        <v>0.3</v>
      </c>
      <c r="G23" s="138">
        <f>+E23*F23</f>
        <v>1372.9759999999999</v>
      </c>
      <c r="H23" s="59"/>
    </row>
    <row r="24" spans="1:8" ht="15.75" thickBot="1">
      <c r="A24" s="89" t="s">
        <v>941</v>
      </c>
      <c r="B24" s="90"/>
      <c r="C24" s="91"/>
      <c r="D24" s="76" t="s">
        <v>61</v>
      </c>
      <c r="E24" s="77">
        <f>+MATERIALES!D279</f>
        <v>255199.99999999997</v>
      </c>
      <c r="F24" s="762">
        <v>1</v>
      </c>
      <c r="G24" s="79">
        <f>+E24*F24</f>
        <v>255199.99999999997</v>
      </c>
      <c r="H24" s="80"/>
    </row>
    <row r="25" spans="1:8" ht="15.75" thickBot="1">
      <c r="A25" s="61"/>
      <c r="B25" s="61"/>
      <c r="C25" s="61"/>
      <c r="D25" s="61"/>
      <c r="E25" s="61"/>
      <c r="F25" s="61"/>
      <c r="G25" s="81" t="s">
        <v>491</v>
      </c>
      <c r="H25" s="82">
        <f>SUM(G21:G24)</f>
        <v>413808.91937499994</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697</v>
      </c>
      <c r="B34" s="84"/>
      <c r="C34" s="103">
        <f>+SALARIOS!C49</f>
        <v>25572</v>
      </c>
      <c r="D34" s="104">
        <f>+SALARIOS!C48</f>
        <v>1.7846558312967005</v>
      </c>
      <c r="E34" s="69">
        <f>+C34*D34</f>
        <v>45637.218917919221</v>
      </c>
      <c r="F34" s="69">
        <v>2.5</v>
      </c>
      <c r="G34" s="105">
        <f>+E34/F34</f>
        <v>18254.887567167687</v>
      </c>
      <c r="H34" s="72"/>
    </row>
    <row r="35" spans="1:8">
      <c r="A35" s="83" t="s">
        <v>624</v>
      </c>
      <c r="B35" s="84"/>
      <c r="C35" s="103">
        <f>+SALARIOS!C50</f>
        <v>41660</v>
      </c>
      <c r="D35" s="104">
        <f>+SALARIOS!C48</f>
        <v>1.7846558312967005</v>
      </c>
      <c r="E35" s="69">
        <f>+C35*D35</f>
        <v>74348.76193182054</v>
      </c>
      <c r="F35" s="69">
        <v>2.5</v>
      </c>
      <c r="G35" s="105">
        <f>+E35/F35</f>
        <v>29739.504772728214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47994.392339895901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476602.7509488854</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71490.412642332813</v>
      </c>
      <c r="H43" s="117"/>
    </row>
    <row r="44" spans="1:8">
      <c r="A44" s="83" t="s">
        <v>513</v>
      </c>
      <c r="B44" s="84"/>
      <c r="C44" s="84"/>
      <c r="D44" s="84"/>
      <c r="E44" s="85"/>
      <c r="F44" s="115">
        <f>+SALARIOS!C46</f>
        <v>0.05</v>
      </c>
      <c r="G44" s="116">
        <f>+F44*H40</f>
        <v>23830.137547444272</v>
      </c>
      <c r="H44" s="117"/>
    </row>
    <row r="45" spans="1:8" ht="15.75" thickBot="1">
      <c r="A45" s="89" t="s">
        <v>514</v>
      </c>
      <c r="B45" s="90"/>
      <c r="C45" s="90"/>
      <c r="D45" s="90"/>
      <c r="E45" s="91"/>
      <c r="F45" s="118">
        <f>+SALARIOS!C47</f>
        <v>0.05</v>
      </c>
      <c r="G45" s="119">
        <f>+F45*H40</f>
        <v>23830.137547444272</v>
      </c>
      <c r="H45" s="80"/>
    </row>
    <row r="46" spans="1:8" ht="15.75" thickBot="1">
      <c r="A46" s="61"/>
      <c r="B46" s="61"/>
      <c r="C46" s="61"/>
      <c r="D46" s="61"/>
      <c r="E46" s="61"/>
      <c r="F46" s="61"/>
      <c r="G46" s="81" t="s">
        <v>491</v>
      </c>
      <c r="H46" s="120">
        <f>SUM(G43:G45)</f>
        <v>119150.68773722136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595753</v>
      </c>
    </row>
  </sheetData>
  <mergeCells count="1">
    <mergeCell ref="A3:C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28" workbookViewId="0">
      <selection activeCell="K37" sqref="K37"/>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521</v>
      </c>
      <c r="B7" s="62"/>
      <c r="C7" s="61"/>
      <c r="D7" s="16"/>
      <c r="E7" s="62"/>
      <c r="F7" s="16"/>
      <c r="G7" s="62" t="s">
        <v>559</v>
      </c>
      <c r="H7" s="61"/>
    </row>
    <row r="8" spans="1:8">
      <c r="A8" s="60" t="s">
        <v>560</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1" t="s">
        <v>486</v>
      </c>
      <c r="E11" s="65" t="s">
        <v>487</v>
      </c>
      <c r="F11" s="151" t="s">
        <v>488</v>
      </c>
      <c r="G11" s="150" t="s">
        <v>489</v>
      </c>
      <c r="H11" s="67"/>
    </row>
    <row r="12" spans="1:8">
      <c r="A12" s="1463" t="s">
        <v>1327</v>
      </c>
      <c r="B12" s="1464"/>
      <c r="C12" s="1465"/>
      <c r="D12" s="68"/>
      <c r="E12" s="86"/>
      <c r="F12" s="161"/>
      <c r="G12" s="71">
        <f>H38*10%</f>
        <v>536.90845785787315</v>
      </c>
      <c r="H12" s="72"/>
    </row>
    <row r="13" spans="1:8">
      <c r="A13" s="164"/>
      <c r="B13" s="165"/>
      <c r="C13" s="166"/>
      <c r="D13" s="167"/>
      <c r="E13" s="167"/>
      <c r="F13" s="167"/>
      <c r="G13" s="164"/>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536.90845785787315</v>
      </c>
    </row>
    <row r="19" spans="1:8" ht="15.75" thickBot="1">
      <c r="A19" s="63" t="s">
        <v>492</v>
      </c>
      <c r="B19" s="63"/>
      <c r="C19" s="61"/>
      <c r="D19" s="61"/>
      <c r="E19" s="61"/>
      <c r="F19" s="61"/>
      <c r="G19" s="61"/>
      <c r="H19" s="61"/>
    </row>
    <row r="20" spans="1:8">
      <c r="A20" s="1472" t="s">
        <v>485</v>
      </c>
      <c r="B20" s="1473"/>
      <c r="C20" s="1474"/>
      <c r="D20" s="153" t="s">
        <v>493</v>
      </c>
      <c r="E20" s="153" t="s">
        <v>494</v>
      </c>
      <c r="F20" s="153" t="s">
        <v>495</v>
      </c>
      <c r="G20" s="152" t="s">
        <v>489</v>
      </c>
      <c r="H20" s="67"/>
    </row>
    <row r="21" spans="1:8">
      <c r="A21" s="127" t="s">
        <v>203</v>
      </c>
      <c r="B21" s="84"/>
      <c r="C21" s="85"/>
      <c r="D21" s="141" t="s">
        <v>19</v>
      </c>
      <c r="E21" s="139">
        <f>+MATERIALES!D50</f>
        <v>34800</v>
      </c>
      <c r="F21" s="163">
        <v>1</v>
      </c>
      <c r="G21" s="137">
        <f>E21*F21</f>
        <v>34800</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34800</v>
      </c>
    </row>
    <row r="26" spans="1:8" ht="15.75" thickBot="1">
      <c r="A26" s="92" t="s">
        <v>496</v>
      </c>
      <c r="B26" s="92"/>
      <c r="C26" s="90"/>
      <c r="D26" s="61"/>
      <c r="E26" s="61"/>
      <c r="F26" s="61"/>
      <c r="G26" s="61"/>
      <c r="H26" s="61"/>
    </row>
    <row r="27" spans="1:8">
      <c r="A27" s="1454" t="s">
        <v>497</v>
      </c>
      <c r="B27" s="1456"/>
      <c r="C27" s="93" t="s">
        <v>498</v>
      </c>
      <c r="D27" s="151" t="s">
        <v>499</v>
      </c>
      <c r="E27" s="151" t="s">
        <v>500</v>
      </c>
      <c r="F27" s="151"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1" t="s">
        <v>504</v>
      </c>
      <c r="D33" s="151" t="s">
        <v>505</v>
      </c>
      <c r="E33" s="124" t="s">
        <v>506</v>
      </c>
      <c r="F33" s="102" t="s">
        <v>488</v>
      </c>
      <c r="G33" s="150" t="s">
        <v>489</v>
      </c>
      <c r="H33" s="67"/>
    </row>
    <row r="34" spans="1:8">
      <c r="A34" s="83" t="s">
        <v>554</v>
      </c>
      <c r="B34" s="84"/>
      <c r="C34" s="103">
        <f>+SALARIOS!C49*2</f>
        <v>51144</v>
      </c>
      <c r="D34" s="104">
        <f>+SALARIOS!C48</f>
        <v>1.7846558312967005</v>
      </c>
      <c r="E34" s="69">
        <f>(C34*D34)</f>
        <v>91274.437835838442</v>
      </c>
      <c r="F34" s="69">
        <v>17</v>
      </c>
      <c r="G34" s="105">
        <f>E34/F34</f>
        <v>5369.0845785787315</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5369.0845785787315</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40705.993036436608</v>
      </c>
    </row>
    <row r="41" spans="1:8" ht="15.75" thickBot="1">
      <c r="A41" s="63" t="s">
        <v>509</v>
      </c>
      <c r="B41" s="63"/>
      <c r="C41" s="61"/>
      <c r="D41" s="61"/>
      <c r="E41" s="61"/>
      <c r="F41" s="61"/>
      <c r="G41" s="61"/>
      <c r="H41" s="61"/>
    </row>
    <row r="42" spans="1:8">
      <c r="A42" s="110" t="s">
        <v>485</v>
      </c>
      <c r="B42" s="111"/>
      <c r="C42" s="111"/>
      <c r="D42" s="111"/>
      <c r="E42" s="112"/>
      <c r="F42" s="153" t="s">
        <v>510</v>
      </c>
      <c r="G42" s="152" t="s">
        <v>511</v>
      </c>
      <c r="H42" s="67"/>
    </row>
    <row r="43" spans="1:8">
      <c r="A43" s="83" t="s">
        <v>512</v>
      </c>
      <c r="B43" s="84"/>
      <c r="C43" s="84"/>
      <c r="D43" s="84"/>
      <c r="E43" s="85"/>
      <c r="F43" s="115">
        <f>(SALARIOS!C45)</f>
        <v>0.15</v>
      </c>
      <c r="G43" s="116">
        <f>++F43*H40</f>
        <v>6105.8989554654909</v>
      </c>
      <c r="H43" s="117"/>
    </row>
    <row r="44" spans="1:8">
      <c r="A44" s="83" t="s">
        <v>513</v>
      </c>
      <c r="B44" s="84"/>
      <c r="C44" s="84"/>
      <c r="D44" s="84"/>
      <c r="E44" s="85"/>
      <c r="F44" s="115">
        <f>(SALARIOS!C46)</f>
        <v>0.05</v>
      </c>
      <c r="G44" s="116">
        <f>+F44*H40</f>
        <v>2035.2996518218306</v>
      </c>
      <c r="H44" s="117"/>
    </row>
    <row r="45" spans="1:8" ht="15.75" thickBot="1">
      <c r="A45" s="89" t="s">
        <v>514</v>
      </c>
      <c r="B45" s="90"/>
      <c r="C45" s="90"/>
      <c r="D45" s="90"/>
      <c r="E45" s="91"/>
      <c r="F45" s="118">
        <f>(SALARIOS!C47)</f>
        <v>0.05</v>
      </c>
      <c r="G45" s="119">
        <f>+F45*H40</f>
        <v>2035.2996518218306</v>
      </c>
      <c r="H45" s="80"/>
    </row>
    <row r="46" spans="1:8" ht="15.75" thickBot="1">
      <c r="A46" s="61"/>
      <c r="B46" s="61"/>
      <c r="C46" s="61"/>
      <c r="D46" s="61"/>
      <c r="E46" s="61"/>
      <c r="F46" s="61"/>
      <c r="G46" s="81" t="s">
        <v>491</v>
      </c>
      <c r="H46" s="120">
        <f>SUM(G43:G45)</f>
        <v>10176.498259109152</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50882</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topLeftCell="A19"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942</v>
      </c>
      <c r="H7" s="61"/>
    </row>
    <row r="8" spans="1:8">
      <c r="A8" s="60" t="s">
        <v>943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2760.3866627943166</v>
      </c>
      <c r="H12" s="72"/>
    </row>
    <row r="13" spans="1:8">
      <c r="A13" s="175"/>
      <c r="B13" s="176"/>
      <c r="C13" s="174"/>
      <c r="D13" s="174"/>
      <c r="E13" s="173"/>
      <c r="F13" s="69"/>
      <c r="G13" s="173"/>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2760.3866627943166</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944</v>
      </c>
      <c r="B21" s="84"/>
      <c r="C21" s="85"/>
      <c r="D21" s="141" t="s">
        <v>19</v>
      </c>
      <c r="E21" s="139">
        <f>'5,5'!H26</f>
        <v>345913.20750000002</v>
      </c>
      <c r="F21" s="137">
        <v>0.25</v>
      </c>
      <c r="G21" s="137">
        <f>+E21*F21</f>
        <v>86478.301875000005</v>
      </c>
      <c r="H21" s="59"/>
    </row>
    <row r="22" spans="1:8">
      <c r="A22" s="127" t="s">
        <v>236</v>
      </c>
      <c r="B22" s="84"/>
      <c r="C22" s="85"/>
      <c r="D22" s="68" t="s">
        <v>1</v>
      </c>
      <c r="E22" s="142">
        <f>+MATERIALES!D301</f>
        <v>45047.82666666666</v>
      </c>
      <c r="F22" s="161">
        <v>1</v>
      </c>
      <c r="G22" s="69">
        <f>+E22*F22</f>
        <v>45047.82666666666</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131526.12854166667</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6</v>
      </c>
      <c r="G34" s="105">
        <f>+E34/F34</f>
        <v>15212.406305973074</v>
      </c>
      <c r="H34" s="72"/>
    </row>
    <row r="35" spans="1:8">
      <c r="A35" s="83" t="s">
        <v>624</v>
      </c>
      <c r="B35" s="84"/>
      <c r="C35" s="103">
        <f>+SALARIOS!C50</f>
        <v>41660</v>
      </c>
      <c r="D35" s="104">
        <f>+SALARIOS!C48</f>
        <v>1.7846558312967005</v>
      </c>
      <c r="E35" s="69">
        <f>+C35*D35</f>
        <v>74348.76193182054</v>
      </c>
      <c r="F35" s="69">
        <v>6</v>
      </c>
      <c r="G35" s="105">
        <f>+E35/F35</f>
        <v>12391.460321970089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27603.866627943164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161890.38183240412</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24283.557274860617</v>
      </c>
      <c r="H43" s="117"/>
    </row>
    <row r="44" spans="1:8">
      <c r="A44" s="83" t="s">
        <v>513</v>
      </c>
      <c r="B44" s="84"/>
      <c r="C44" s="84"/>
      <c r="D44" s="84"/>
      <c r="E44" s="85"/>
      <c r="F44" s="115">
        <f>+SALARIOS!C46</f>
        <v>0.05</v>
      </c>
      <c r="G44" s="116">
        <f>+F44*H40</f>
        <v>8094.5190916202064</v>
      </c>
      <c r="H44" s="117"/>
    </row>
    <row r="45" spans="1:8" ht="15.75" thickBot="1">
      <c r="A45" s="89" t="s">
        <v>514</v>
      </c>
      <c r="B45" s="90"/>
      <c r="C45" s="90"/>
      <c r="D45" s="90"/>
      <c r="E45" s="91"/>
      <c r="F45" s="118">
        <f>+SALARIOS!C47</f>
        <v>0.05</v>
      </c>
      <c r="G45" s="119">
        <f>+F45*H40</f>
        <v>8094.5190916202064</v>
      </c>
      <c r="H45" s="80"/>
    </row>
    <row r="46" spans="1:8" ht="15.75" thickBot="1">
      <c r="A46" s="61"/>
      <c r="B46" s="61"/>
      <c r="C46" s="61"/>
      <c r="D46" s="61"/>
      <c r="E46" s="61"/>
      <c r="F46" s="61"/>
      <c r="G46" s="81" t="s">
        <v>491</v>
      </c>
      <c r="H46" s="120">
        <f>SUM(G43:G45)</f>
        <v>40472.59545810103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202363</v>
      </c>
    </row>
  </sheetData>
  <mergeCells count="1">
    <mergeCell ref="A3:C4"/>
  </mergeCell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945</v>
      </c>
      <c r="H7" s="61"/>
    </row>
    <row r="8" spans="1:8">
      <c r="A8" s="60" t="s">
        <v>946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2760.3866627943166</v>
      </c>
      <c r="H12" s="72"/>
    </row>
    <row r="13" spans="1:8">
      <c r="D13" s="167"/>
      <c r="E13" s="167"/>
      <c r="F13" s="167"/>
      <c r="G13" s="167"/>
      <c r="H13" s="59"/>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2760.3866627943166</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944</v>
      </c>
      <c r="B21" s="84"/>
      <c r="C21" s="85"/>
      <c r="D21" s="141" t="s">
        <v>19</v>
      </c>
      <c r="E21" s="139">
        <f>'5,5'!H26</f>
        <v>345913.20750000002</v>
      </c>
      <c r="F21" s="137">
        <v>0.25</v>
      </c>
      <c r="G21" s="137">
        <f>+E21*F21</f>
        <v>86478.301875000005</v>
      </c>
      <c r="H21" s="59"/>
    </row>
    <row r="22" spans="1:8">
      <c r="A22" s="127" t="s">
        <v>237</v>
      </c>
      <c r="B22" s="84"/>
      <c r="C22" s="85"/>
      <c r="D22" s="68" t="s">
        <v>1</v>
      </c>
      <c r="E22" s="142">
        <f>+MATERIALES!D303</f>
        <v>97280.5</v>
      </c>
      <c r="F22" s="70">
        <v>1</v>
      </c>
      <c r="G22" s="69">
        <f>+E22*F22</f>
        <v>97280.5</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183758.801875</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6</v>
      </c>
      <c r="G34" s="105">
        <f>+E34/F34</f>
        <v>15212.406305973074</v>
      </c>
      <c r="H34" s="72"/>
    </row>
    <row r="35" spans="1:8">
      <c r="A35" s="83" t="s">
        <v>624</v>
      </c>
      <c r="B35" s="84"/>
      <c r="C35" s="103">
        <f>+SALARIOS!C50</f>
        <v>41660</v>
      </c>
      <c r="D35" s="104">
        <f>+SALARIOS!C48</f>
        <v>1.7846558312967005</v>
      </c>
      <c r="E35" s="69">
        <f>+C35*D35</f>
        <v>74348.76193182054</v>
      </c>
      <c r="F35" s="69">
        <v>6</v>
      </c>
      <c r="G35" s="105">
        <f>+E35/F35</f>
        <v>12391.460321970089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27603.866627943164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214123.05516573746</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32118.458274860619</v>
      </c>
      <c r="H43" s="117"/>
    </row>
    <row r="44" spans="1:8">
      <c r="A44" s="83" t="s">
        <v>513</v>
      </c>
      <c r="B44" s="84"/>
      <c r="C44" s="84"/>
      <c r="D44" s="84"/>
      <c r="E44" s="85"/>
      <c r="F44" s="115">
        <f>+SALARIOS!C46</f>
        <v>0.05</v>
      </c>
      <c r="G44" s="116">
        <f>+F44*H40</f>
        <v>10706.152758286873</v>
      </c>
      <c r="H44" s="117"/>
    </row>
    <row r="45" spans="1:8" ht="15.75" thickBot="1">
      <c r="A45" s="89" t="s">
        <v>514</v>
      </c>
      <c r="B45" s="90"/>
      <c r="C45" s="90"/>
      <c r="D45" s="90"/>
      <c r="E45" s="91"/>
      <c r="F45" s="118">
        <f>+SALARIOS!C47</f>
        <v>0.05</v>
      </c>
      <c r="G45" s="119">
        <f>+F45*H40</f>
        <v>10706.152758286873</v>
      </c>
      <c r="H45" s="80"/>
    </row>
    <row r="46" spans="1:8" ht="15.75" thickBot="1">
      <c r="A46" s="61"/>
      <c r="B46" s="61"/>
      <c r="C46" s="61"/>
      <c r="D46" s="61"/>
      <c r="E46" s="61"/>
      <c r="F46" s="61"/>
      <c r="G46" s="81" t="s">
        <v>491</v>
      </c>
      <c r="H46" s="120">
        <f>SUM(G43:G45)</f>
        <v>53530.763791434365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267654</v>
      </c>
    </row>
  </sheetData>
  <mergeCells count="1">
    <mergeCell ref="A3:C4"/>
  </mergeCell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topLeftCell="A19"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947</v>
      </c>
      <c r="H7" s="61"/>
    </row>
    <row r="8" spans="1:8">
      <c r="A8" s="60" t="s">
        <v>948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234" t="s">
        <v>949</v>
      </c>
      <c r="B12" s="293"/>
      <c r="C12" s="294"/>
      <c r="D12" s="68" t="s">
        <v>62</v>
      </c>
      <c r="E12" s="86">
        <v>10000</v>
      </c>
      <c r="F12" s="161">
        <v>1</v>
      </c>
      <c r="G12" s="71">
        <f>+E12/F12</f>
        <v>10000</v>
      </c>
      <c r="H12" s="72"/>
    </row>
    <row r="13" spans="1:8">
      <c r="A13" s="175" t="s">
        <v>1327</v>
      </c>
      <c r="B13" s="176"/>
      <c r="C13" s="174"/>
      <c r="D13" s="174"/>
      <c r="E13" s="173"/>
      <c r="F13" s="69"/>
      <c r="G13" s="173">
        <f>H38*10%</f>
        <v>21126.041868557822</v>
      </c>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31126.041868557822</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950</v>
      </c>
      <c r="B21" s="84"/>
      <c r="C21" s="85"/>
      <c r="D21" s="141" t="s">
        <v>19</v>
      </c>
      <c r="E21" s="139">
        <f>'5,5'!H26</f>
        <v>345913.20750000002</v>
      </c>
      <c r="F21" s="163">
        <v>0.63</v>
      </c>
      <c r="G21" s="137">
        <f>+E21*F21</f>
        <v>217925.32072500003</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217925.32072500003</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659</v>
      </c>
      <c r="B34" s="84"/>
      <c r="C34" s="103">
        <f>+SALARIOS!C49*3</f>
        <v>76716</v>
      </c>
      <c r="D34" s="104">
        <f>+SALARIOS!C48</f>
        <v>1.7846558312967005</v>
      </c>
      <c r="E34" s="69">
        <f>+C34*D34</f>
        <v>136911.65675375768</v>
      </c>
      <c r="F34" s="69">
        <v>1</v>
      </c>
      <c r="G34" s="105">
        <f>+E34/F34</f>
        <v>136911.65675375768</v>
      </c>
      <c r="H34" s="72"/>
    </row>
    <row r="35" spans="1:8">
      <c r="A35" s="83" t="s">
        <v>624</v>
      </c>
      <c r="B35" s="84"/>
      <c r="C35" s="103">
        <f>+SALARIOS!C50</f>
        <v>41660</v>
      </c>
      <c r="D35" s="104">
        <f>+SALARIOS!C48</f>
        <v>1.7846558312967005</v>
      </c>
      <c r="E35" s="69">
        <f>+C35*D35</f>
        <v>74348.76193182054</v>
      </c>
      <c r="F35" s="69">
        <v>1</v>
      </c>
      <c r="G35" s="105">
        <f>+E35/F35</f>
        <v>74348.76193182054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211260.41868557822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460311.78127913608</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69046.767191870415</v>
      </c>
      <c r="H43" s="117"/>
    </row>
    <row r="44" spans="1:8">
      <c r="A44" s="83" t="s">
        <v>513</v>
      </c>
      <c r="B44" s="84"/>
      <c r="C44" s="84"/>
      <c r="D44" s="84"/>
      <c r="E44" s="85"/>
      <c r="F44" s="115">
        <f>+SALARIOS!C46</f>
        <v>0.05</v>
      </c>
      <c r="G44" s="116">
        <f>+F44*H40</f>
        <v>23015.589063956806</v>
      </c>
      <c r="H44" s="117"/>
    </row>
    <row r="45" spans="1:8" ht="15.75" thickBot="1">
      <c r="A45" s="89" t="s">
        <v>514</v>
      </c>
      <c r="B45" s="90"/>
      <c r="C45" s="90"/>
      <c r="D45" s="90"/>
      <c r="E45" s="91"/>
      <c r="F45" s="118">
        <f>+SALARIOS!C47</f>
        <v>0.05</v>
      </c>
      <c r="G45" s="119">
        <f>+F45*H40</f>
        <v>23015.589063956806</v>
      </c>
      <c r="H45" s="80"/>
    </row>
    <row r="46" spans="1:8" ht="15.75" thickBot="1">
      <c r="A46" s="61"/>
      <c r="B46" s="61"/>
      <c r="C46" s="61"/>
      <c r="D46" s="61"/>
      <c r="E46" s="61"/>
      <c r="F46" s="61"/>
      <c r="G46" s="81" t="s">
        <v>491</v>
      </c>
      <c r="H46" s="120">
        <f>SUM(G43:G45)</f>
        <v>115077.94531978403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575390</v>
      </c>
    </row>
  </sheetData>
  <mergeCells count="1">
    <mergeCell ref="A3:C4"/>
  </mergeCell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917</v>
      </c>
      <c r="B7" s="62"/>
      <c r="C7" s="61"/>
      <c r="D7" s="16"/>
      <c r="E7" s="62"/>
      <c r="F7" s="16"/>
      <c r="G7" s="62" t="s">
        <v>951</v>
      </c>
      <c r="H7" s="61"/>
    </row>
    <row r="8" spans="1:8">
      <c r="A8" s="60" t="s">
        <v>952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234" t="s">
        <v>220</v>
      </c>
      <c r="B12" s="293"/>
      <c r="C12" s="294"/>
      <c r="D12" s="68" t="s">
        <v>1</v>
      </c>
      <c r="E12" s="86">
        <f>+'EQUIPOS '!D11</f>
        <v>1500</v>
      </c>
      <c r="F12" s="161">
        <v>0.15</v>
      </c>
      <c r="G12" s="71">
        <f>+E12/F12</f>
        <v>10000</v>
      </c>
      <c r="H12" s="72"/>
    </row>
    <row r="13" spans="1:8">
      <c r="A13" s="175" t="s">
        <v>1327</v>
      </c>
      <c r="B13" s="176"/>
      <c r="C13" s="174"/>
      <c r="D13" s="174"/>
      <c r="E13" s="173"/>
      <c r="F13" s="69"/>
      <c r="G13" s="173">
        <f>H38*10%</f>
        <v>6601.8880839243184</v>
      </c>
      <c r="H13" s="72"/>
    </row>
    <row r="14" spans="1:8">
      <c r="A14" s="281" t="s">
        <v>1842</v>
      </c>
      <c r="B14" s="282"/>
      <c r="C14" s="283"/>
      <c r="D14" s="73" t="s">
        <v>17</v>
      </c>
      <c r="E14" s="74">
        <f>'EQUIPOS '!D16</f>
        <v>40600</v>
      </c>
      <c r="F14" s="69">
        <v>20</v>
      </c>
      <c r="G14" s="71">
        <f>+E14/F14</f>
        <v>2030</v>
      </c>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18631.888083924317</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950</v>
      </c>
      <c r="B21" s="84"/>
      <c r="C21" s="85"/>
      <c r="D21" s="141" t="s">
        <v>19</v>
      </c>
      <c r="E21" s="139">
        <f>'5,5'!H26</f>
        <v>345913.20750000002</v>
      </c>
      <c r="F21" s="87">
        <v>0.05</v>
      </c>
      <c r="G21" s="137">
        <f>+E21*F21</f>
        <v>17295.660375000003</v>
      </c>
      <c r="H21" s="59"/>
    </row>
    <row r="22" spans="1:8">
      <c r="A22" s="127" t="s">
        <v>213</v>
      </c>
      <c r="B22" s="84"/>
      <c r="C22" s="85"/>
      <c r="D22" s="68" t="s">
        <v>19</v>
      </c>
      <c r="E22" s="142">
        <f>+MATERIALES!D68</f>
        <v>35410</v>
      </c>
      <c r="F22" s="70">
        <v>0.05</v>
      </c>
      <c r="G22" s="69">
        <f>+E22*F22</f>
        <v>1770.5</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19066.160375000003</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659</v>
      </c>
      <c r="B34" s="84"/>
      <c r="C34" s="103">
        <f>+SALARIOS!C49*3</f>
        <v>76716</v>
      </c>
      <c r="D34" s="104">
        <f>+SALARIOS!C48</f>
        <v>1.7846558312967005</v>
      </c>
      <c r="E34" s="69">
        <f>+C34*D34</f>
        <v>136911.65675375768</v>
      </c>
      <c r="F34" s="69">
        <v>3.2</v>
      </c>
      <c r="G34" s="105">
        <f>+E34/F34</f>
        <v>42784.892735549271</v>
      </c>
      <c r="H34" s="72"/>
    </row>
    <row r="35" spans="1:8">
      <c r="A35" s="83" t="s">
        <v>624</v>
      </c>
      <c r="B35" s="84"/>
      <c r="C35" s="103">
        <f>+SALARIOS!C50</f>
        <v>41660</v>
      </c>
      <c r="D35" s="104">
        <f>+SALARIOS!C48</f>
        <v>1.7846558312967005</v>
      </c>
      <c r="E35" s="69">
        <f>+C35*D35</f>
        <v>74348.76193182054</v>
      </c>
      <c r="F35" s="69">
        <v>3.2</v>
      </c>
      <c r="G35" s="105">
        <f>+E35/F35</f>
        <v>23233.988103693919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66018.880839243182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103716.9292981675</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15557.539394725123</v>
      </c>
      <c r="H43" s="117"/>
    </row>
    <row r="44" spans="1:8">
      <c r="A44" s="83" t="s">
        <v>513</v>
      </c>
      <c r="B44" s="84"/>
      <c r="C44" s="84"/>
      <c r="D44" s="84"/>
      <c r="E44" s="85"/>
      <c r="F44" s="115">
        <f>+SALARIOS!C46</f>
        <v>0.05</v>
      </c>
      <c r="G44" s="116">
        <f>+F44*H40</f>
        <v>5185.8464649083753</v>
      </c>
      <c r="H44" s="117"/>
    </row>
    <row r="45" spans="1:8" ht="15.75" thickBot="1">
      <c r="A45" s="89" t="s">
        <v>514</v>
      </c>
      <c r="B45" s="90"/>
      <c r="C45" s="90"/>
      <c r="D45" s="90"/>
      <c r="E45" s="91"/>
      <c r="F45" s="118">
        <f>+SALARIOS!C47</f>
        <v>0.05</v>
      </c>
      <c r="G45" s="119">
        <f>+F45*H40</f>
        <v>5185.8464649083753</v>
      </c>
      <c r="H45" s="80"/>
    </row>
    <row r="46" spans="1:8" ht="15.75" thickBot="1">
      <c r="A46" s="61"/>
      <c r="B46" s="61"/>
      <c r="C46" s="61"/>
      <c r="D46" s="61"/>
      <c r="E46" s="61"/>
      <c r="F46" s="61"/>
      <c r="G46" s="81" t="s">
        <v>491</v>
      </c>
      <c r="H46" s="120">
        <f>SUM(G43:G45)</f>
        <v>25929.232324541874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129646</v>
      </c>
    </row>
  </sheetData>
  <mergeCells count="1">
    <mergeCell ref="A3:C4"/>
  </mergeCell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7"/>
  <sheetViews>
    <sheetView workbookViewId="0">
      <selection activeCell="F20" sqref="F2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954</v>
      </c>
      <c r="B7" s="62"/>
      <c r="C7" s="61"/>
      <c r="D7" s="16"/>
      <c r="E7" s="62"/>
      <c r="F7" s="16"/>
      <c r="G7" s="62" t="s">
        <v>953</v>
      </c>
      <c r="H7" s="61"/>
    </row>
    <row r="8" spans="1:8">
      <c r="A8" s="60" t="s">
        <v>918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H37*10%</f>
        <v>16562.319976765899</v>
      </c>
      <c r="H12" s="72"/>
    </row>
    <row r="13" spans="1:8">
      <c r="A13" s="281"/>
      <c r="B13" s="282"/>
      <c r="C13" s="283"/>
      <c r="D13" s="73"/>
      <c r="E13" s="74"/>
      <c r="F13" s="69"/>
      <c r="G13" s="71"/>
      <c r="H13" s="72"/>
    </row>
    <row r="14" spans="1:8">
      <c r="A14" s="281"/>
      <c r="B14" s="282"/>
      <c r="C14" s="283"/>
      <c r="D14" s="73"/>
      <c r="E14" s="74"/>
      <c r="F14" s="69"/>
      <c r="G14" s="71"/>
      <c r="H14" s="72"/>
    </row>
    <row r="15" spans="1:8">
      <c r="A15" s="281"/>
      <c r="B15" s="282"/>
      <c r="C15" s="283"/>
      <c r="D15" s="73"/>
      <c r="E15" s="74"/>
      <c r="F15" s="69"/>
      <c r="G15" s="71"/>
      <c r="H15" s="72"/>
    </row>
    <row r="16" spans="1:8" ht="15.75" thickBot="1">
      <c r="A16" s="284"/>
      <c r="B16" s="285"/>
      <c r="C16" s="286"/>
      <c r="D16" s="76"/>
      <c r="E16" s="77"/>
      <c r="F16" s="78"/>
      <c r="G16" s="79"/>
      <c r="H16" s="80"/>
    </row>
    <row r="17" spans="1:8" ht="15.75" thickBot="1">
      <c r="A17" s="61"/>
      <c r="B17" s="61"/>
      <c r="C17" s="61"/>
      <c r="D17" s="61"/>
      <c r="E17" s="61"/>
      <c r="F17" s="61"/>
      <c r="G17" s="81" t="s">
        <v>491</v>
      </c>
      <c r="H17" s="82">
        <f>SUM(G12:G16)</f>
        <v>16562.319976765899</v>
      </c>
    </row>
    <row r="18" spans="1:8" ht="15.75" thickBot="1">
      <c r="A18" s="63" t="s">
        <v>492</v>
      </c>
      <c r="B18" s="63"/>
      <c r="C18" s="61"/>
      <c r="D18" s="61"/>
      <c r="E18" s="61"/>
      <c r="F18" s="61"/>
      <c r="G18" s="61"/>
      <c r="H18" s="61"/>
    </row>
    <row r="19" spans="1:8">
      <c r="A19" s="749" t="s">
        <v>485</v>
      </c>
      <c r="B19" s="750"/>
      <c r="C19" s="751"/>
      <c r="D19" s="751" t="s">
        <v>493</v>
      </c>
      <c r="E19" s="751" t="s">
        <v>494</v>
      </c>
      <c r="F19" s="751" t="s">
        <v>495</v>
      </c>
      <c r="G19" s="452" t="s">
        <v>489</v>
      </c>
      <c r="H19" s="684"/>
    </row>
    <row r="20" spans="1:8">
      <c r="A20" s="83" t="s">
        <v>950</v>
      </c>
      <c r="B20" s="84"/>
      <c r="C20" s="85"/>
      <c r="D20" s="141" t="s">
        <v>19</v>
      </c>
      <c r="E20" s="139">
        <f>'5,5'!H26</f>
        <v>345913.20750000002</v>
      </c>
      <c r="F20" s="137">
        <v>1.06</v>
      </c>
      <c r="G20" s="685">
        <f>+E20*F20</f>
        <v>366667.99995000003</v>
      </c>
      <c r="H20" s="59"/>
    </row>
    <row r="21" spans="1:8">
      <c r="A21" s="83" t="s">
        <v>1819</v>
      </c>
      <c r="B21" s="84"/>
      <c r="C21" s="85"/>
      <c r="D21" s="68" t="s">
        <v>1809</v>
      </c>
      <c r="E21" s="142">
        <f>MATERIALES!D56</f>
        <v>4166.666666666667</v>
      </c>
      <c r="F21" s="70">
        <v>4</v>
      </c>
      <c r="G21" s="685">
        <f>+E21*F21</f>
        <v>16666.666666666668</v>
      </c>
      <c r="H21" s="59"/>
    </row>
    <row r="22" spans="1:8">
      <c r="A22" s="128" t="s">
        <v>1821</v>
      </c>
      <c r="B22" s="129"/>
      <c r="C22" s="130"/>
      <c r="D22" s="68" t="s">
        <v>1809</v>
      </c>
      <c r="E22" s="86">
        <f>MATERIALES!D74</f>
        <v>1300</v>
      </c>
      <c r="F22" s="70">
        <v>2</v>
      </c>
      <c r="G22" s="685">
        <f>+E22*F22</f>
        <v>2600</v>
      </c>
      <c r="H22" s="59"/>
    </row>
    <row r="23" spans="1:8" ht="15.75" thickBot="1">
      <c r="A23" s="89" t="s">
        <v>1822</v>
      </c>
      <c r="B23" s="90"/>
      <c r="C23" s="91"/>
      <c r="D23" s="754" t="s">
        <v>234</v>
      </c>
      <c r="E23" s="755">
        <f>MATERIALES!D64</f>
        <v>1575</v>
      </c>
      <c r="F23" s="756">
        <v>0.2</v>
      </c>
      <c r="G23" s="453">
        <f>+E23*F23</f>
        <v>315</v>
      </c>
      <c r="H23" s="451"/>
    </row>
    <row r="24" spans="1:8" ht="15.75" thickBot="1">
      <c r="A24" s="61"/>
      <c r="B24" s="61"/>
      <c r="C24" s="61"/>
      <c r="D24" s="61"/>
      <c r="E24" s="61"/>
      <c r="F24" s="61"/>
      <c r="G24" s="81" t="s">
        <v>491</v>
      </c>
      <c r="H24" s="82">
        <f>SUM(G20:G23)</f>
        <v>386249.66661666671</v>
      </c>
    </row>
    <row r="25" spans="1:8" ht="15.75" thickBot="1">
      <c r="A25" s="92" t="s">
        <v>496</v>
      </c>
      <c r="B25" s="92"/>
      <c r="C25" s="90"/>
      <c r="D25" s="61"/>
      <c r="E25" s="61"/>
      <c r="F25" s="61"/>
      <c r="G25" s="61"/>
      <c r="H25" s="61"/>
    </row>
    <row r="26" spans="1:8">
      <c r="A26" s="278" t="s">
        <v>497</v>
      </c>
      <c r="B26" s="280"/>
      <c r="C26" s="93" t="s">
        <v>498</v>
      </c>
      <c r="D26" s="280" t="s">
        <v>499</v>
      </c>
      <c r="E26" s="280" t="s">
        <v>500</v>
      </c>
      <c r="F26" s="28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78" t="s">
        <v>503</v>
      </c>
      <c r="B32" s="280"/>
      <c r="C32" s="280" t="s">
        <v>504</v>
      </c>
      <c r="D32" s="280" t="s">
        <v>505</v>
      </c>
      <c r="E32" s="124" t="s">
        <v>506</v>
      </c>
      <c r="F32" s="102" t="s">
        <v>488</v>
      </c>
      <c r="G32" s="279" t="s">
        <v>489</v>
      </c>
      <c r="H32" s="67"/>
    </row>
    <row r="33" spans="1:8">
      <c r="A33" s="83" t="s">
        <v>553</v>
      </c>
      <c r="B33" s="84"/>
      <c r="C33" s="103">
        <f>+SALARIOS!C49*2</f>
        <v>51144</v>
      </c>
      <c r="D33" s="104">
        <f>+SALARIOS!C48</f>
        <v>1.7846558312967005</v>
      </c>
      <c r="E33" s="69">
        <f>+C33*D33</f>
        <v>91274.437835838442</v>
      </c>
      <c r="F33" s="69">
        <v>1</v>
      </c>
      <c r="G33" s="105">
        <f>+E33*F33</f>
        <v>91274.437835838442</v>
      </c>
      <c r="H33" s="72"/>
    </row>
    <row r="34" spans="1:8">
      <c r="A34" s="83" t="s">
        <v>624</v>
      </c>
      <c r="B34" s="84"/>
      <c r="C34" s="103">
        <f>+SALARIOS!C50</f>
        <v>41660</v>
      </c>
      <c r="D34" s="104">
        <f>+SALARIOS!C48</f>
        <v>1.7846558312967005</v>
      </c>
      <c r="E34" s="69">
        <f>+C34*D34</f>
        <v>74348.76193182054</v>
      </c>
      <c r="F34" s="69">
        <v>1</v>
      </c>
      <c r="G34" s="105">
        <f>+E34*F34</f>
        <v>74348.76193182054</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165623.19976765898</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568435.18636109156</v>
      </c>
    </row>
    <row r="40" spans="1:8" ht="15.75" thickBot="1">
      <c r="A40" s="63" t="s">
        <v>509</v>
      </c>
      <c r="B40" s="63"/>
      <c r="C40" s="61"/>
      <c r="D40" s="61"/>
      <c r="E40" s="61"/>
      <c r="F40" s="61"/>
      <c r="G40" s="61"/>
      <c r="H40" s="61"/>
    </row>
    <row r="41" spans="1:8">
      <c r="A41" s="233" t="s">
        <v>485</v>
      </c>
      <c r="B41" s="291"/>
      <c r="C41" s="291"/>
      <c r="D41" s="291"/>
      <c r="E41" s="292"/>
      <c r="F41" s="292" t="s">
        <v>510</v>
      </c>
      <c r="G41" s="291" t="s">
        <v>511</v>
      </c>
      <c r="H41" s="67"/>
    </row>
    <row r="42" spans="1:8">
      <c r="A42" s="83" t="s">
        <v>512</v>
      </c>
      <c r="B42" s="84"/>
      <c r="C42" s="84"/>
      <c r="D42" s="84"/>
      <c r="E42" s="85"/>
      <c r="F42" s="115">
        <f>+SALARIOS!C45</f>
        <v>0.15</v>
      </c>
      <c r="G42" s="116">
        <f>++F42*H39</f>
        <v>85265.277954163728</v>
      </c>
      <c r="H42" s="117"/>
    </row>
    <row r="43" spans="1:8">
      <c r="A43" s="83" t="s">
        <v>513</v>
      </c>
      <c r="B43" s="84"/>
      <c r="C43" s="84"/>
      <c r="D43" s="84"/>
      <c r="E43" s="85"/>
      <c r="F43" s="115">
        <f>+SALARIOS!C46</f>
        <v>0.05</v>
      </c>
      <c r="G43" s="116">
        <f>+F43*H39</f>
        <v>28421.759318054581</v>
      </c>
      <c r="H43" s="117"/>
    </row>
    <row r="44" spans="1:8" ht="15.75" thickBot="1">
      <c r="A44" s="89" t="s">
        <v>514</v>
      </c>
      <c r="B44" s="90"/>
      <c r="C44" s="90"/>
      <c r="D44" s="90"/>
      <c r="E44" s="91"/>
      <c r="F44" s="118">
        <f>+SALARIOS!C47</f>
        <v>0.05</v>
      </c>
      <c r="G44" s="119">
        <f>+F44*H39</f>
        <v>28421.759318054581</v>
      </c>
      <c r="H44" s="80"/>
    </row>
    <row r="45" spans="1:8" ht="15.75" thickBot="1">
      <c r="A45" s="61"/>
      <c r="B45" s="61"/>
      <c r="C45" s="61"/>
      <c r="D45" s="61"/>
      <c r="E45" s="61"/>
      <c r="F45" s="61"/>
      <c r="G45" s="81" t="s">
        <v>491</v>
      </c>
      <c r="H45" s="120">
        <f>SUM(G42:G44)</f>
        <v>142108.79659027289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710544</v>
      </c>
    </row>
  </sheetData>
  <mergeCells count="1">
    <mergeCell ref="A3:C4"/>
  </mergeCell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954</v>
      </c>
      <c r="B7" s="62"/>
      <c r="C7" s="61"/>
      <c r="D7" s="16"/>
      <c r="E7" s="62"/>
      <c r="F7" s="16"/>
      <c r="G7" s="62" t="s">
        <v>955</v>
      </c>
      <c r="H7" s="61"/>
    </row>
    <row r="8" spans="1:8">
      <c r="A8" s="60" t="s">
        <v>920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9742.541162803469</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9742.541162803469</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208</v>
      </c>
      <c r="B21" s="84"/>
      <c r="C21" s="85"/>
      <c r="D21" s="141" t="s">
        <v>19</v>
      </c>
      <c r="E21" s="139">
        <f>'5,16'!H25</f>
        <v>322301.86379999993</v>
      </c>
      <c r="F21" s="137">
        <v>0.09</v>
      </c>
      <c r="G21" s="137">
        <v>0.09</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0.09</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1.7</v>
      </c>
      <c r="G34" s="105">
        <f>+E34/F34</f>
        <v>53690.845785787322</v>
      </c>
      <c r="H34" s="72"/>
    </row>
    <row r="35" spans="1:8">
      <c r="A35" s="83" t="s">
        <v>624</v>
      </c>
      <c r="B35" s="84"/>
      <c r="C35" s="103">
        <f>+SALARIOS!C50</f>
        <v>41660</v>
      </c>
      <c r="D35" s="104">
        <f>+SALARIOS!C48</f>
        <v>1.7846558312967005</v>
      </c>
      <c r="E35" s="69">
        <f>+C35*D35</f>
        <v>74348.76193182054</v>
      </c>
      <c r="F35" s="69">
        <v>1.7</v>
      </c>
      <c r="G35" s="105">
        <f>+E35/F35</f>
        <v>43734.565842247379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97425.411628034693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107168.04279083817</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16075.206418625725</v>
      </c>
      <c r="H43" s="117"/>
    </row>
    <row r="44" spans="1:8">
      <c r="A44" s="83" t="s">
        <v>513</v>
      </c>
      <c r="B44" s="84"/>
      <c r="C44" s="84"/>
      <c r="D44" s="84"/>
      <c r="E44" s="85"/>
      <c r="F44" s="115">
        <f>+SALARIOS!C46</f>
        <v>0.05</v>
      </c>
      <c r="G44" s="116">
        <f>+F44*H40</f>
        <v>5358.4021395419086</v>
      </c>
      <c r="H44" s="117"/>
    </row>
    <row r="45" spans="1:8" ht="15.75" thickBot="1">
      <c r="A45" s="89" t="s">
        <v>514</v>
      </c>
      <c r="B45" s="90"/>
      <c r="C45" s="90"/>
      <c r="D45" s="90"/>
      <c r="E45" s="91"/>
      <c r="F45" s="118">
        <f>+SALARIOS!C47</f>
        <v>0.05</v>
      </c>
      <c r="G45" s="119">
        <f>+F45*H40</f>
        <v>5358.4021395419086</v>
      </c>
      <c r="H45" s="80"/>
    </row>
    <row r="46" spans="1:8" ht="15.75" thickBot="1">
      <c r="A46" s="61"/>
      <c r="B46" s="61"/>
      <c r="C46" s="61"/>
      <c r="D46" s="61"/>
      <c r="E46" s="61"/>
      <c r="F46" s="61"/>
      <c r="G46" s="81" t="s">
        <v>491</v>
      </c>
      <c r="H46" s="120">
        <f>SUM(G43:G45)</f>
        <v>26792.010697709542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133960</v>
      </c>
    </row>
  </sheetData>
  <mergeCells count="1">
    <mergeCell ref="A3:C4"/>
  </mergeCell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election activeCell="E21" sqref="E21"/>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954</v>
      </c>
      <c r="B7" s="62"/>
      <c r="C7" s="61"/>
      <c r="D7" s="16"/>
      <c r="E7" s="62"/>
      <c r="F7" s="16"/>
      <c r="G7" s="62" t="s">
        <v>956</v>
      </c>
      <c r="H7" s="61"/>
    </row>
    <row r="8" spans="1:8">
      <c r="A8" s="60" t="s">
        <v>922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8281.1599883829495</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8281.1599883829495</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208</v>
      </c>
      <c r="B21" s="84"/>
      <c r="C21" s="85"/>
      <c r="D21" s="141" t="s">
        <v>19</v>
      </c>
      <c r="E21" s="139">
        <f>'5,16'!H25</f>
        <v>322301.86379999993</v>
      </c>
      <c r="F21" s="163">
        <v>0.45</v>
      </c>
      <c r="G21" s="137">
        <v>0.09</v>
      </c>
      <c r="H21" s="59"/>
    </row>
    <row r="22" spans="1:8">
      <c r="A22" s="127" t="s">
        <v>204</v>
      </c>
      <c r="B22" s="84"/>
      <c r="C22" s="85"/>
      <c r="D22" s="68" t="s">
        <v>61</v>
      </c>
      <c r="E22" s="142">
        <f>+MATERIALES!D73</f>
        <v>600</v>
      </c>
      <c r="F22" s="70">
        <v>490</v>
      </c>
      <c r="G22" s="69">
        <f>+E22*F22</f>
        <v>294000</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294000.09000000003</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2</v>
      </c>
      <c r="G34" s="105">
        <f>+E34/F34</f>
        <v>45637.218917919221</v>
      </c>
      <c r="H34" s="72"/>
    </row>
    <row r="35" spans="1:8">
      <c r="A35" s="83" t="s">
        <v>624</v>
      </c>
      <c r="B35" s="84"/>
      <c r="C35" s="103">
        <f>+SALARIOS!C50</f>
        <v>41660</v>
      </c>
      <c r="D35" s="104">
        <f>+SALARIOS!C48</f>
        <v>1.7846558312967005</v>
      </c>
      <c r="E35" s="69">
        <f>+C35*D35</f>
        <v>74348.76193182054</v>
      </c>
      <c r="F35" s="69">
        <v>2</v>
      </c>
      <c r="G35" s="105">
        <f>+E35/F35</f>
        <v>37174.38096591027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82811.599883829491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385092.84987221245</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57763.927480831866</v>
      </c>
      <c r="H43" s="117"/>
    </row>
    <row r="44" spans="1:8">
      <c r="A44" s="83" t="s">
        <v>513</v>
      </c>
      <c r="B44" s="84"/>
      <c r="C44" s="84"/>
      <c r="D44" s="84"/>
      <c r="E44" s="85"/>
      <c r="F44" s="115">
        <f>+SALARIOS!C46</f>
        <v>0.05</v>
      </c>
      <c r="G44" s="116">
        <f>+F44*H40</f>
        <v>19254.642493610623</v>
      </c>
      <c r="H44" s="117"/>
    </row>
    <row r="45" spans="1:8" ht="15.75" thickBot="1">
      <c r="A45" s="89" t="s">
        <v>514</v>
      </c>
      <c r="B45" s="90"/>
      <c r="C45" s="90"/>
      <c r="D45" s="90"/>
      <c r="E45" s="91"/>
      <c r="F45" s="118">
        <f>+SALARIOS!C47</f>
        <v>0.05</v>
      </c>
      <c r="G45" s="119">
        <f>+F45*H40</f>
        <v>19254.642493610623</v>
      </c>
      <c r="H45" s="80"/>
    </row>
    <row r="46" spans="1:8" ht="15.75" thickBot="1">
      <c r="A46" s="61"/>
      <c r="B46" s="61"/>
      <c r="C46" s="61"/>
      <c r="D46" s="61"/>
      <c r="E46" s="61"/>
      <c r="F46" s="61"/>
      <c r="G46" s="81" t="s">
        <v>491</v>
      </c>
      <c r="H46" s="120">
        <f>SUM(G43:G45)</f>
        <v>96273.212468053112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481366</v>
      </c>
    </row>
  </sheetData>
  <mergeCells count="1">
    <mergeCell ref="A3:C4"/>
  </mergeCell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topLeftCell="A31" workbookViewId="0">
      <selection activeCell="K30" sqref="K3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954</v>
      </c>
      <c r="B7" s="62"/>
      <c r="C7" s="61"/>
      <c r="D7" s="16"/>
      <c r="E7" s="62"/>
      <c r="F7" s="16"/>
      <c r="G7" s="62" t="s">
        <v>957</v>
      </c>
      <c r="H7" s="61"/>
    </row>
    <row r="8" spans="1:8">
      <c r="A8" s="60" t="s">
        <v>958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12740.246135973768</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12740.246135973768</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208</v>
      </c>
      <c r="B21" s="84"/>
      <c r="C21" s="85"/>
      <c r="D21" s="141" t="s">
        <v>19</v>
      </c>
      <c r="E21" s="139">
        <f>'5,16'!H25</f>
        <v>322301.86379999993</v>
      </c>
      <c r="F21" s="137">
        <v>0.18</v>
      </c>
      <c r="G21" s="69">
        <f>+E21*F21</f>
        <v>58014.335483999988</v>
      </c>
      <c r="H21" s="59"/>
    </row>
    <row r="22" spans="1:8">
      <c r="A22" s="127" t="s">
        <v>204</v>
      </c>
      <c r="B22" s="84"/>
      <c r="C22" s="85"/>
      <c r="D22" s="68" t="s">
        <v>61</v>
      </c>
      <c r="E22" s="142">
        <f>+MATERIALES!D73</f>
        <v>600</v>
      </c>
      <c r="F22" s="86">
        <v>300</v>
      </c>
      <c r="G22" s="69">
        <f>+E22*F22</f>
        <v>180000</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238014.33548399998</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1.3</v>
      </c>
      <c r="G34" s="105">
        <f>+E34/F34</f>
        <v>70211.106027568036</v>
      </c>
      <c r="H34" s="72"/>
    </row>
    <row r="35" spans="1:8">
      <c r="A35" s="83" t="s">
        <v>624</v>
      </c>
      <c r="B35" s="84"/>
      <c r="C35" s="103">
        <f>+SALARIOS!C50</f>
        <v>41660</v>
      </c>
      <c r="D35" s="104">
        <f>+SALARIOS!C48</f>
        <v>1.7846558312967005</v>
      </c>
      <c r="E35" s="69">
        <f>+C35*D35</f>
        <v>74348.76193182054</v>
      </c>
      <c r="F35" s="69">
        <v>1.3</v>
      </c>
      <c r="G35" s="105">
        <f>+E35/F35</f>
        <v>57191.355332169645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127402.46135973767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378157.04297971143</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56723.556446956711</v>
      </c>
      <c r="H43" s="117"/>
    </row>
    <row r="44" spans="1:8">
      <c r="A44" s="83" t="s">
        <v>513</v>
      </c>
      <c r="B44" s="84"/>
      <c r="C44" s="84"/>
      <c r="D44" s="84"/>
      <c r="E44" s="85"/>
      <c r="F44" s="115">
        <f>+SALARIOS!C46</f>
        <v>0.05</v>
      </c>
      <c r="G44" s="116">
        <f>+F44*H40</f>
        <v>18907.852148985574</v>
      </c>
      <c r="H44" s="117"/>
    </row>
    <row r="45" spans="1:8" ht="15.75" thickBot="1">
      <c r="A45" s="89" t="s">
        <v>514</v>
      </c>
      <c r="B45" s="90"/>
      <c r="C45" s="90"/>
      <c r="D45" s="90"/>
      <c r="E45" s="91"/>
      <c r="F45" s="118">
        <f>+SALARIOS!C47</f>
        <v>0.05</v>
      </c>
      <c r="G45" s="119">
        <f>+F45*H40</f>
        <v>18907.852148985574</v>
      </c>
      <c r="H45" s="80"/>
    </row>
    <row r="46" spans="1:8" ht="15.75" thickBot="1">
      <c r="A46" s="61"/>
      <c r="B46" s="61"/>
      <c r="C46" s="61"/>
      <c r="D46" s="61"/>
      <c r="E46" s="61"/>
      <c r="F46" s="61"/>
      <c r="G46" s="81" t="s">
        <v>491</v>
      </c>
      <c r="H46" s="120">
        <f>SUM(G43:G45)</f>
        <v>94539.260744927858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472696</v>
      </c>
    </row>
  </sheetData>
  <mergeCells count="1">
    <mergeCell ref="A3:C4"/>
  </mergeCell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959</v>
      </c>
      <c r="B7" s="62"/>
      <c r="C7" s="61"/>
      <c r="D7" s="16"/>
      <c r="E7" s="62"/>
      <c r="F7" s="16"/>
      <c r="G7" s="62" t="s">
        <v>960</v>
      </c>
      <c r="H7" s="61"/>
    </row>
    <row r="8" spans="1:8">
      <c r="A8" s="60" t="s">
        <v>961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1685</v>
      </c>
      <c r="B12" s="176"/>
      <c r="C12" s="174"/>
      <c r="D12" s="174"/>
      <c r="E12" s="173"/>
      <c r="F12" s="69"/>
      <c r="G12" s="173">
        <f>H38*10%</f>
        <v>630.28515150405849</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630.28515150405849</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240</v>
      </c>
      <c r="B21" s="84"/>
      <c r="C21" s="85"/>
      <c r="D21" s="141" t="s">
        <v>61</v>
      </c>
      <c r="E21" s="139">
        <f>+MATERIALES!D39</f>
        <v>9250</v>
      </c>
      <c r="F21" s="137">
        <v>0.3</v>
      </c>
      <c r="G21" s="137">
        <f>+E21*F21</f>
        <v>2775</v>
      </c>
      <c r="H21" s="59"/>
    </row>
    <row r="22" spans="1:8">
      <c r="A22" s="127" t="s">
        <v>72</v>
      </c>
      <c r="B22" s="84"/>
      <c r="C22" s="85"/>
      <c r="D22" s="68" t="s">
        <v>1809</v>
      </c>
      <c r="E22" s="142">
        <f>+MATERIALES!D58</f>
        <v>1450</v>
      </c>
      <c r="F22" s="69">
        <v>1</v>
      </c>
      <c r="G22" s="69">
        <f>+E22*F22</f>
        <v>1450</v>
      </c>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4225</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+SALARIOS!C49*1</f>
        <v>25572</v>
      </c>
      <c r="D34" s="104">
        <f>+SALARIOS!C48</f>
        <v>1.7846558312967005</v>
      </c>
      <c r="E34" s="69">
        <f>+C34*D34</f>
        <v>45637.218917919221</v>
      </c>
      <c r="F34" s="69">
        <v>7.2407256951896253</v>
      </c>
      <c r="G34" s="105">
        <f>+E34/F34</f>
        <v>6302.8515150405847</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6302.8515150405847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11158.136666544644</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1673.7204999816965</v>
      </c>
      <c r="H43" s="117"/>
    </row>
    <row r="44" spans="1:8">
      <c r="A44" s="83" t="s">
        <v>513</v>
      </c>
      <c r="B44" s="84"/>
      <c r="C44" s="84"/>
      <c r="D44" s="84"/>
      <c r="E44" s="85"/>
      <c r="F44" s="115">
        <f>+SALARIOS!C46</f>
        <v>0.05</v>
      </c>
      <c r="G44" s="116">
        <f>+F44*H40</f>
        <v>557.90683332723222</v>
      </c>
      <c r="H44" s="117"/>
    </row>
    <row r="45" spans="1:8" ht="15.75" thickBot="1">
      <c r="A45" s="89" t="s">
        <v>514</v>
      </c>
      <c r="B45" s="90"/>
      <c r="C45" s="90"/>
      <c r="D45" s="90"/>
      <c r="E45" s="91"/>
      <c r="F45" s="118">
        <f>+SALARIOS!C47</f>
        <v>0.05</v>
      </c>
      <c r="G45" s="119">
        <f>+F45*H40</f>
        <v>557.90683332723222</v>
      </c>
      <c r="H45" s="80"/>
    </row>
    <row r="46" spans="1:8" ht="15.75" thickBot="1">
      <c r="A46" s="61"/>
      <c r="B46" s="61"/>
      <c r="C46" s="61"/>
      <c r="D46" s="61"/>
      <c r="E46" s="61"/>
      <c r="F46" s="61"/>
      <c r="G46" s="81" t="s">
        <v>491</v>
      </c>
      <c r="H46" s="120">
        <f>SUM(G43:G45)</f>
        <v>2789.534166636161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13948</v>
      </c>
    </row>
  </sheetData>
  <mergeCells count="1">
    <mergeCell ref="A3:C4"/>
  </mergeCell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H48" sqref="H4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959</v>
      </c>
      <c r="B7" s="62"/>
      <c r="C7" s="61"/>
      <c r="D7" s="16"/>
      <c r="E7" s="62"/>
      <c r="F7" s="16"/>
      <c r="G7" s="62" t="s">
        <v>962</v>
      </c>
      <c r="H7" s="61"/>
    </row>
    <row r="8" spans="1:8">
      <c r="A8" s="60" t="s">
        <v>963</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620.5429768000148</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620.5429768000148</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73</v>
      </c>
      <c r="B21" s="84"/>
      <c r="C21" s="85"/>
      <c r="D21" s="141" t="s">
        <v>19</v>
      </c>
      <c r="E21" s="139">
        <f>+MATERIALES!D15</f>
        <v>32400</v>
      </c>
      <c r="F21" s="163">
        <v>1.05</v>
      </c>
      <c r="G21" s="137">
        <f>+E21*F21</f>
        <v>34020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34020</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14.708802008608322</v>
      </c>
      <c r="G34" s="105">
        <f>+E34/F34</f>
        <v>6205.4297680001473</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6205.4297680001473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40845.972744800165</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6126.8959117200247</v>
      </c>
      <c r="H43" s="117"/>
    </row>
    <row r="44" spans="1:8">
      <c r="A44" s="83" t="s">
        <v>513</v>
      </c>
      <c r="B44" s="84"/>
      <c r="C44" s="84"/>
      <c r="D44" s="84"/>
      <c r="E44" s="85"/>
      <c r="F44" s="115">
        <f>+SALARIOS!C46</f>
        <v>0.05</v>
      </c>
      <c r="G44" s="116">
        <f>+F44*H40</f>
        <v>2042.2986372400082</v>
      </c>
      <c r="H44" s="117"/>
    </row>
    <row r="45" spans="1:8" ht="15.75" thickBot="1">
      <c r="A45" s="89" t="s">
        <v>514</v>
      </c>
      <c r="B45" s="90"/>
      <c r="C45" s="90"/>
      <c r="D45" s="90"/>
      <c r="E45" s="91"/>
      <c r="F45" s="118">
        <f>+SALARIOS!C47</f>
        <v>0.05</v>
      </c>
      <c r="G45" s="119">
        <f>+F45*H40</f>
        <v>2042.2986372400082</v>
      </c>
      <c r="H45" s="80"/>
    </row>
    <row r="46" spans="1:8" ht="15.75" thickBot="1">
      <c r="A46" s="61"/>
      <c r="B46" s="61"/>
      <c r="C46" s="61"/>
      <c r="D46" s="61"/>
      <c r="E46" s="61"/>
      <c r="F46" s="61"/>
      <c r="G46" s="81" t="s">
        <v>491</v>
      </c>
      <c r="H46" s="120">
        <f>SUM(G43:G45)</f>
        <v>10211.493186200041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51057</v>
      </c>
    </row>
  </sheetData>
  <mergeCells count="1">
    <mergeCell ref="A3:C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48"/>
  <sheetViews>
    <sheetView topLeftCell="A19"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575</v>
      </c>
      <c r="B7" s="62"/>
      <c r="C7" s="61"/>
      <c r="D7" s="16"/>
      <c r="E7" s="62"/>
      <c r="F7" s="16"/>
      <c r="G7" s="62" t="s">
        <v>563</v>
      </c>
      <c r="H7" s="61"/>
    </row>
    <row r="8" spans="1:8">
      <c r="A8" s="60" t="s">
        <v>561</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1" t="s">
        <v>486</v>
      </c>
      <c r="E11" s="65" t="s">
        <v>487</v>
      </c>
      <c r="F11" s="151" t="s">
        <v>488</v>
      </c>
      <c r="G11" s="150" t="s">
        <v>489</v>
      </c>
      <c r="H11" s="67"/>
    </row>
    <row r="12" spans="1:8">
      <c r="A12" s="1463" t="s">
        <v>1808</v>
      </c>
      <c r="B12" s="1464"/>
      <c r="C12" s="1465"/>
      <c r="D12" s="68"/>
      <c r="E12" s="86"/>
      <c r="F12" s="161"/>
      <c r="G12" s="71">
        <f>H38*10%</f>
        <v>959.88784679791809</v>
      </c>
      <c r="H12" s="72"/>
    </row>
    <row r="13" spans="1:8">
      <c r="A13" s="164"/>
      <c r="B13" s="165"/>
      <c r="C13" s="166"/>
      <c r="D13" s="167"/>
      <c r="E13" s="167"/>
      <c r="F13" s="167"/>
      <c r="G13" s="164"/>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959.88784679791809</v>
      </c>
    </row>
    <row r="19" spans="1:8" ht="15.75" thickBot="1">
      <c r="A19" s="63" t="s">
        <v>492</v>
      </c>
      <c r="B19" s="63"/>
      <c r="C19" s="61"/>
      <c r="D19" s="61"/>
      <c r="E19" s="61"/>
      <c r="F19" s="61"/>
      <c r="G19" s="61"/>
      <c r="H19" s="61"/>
    </row>
    <row r="20" spans="1:8">
      <c r="A20" s="1472" t="s">
        <v>485</v>
      </c>
      <c r="B20" s="1473"/>
      <c r="C20" s="1474"/>
      <c r="D20" s="153" t="s">
        <v>493</v>
      </c>
      <c r="E20" s="153" t="s">
        <v>494</v>
      </c>
      <c r="F20" s="153" t="s">
        <v>495</v>
      </c>
      <c r="G20" s="152"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1" t="s">
        <v>499</v>
      </c>
      <c r="E27" s="151" t="s">
        <v>500</v>
      </c>
      <c r="F27" s="151"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1" t="s">
        <v>504</v>
      </c>
      <c r="D33" s="151" t="s">
        <v>505</v>
      </c>
      <c r="E33" s="124" t="s">
        <v>506</v>
      </c>
      <c r="F33" s="102" t="s">
        <v>488</v>
      </c>
      <c r="G33" s="150" t="s">
        <v>489</v>
      </c>
      <c r="H33" s="67"/>
    </row>
    <row r="34" spans="1:8">
      <c r="A34" s="83" t="s">
        <v>1132</v>
      </c>
      <c r="B34" s="84"/>
      <c r="C34" s="103">
        <f>+SALARIOS!C49</f>
        <v>25572</v>
      </c>
      <c r="D34" s="104">
        <f>+SALARIOS!C48</f>
        <v>1.7846558312967005</v>
      </c>
      <c r="E34" s="69">
        <f>(C34*D34)</f>
        <v>45637.218917919221</v>
      </c>
      <c r="F34" s="161">
        <v>12.5</v>
      </c>
      <c r="G34" s="105">
        <f>E34/F34</f>
        <v>3650.9775134335378</v>
      </c>
      <c r="H34" s="72"/>
    </row>
    <row r="35" spans="1:8">
      <c r="A35" s="83" t="s">
        <v>624</v>
      </c>
      <c r="B35" s="84"/>
      <c r="C35" s="103">
        <f>SALARIOS!C50</f>
        <v>41660</v>
      </c>
      <c r="D35" s="104">
        <f>+SALARIOS!C48</f>
        <v>1.7846558312967005</v>
      </c>
      <c r="E35" s="69">
        <f>(C35*D35)</f>
        <v>74348.76193182054</v>
      </c>
      <c r="F35" s="161">
        <v>12.5</v>
      </c>
      <c r="G35" s="105">
        <f>E35/F35</f>
        <v>5947.9009545456429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9598.8784679791806</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10558.766314777098</v>
      </c>
    </row>
    <row r="41" spans="1:8" ht="15.75" thickBot="1">
      <c r="A41" s="63" t="s">
        <v>509</v>
      </c>
      <c r="B41" s="63"/>
      <c r="C41" s="61"/>
      <c r="D41" s="61"/>
      <c r="E41" s="61"/>
      <c r="F41" s="61"/>
      <c r="G41" s="61"/>
      <c r="H41" s="61"/>
    </row>
    <row r="42" spans="1:8">
      <c r="A42" s="110" t="s">
        <v>485</v>
      </c>
      <c r="B42" s="111"/>
      <c r="C42" s="111"/>
      <c r="D42" s="111"/>
      <c r="E42" s="112"/>
      <c r="F42" s="153" t="s">
        <v>510</v>
      </c>
      <c r="G42" s="152" t="s">
        <v>511</v>
      </c>
      <c r="H42" s="67"/>
    </row>
    <row r="43" spans="1:8">
      <c r="A43" s="83" t="s">
        <v>512</v>
      </c>
      <c r="B43" s="84"/>
      <c r="C43" s="84"/>
      <c r="D43" s="84"/>
      <c r="E43" s="85"/>
      <c r="F43" s="115">
        <f>(SALARIOS!C45)</f>
        <v>0.15</v>
      </c>
      <c r="G43" s="116">
        <f>++F43*H40</f>
        <v>1583.8149472165646</v>
      </c>
      <c r="H43" s="117"/>
    </row>
    <row r="44" spans="1:8">
      <c r="A44" s="83" t="s">
        <v>513</v>
      </c>
      <c r="B44" s="84"/>
      <c r="C44" s="84"/>
      <c r="D44" s="84"/>
      <c r="E44" s="85"/>
      <c r="F44" s="115">
        <f>(SALARIOS!C46)</f>
        <v>0.05</v>
      </c>
      <c r="G44" s="116">
        <f>+F44*H40</f>
        <v>527.93831573885495</v>
      </c>
      <c r="H44" s="117"/>
    </row>
    <row r="45" spans="1:8" ht="15.75" thickBot="1">
      <c r="A45" s="89" t="s">
        <v>514</v>
      </c>
      <c r="B45" s="90"/>
      <c r="C45" s="90"/>
      <c r="D45" s="90"/>
      <c r="E45" s="91"/>
      <c r="F45" s="118">
        <f>(SALARIOS!C47)</f>
        <v>0.05</v>
      </c>
      <c r="G45" s="119">
        <f>+F45*H40</f>
        <v>527.93831573885495</v>
      </c>
      <c r="H45" s="80"/>
    </row>
    <row r="46" spans="1:8" ht="15.75" thickBot="1">
      <c r="A46" s="61"/>
      <c r="B46" s="61"/>
      <c r="C46" s="61"/>
      <c r="D46" s="61"/>
      <c r="E46" s="61"/>
      <c r="F46" s="61"/>
      <c r="G46" s="81" t="s">
        <v>491</v>
      </c>
      <c r="H46" s="120">
        <f>SUM(G43:G45)</f>
        <v>2639.6915786942745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13198</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959</v>
      </c>
      <c r="B7" s="62"/>
      <c r="C7" s="61"/>
      <c r="D7" s="16"/>
      <c r="E7" s="62"/>
      <c r="F7" s="16"/>
      <c r="G7" s="62" t="s">
        <v>965</v>
      </c>
      <c r="H7" s="61"/>
    </row>
    <row r="8" spans="1:8">
      <c r="A8" s="60" t="s">
        <v>1859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173">
        <f>H38*10%</f>
        <v>4143.4626931425328</v>
      </c>
      <c r="H12" s="72"/>
    </row>
    <row r="13" spans="1:8">
      <c r="D13" s="167"/>
      <c r="E13" s="167"/>
      <c r="F13" s="167"/>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4143.4626931425328</v>
      </c>
    </row>
    <row r="19" spans="1:8" ht="15.75" thickBot="1">
      <c r="A19" s="63" t="s">
        <v>492</v>
      </c>
      <c r="B19" s="63"/>
      <c r="C19" s="61"/>
      <c r="D19" s="61"/>
      <c r="E19" s="61"/>
      <c r="F19" s="61"/>
      <c r="G19" s="61"/>
      <c r="H19" s="61"/>
    </row>
    <row r="20" spans="1:8">
      <c r="A20" s="290" t="s">
        <v>485</v>
      </c>
      <c r="B20" s="291"/>
      <c r="C20" s="292"/>
      <c r="D20" s="292" t="s">
        <v>493</v>
      </c>
      <c r="E20" s="292" t="s">
        <v>494</v>
      </c>
      <c r="F20" s="292" t="s">
        <v>495</v>
      </c>
      <c r="G20" s="291" t="s">
        <v>489</v>
      </c>
      <c r="H20" s="67"/>
    </row>
    <row r="21" spans="1:8">
      <c r="A21" s="127" t="s">
        <v>1857</v>
      </c>
      <c r="B21" s="84"/>
      <c r="C21" s="85"/>
      <c r="D21" s="141" t="s">
        <v>19</v>
      </c>
      <c r="E21" s="139">
        <f>+MATERIALES!D38</f>
        <v>35000</v>
      </c>
      <c r="F21" s="163">
        <v>1</v>
      </c>
      <c r="G21" s="137">
        <f>+E21*F21</f>
        <v>35000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35000</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553</v>
      </c>
      <c r="B34" s="84"/>
      <c r="C34" s="103">
        <f>+SALARIOS!C49*2</f>
        <v>51144</v>
      </c>
      <c r="D34" s="104">
        <f>+SALARIOS!C48</f>
        <v>1.7846558312967005</v>
      </c>
      <c r="E34" s="69">
        <f>+C34*D34</f>
        <v>91274.437835838442</v>
      </c>
      <c r="F34" s="69">
        <v>3.9949531336567055</v>
      </c>
      <c r="G34" s="105">
        <f>+E34/F34</f>
        <v>22847.436448470198</v>
      </c>
      <c r="H34" s="72"/>
    </row>
    <row r="35" spans="1:8">
      <c r="A35" s="83" t="s">
        <v>624</v>
      </c>
      <c r="B35" s="84"/>
      <c r="C35" s="103">
        <f>+SALARIOS!C50</f>
        <v>41660</v>
      </c>
      <c r="D35" s="104">
        <f>+SALARIOS!C48</f>
        <v>1.7846558312967005</v>
      </c>
      <c r="E35" s="69">
        <f>+C35*D35</f>
        <v>74348.76193182054</v>
      </c>
      <c r="F35" s="69">
        <v>4</v>
      </c>
      <c r="G35" s="105">
        <f>+E35/F35</f>
        <v>18587.190482955135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41434.62693142533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80578.08962456786</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12086.713443685179</v>
      </c>
      <c r="H43" s="117"/>
    </row>
    <row r="44" spans="1:8">
      <c r="A44" s="83" t="s">
        <v>513</v>
      </c>
      <c r="B44" s="84"/>
      <c r="C44" s="84"/>
      <c r="D44" s="84"/>
      <c r="E44" s="85"/>
      <c r="F44" s="115">
        <f>+SALARIOS!C46</f>
        <v>0.05</v>
      </c>
      <c r="G44" s="116">
        <f>+F44*H40</f>
        <v>4028.9044812283933</v>
      </c>
      <c r="H44" s="117"/>
    </row>
    <row r="45" spans="1:8" ht="15.75" thickBot="1">
      <c r="A45" s="89" t="s">
        <v>514</v>
      </c>
      <c r="B45" s="90"/>
      <c r="C45" s="90"/>
      <c r="D45" s="90"/>
      <c r="E45" s="91"/>
      <c r="F45" s="118">
        <f>+SALARIOS!C47</f>
        <v>0.05</v>
      </c>
      <c r="G45" s="119">
        <f>+F45*H40</f>
        <v>4028.9044812283933</v>
      </c>
      <c r="H45" s="80"/>
    </row>
    <row r="46" spans="1:8" ht="15.75" thickBot="1">
      <c r="A46" s="61"/>
      <c r="B46" s="61"/>
      <c r="C46" s="61"/>
      <c r="D46" s="61"/>
      <c r="E46" s="61"/>
      <c r="F46" s="61"/>
      <c r="G46" s="81" t="s">
        <v>491</v>
      </c>
      <c r="H46" s="120">
        <f>SUM(G43:G45)</f>
        <v>20144.522406141965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100723</v>
      </c>
    </row>
  </sheetData>
  <mergeCells count="1">
    <mergeCell ref="A3:C4"/>
  </mergeCell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topLeftCell="A13" workbookViewId="0">
      <selection activeCell="G36" sqref="G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87" t="s">
        <v>520</v>
      </c>
      <c r="B5" s="288"/>
      <c r="C5" s="289"/>
      <c r="D5" s="275"/>
      <c r="E5" s="276"/>
      <c r="F5" s="276"/>
      <c r="G5" s="276"/>
      <c r="H5" s="277"/>
    </row>
    <row r="6" spans="1:8">
      <c r="A6" s="60"/>
      <c r="B6" s="61"/>
      <c r="C6" s="61"/>
      <c r="D6" s="61"/>
      <c r="E6" s="61"/>
      <c r="F6" s="61"/>
      <c r="G6" s="61"/>
      <c r="H6" s="61"/>
    </row>
    <row r="7" spans="1:8">
      <c r="A7" s="60" t="s">
        <v>959</v>
      </c>
      <c r="B7" s="62"/>
      <c r="C7" s="61"/>
      <c r="D7" s="16"/>
      <c r="E7" s="62"/>
      <c r="F7" s="16"/>
      <c r="G7" s="62" t="s">
        <v>966</v>
      </c>
      <c r="H7" s="61"/>
    </row>
    <row r="8" spans="1:8">
      <c r="A8" s="60" t="s">
        <v>967</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78" t="s">
        <v>485</v>
      </c>
      <c r="B11" s="279"/>
      <c r="C11" s="280"/>
      <c r="D11" s="280" t="s">
        <v>486</v>
      </c>
      <c r="E11" s="65" t="s">
        <v>487</v>
      </c>
      <c r="F11" s="280" t="s">
        <v>488</v>
      </c>
      <c r="G11" s="279" t="s">
        <v>489</v>
      </c>
      <c r="H11" s="67"/>
    </row>
    <row r="12" spans="1:8">
      <c r="A12" s="175" t="s">
        <v>1327</v>
      </c>
      <c r="B12" s="176"/>
      <c r="C12" s="174"/>
      <c r="D12" s="174"/>
      <c r="E12" s="173"/>
      <c r="F12" s="69"/>
      <c r="G12" s="706">
        <f>H38*10%</f>
        <v>1499.8247606217471</v>
      </c>
      <c r="H12" s="72"/>
    </row>
    <row r="13" spans="1:8">
      <c r="A13" s="164"/>
      <c r="B13" s="165"/>
      <c r="C13" s="166"/>
      <c r="D13" s="167"/>
      <c r="E13" s="167"/>
      <c r="F13" s="167"/>
      <c r="G13" s="164"/>
      <c r="H13" s="72"/>
    </row>
    <row r="14" spans="1:8">
      <c r="A14" s="281"/>
      <c r="B14" s="282"/>
      <c r="C14" s="283"/>
      <c r="D14" s="73"/>
      <c r="E14" s="74"/>
      <c r="F14" s="69"/>
      <c r="G14" s="71"/>
      <c r="H14" s="72"/>
    </row>
    <row r="15" spans="1:8">
      <c r="A15" s="281"/>
      <c r="B15" s="282"/>
      <c r="C15" s="283"/>
      <c r="D15" s="73"/>
      <c r="E15" s="74"/>
      <c r="F15" s="69"/>
      <c r="G15" s="71"/>
      <c r="H15" s="72"/>
    </row>
    <row r="16" spans="1:8">
      <c r="A16" s="281"/>
      <c r="B16" s="282"/>
      <c r="C16" s="283"/>
      <c r="D16" s="73"/>
      <c r="E16" s="74"/>
      <c r="F16" s="69"/>
      <c r="G16" s="71"/>
      <c r="H16" s="72"/>
    </row>
    <row r="17" spans="1:8" ht="15.75" thickBot="1">
      <c r="A17" s="284"/>
      <c r="B17" s="285"/>
      <c r="C17" s="286"/>
      <c r="D17" s="76"/>
      <c r="E17" s="77"/>
      <c r="F17" s="78"/>
      <c r="G17" s="79"/>
      <c r="H17" s="80"/>
    </row>
    <row r="18" spans="1:8" ht="15.75" thickBot="1">
      <c r="A18" s="61"/>
      <c r="B18" s="61"/>
      <c r="C18" s="61"/>
      <c r="D18" s="61"/>
      <c r="E18" s="61"/>
      <c r="F18" s="61"/>
      <c r="G18" s="81" t="s">
        <v>491</v>
      </c>
      <c r="H18" s="82">
        <f>SUM(G12:G17)</f>
        <v>1499.8247606217471</v>
      </c>
    </row>
    <row r="19" spans="1:8" ht="15.75" thickBot="1">
      <c r="A19" s="63" t="s">
        <v>492</v>
      </c>
      <c r="B19" s="63"/>
      <c r="C19" s="61"/>
      <c r="D19" s="61"/>
      <c r="E19" s="61"/>
      <c r="F19" s="61"/>
      <c r="G19" s="61"/>
      <c r="H19" s="61"/>
    </row>
    <row r="20" spans="1:8">
      <c r="A20" s="695" t="s">
        <v>485</v>
      </c>
      <c r="B20" s="696"/>
      <c r="C20" s="697"/>
      <c r="D20" s="697" t="s">
        <v>493</v>
      </c>
      <c r="E20" s="697" t="s">
        <v>494</v>
      </c>
      <c r="F20" s="697" t="s">
        <v>495</v>
      </c>
      <c r="G20" s="452" t="s">
        <v>489</v>
      </c>
      <c r="H20" s="67"/>
    </row>
    <row r="21" spans="1:8">
      <c r="A21" s="83" t="s">
        <v>968</v>
      </c>
      <c r="B21" s="84"/>
      <c r="C21" s="85"/>
      <c r="D21" s="141" t="s">
        <v>61</v>
      </c>
      <c r="E21" s="139">
        <f>+MATERIALES!D325</f>
        <v>122335.92</v>
      </c>
      <c r="F21" s="163">
        <v>1</v>
      </c>
      <c r="G21" s="685">
        <f>+E21*F21</f>
        <v>122335.92</v>
      </c>
      <c r="H21" s="72"/>
    </row>
    <row r="22" spans="1:8">
      <c r="A22" s="83" t="s">
        <v>1770</v>
      </c>
      <c r="B22" s="84"/>
      <c r="C22" s="85"/>
      <c r="D22" s="68" t="s">
        <v>61</v>
      </c>
      <c r="E22" s="142">
        <f>MATERIALES!D42</f>
        <v>24299.293333333335</v>
      </c>
      <c r="F22" s="69">
        <v>0.09</v>
      </c>
      <c r="G22" s="685">
        <f>+E22*F22</f>
        <v>2186.9364</v>
      </c>
      <c r="H22" s="72"/>
    </row>
    <row r="23" spans="1:8">
      <c r="A23" s="83" t="s">
        <v>1771</v>
      </c>
      <c r="B23" s="129"/>
      <c r="C23" s="130"/>
      <c r="D23" s="131" t="s">
        <v>44</v>
      </c>
      <c r="E23" s="132">
        <f>MATERIALES!D11</f>
        <v>3450</v>
      </c>
      <c r="F23" s="133">
        <v>0.01</v>
      </c>
      <c r="G23" s="685">
        <f>+E23*F23</f>
        <v>34.5</v>
      </c>
      <c r="H23" s="72"/>
    </row>
    <row r="24" spans="1:8" ht="15.75" thickBot="1">
      <c r="A24" s="89" t="s">
        <v>1687</v>
      </c>
      <c r="B24" s="90"/>
      <c r="C24" s="91"/>
      <c r="D24" s="76" t="s">
        <v>234</v>
      </c>
      <c r="E24" s="77">
        <f>MATERIALES!D75</f>
        <v>4750</v>
      </c>
      <c r="F24" s="520">
        <v>2.7E-2</v>
      </c>
      <c r="G24" s="453">
        <f>+E24*F24</f>
        <v>128.25</v>
      </c>
      <c r="H24" s="80"/>
    </row>
    <row r="25" spans="1:8" ht="15.75" thickBot="1">
      <c r="A25" s="61"/>
      <c r="B25" s="61"/>
      <c r="C25" s="61"/>
      <c r="D25" s="61"/>
      <c r="E25" s="61"/>
      <c r="F25" s="61"/>
      <c r="G25" s="81" t="s">
        <v>491</v>
      </c>
      <c r="H25" s="82">
        <f>SUM(G21:G24)</f>
        <v>124685.6064</v>
      </c>
    </row>
    <row r="26" spans="1:8" ht="15.75" thickBot="1">
      <c r="A26" s="92" t="s">
        <v>496</v>
      </c>
      <c r="B26" s="92"/>
      <c r="C26" s="90"/>
      <c r="D26" s="61"/>
      <c r="E26" s="61"/>
      <c r="F26" s="61"/>
      <c r="G26" s="61"/>
      <c r="H26" s="61"/>
    </row>
    <row r="27" spans="1:8">
      <c r="A27" s="278" t="s">
        <v>497</v>
      </c>
      <c r="B27" s="280"/>
      <c r="C27" s="93" t="s">
        <v>498</v>
      </c>
      <c r="D27" s="280" t="s">
        <v>499</v>
      </c>
      <c r="E27" s="280" t="s">
        <v>500</v>
      </c>
      <c r="F27" s="28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78" t="s">
        <v>503</v>
      </c>
      <c r="B33" s="280"/>
      <c r="C33" s="280" t="s">
        <v>504</v>
      </c>
      <c r="D33" s="280" t="s">
        <v>505</v>
      </c>
      <c r="E33" s="124" t="s">
        <v>506</v>
      </c>
      <c r="F33" s="102" t="s">
        <v>488</v>
      </c>
      <c r="G33" s="279" t="s">
        <v>489</v>
      </c>
      <c r="H33" s="67"/>
    </row>
    <row r="34" spans="1:8">
      <c r="A34" s="83" t="s">
        <v>697</v>
      </c>
      <c r="B34" s="84"/>
      <c r="C34" s="103">
        <f>+SALARIOS!C49</f>
        <v>25572</v>
      </c>
      <c r="D34" s="104">
        <f>+SALARIOS!C48</f>
        <v>1.7846558312967005</v>
      </c>
      <c r="E34" s="69">
        <f>+C34*D34</f>
        <v>45637.218917919221</v>
      </c>
      <c r="F34" s="69">
        <v>8</v>
      </c>
      <c r="G34" s="105">
        <f>+E34/F34</f>
        <v>5704.6523647399026</v>
      </c>
      <c r="H34" s="72"/>
    </row>
    <row r="35" spans="1:8">
      <c r="A35" s="83" t="s">
        <v>624</v>
      </c>
      <c r="B35" s="84"/>
      <c r="C35" s="103">
        <f>+SALARIOS!C50</f>
        <v>41660</v>
      </c>
      <c r="D35" s="104">
        <f>+SALARIOS!C48</f>
        <v>1.7846558312967005</v>
      </c>
      <c r="E35" s="69">
        <f>+C35*D35</f>
        <v>74348.76193182054</v>
      </c>
      <c r="F35" s="69">
        <v>8</v>
      </c>
      <c r="G35" s="105">
        <f>+E35/F35</f>
        <v>9293.5952414775675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14998.24760621747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141183.67876683924</v>
      </c>
    </row>
    <row r="41" spans="1:8" ht="15.75" thickBot="1">
      <c r="A41" s="63" t="s">
        <v>509</v>
      </c>
      <c r="B41" s="63"/>
      <c r="C41" s="61"/>
      <c r="D41" s="61"/>
      <c r="E41" s="61"/>
      <c r="F41" s="61"/>
      <c r="G41" s="61"/>
      <c r="H41" s="61"/>
    </row>
    <row r="42" spans="1:8">
      <c r="A42" s="233" t="s">
        <v>485</v>
      </c>
      <c r="B42" s="291"/>
      <c r="C42" s="291"/>
      <c r="D42" s="291"/>
      <c r="E42" s="292"/>
      <c r="F42" s="292" t="s">
        <v>510</v>
      </c>
      <c r="G42" s="291" t="s">
        <v>511</v>
      </c>
      <c r="H42" s="67"/>
    </row>
    <row r="43" spans="1:8">
      <c r="A43" s="83" t="s">
        <v>512</v>
      </c>
      <c r="B43" s="84"/>
      <c r="C43" s="84"/>
      <c r="D43" s="84"/>
      <c r="E43" s="85"/>
      <c r="F43" s="115">
        <f>+SALARIOS!C45</f>
        <v>0.15</v>
      </c>
      <c r="G43" s="116">
        <f>++F43*H40</f>
        <v>21177.551815025883</v>
      </c>
      <c r="H43" s="117"/>
    </row>
    <row r="44" spans="1:8">
      <c r="A44" s="83" t="s">
        <v>513</v>
      </c>
      <c r="B44" s="84"/>
      <c r="C44" s="84"/>
      <c r="D44" s="84"/>
      <c r="E44" s="85"/>
      <c r="F44" s="115">
        <f>+SALARIOS!C46</f>
        <v>0.05</v>
      </c>
      <c r="G44" s="116">
        <f>+F44*H40</f>
        <v>7059.1839383419619</v>
      </c>
      <c r="H44" s="117"/>
    </row>
    <row r="45" spans="1:8" ht="15.75" thickBot="1">
      <c r="A45" s="89" t="s">
        <v>514</v>
      </c>
      <c r="B45" s="90"/>
      <c r="C45" s="90"/>
      <c r="D45" s="90"/>
      <c r="E45" s="91"/>
      <c r="F45" s="118">
        <f>+SALARIOS!C47</f>
        <v>0.05</v>
      </c>
      <c r="G45" s="119">
        <f>+F45*H40</f>
        <v>7059.1839383419619</v>
      </c>
      <c r="H45" s="80"/>
    </row>
    <row r="46" spans="1:8" ht="15.75" thickBot="1">
      <c r="A46" s="61"/>
      <c r="B46" s="61"/>
      <c r="C46" s="61"/>
      <c r="D46" s="61"/>
      <c r="E46" s="61"/>
      <c r="F46" s="61"/>
      <c r="G46" s="81" t="s">
        <v>491</v>
      </c>
      <c r="H46" s="120">
        <f>SUM(G43:G45)</f>
        <v>35295.919691709809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176480</v>
      </c>
    </row>
  </sheetData>
  <mergeCells count="1">
    <mergeCell ref="A3:C4"/>
  </mergeCell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G36" sqref="G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969</v>
      </c>
      <c r="H7" s="61"/>
    </row>
    <row r="8" spans="1:8">
      <c r="A8" s="60" t="s">
        <v>970</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706">
        <f>H38*10%</f>
        <v>5520.7733255886333</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5520.7733255886333</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976</v>
      </c>
      <c r="B21" s="84"/>
      <c r="C21" s="85"/>
      <c r="D21" s="141" t="s">
        <v>61</v>
      </c>
      <c r="E21" s="139">
        <f>+MATERIALES!D326</f>
        <v>138298.68</v>
      </c>
      <c r="F21" s="163">
        <v>1</v>
      </c>
      <c r="G21" s="88">
        <f>+E21*F21</f>
        <v>138298.68</v>
      </c>
      <c r="H21" s="72"/>
    </row>
    <row r="22" spans="1:8">
      <c r="A22" s="83" t="s">
        <v>1770</v>
      </c>
      <c r="B22" s="84"/>
      <c r="C22" s="85"/>
      <c r="D22" s="68" t="s">
        <v>61</v>
      </c>
      <c r="E22" s="142">
        <f>MATERIALES!D42</f>
        <v>24299.293333333335</v>
      </c>
      <c r="F22" s="69">
        <v>0.09</v>
      </c>
      <c r="G22" s="707">
        <f>+E22*F22</f>
        <v>2186.9364</v>
      </c>
      <c r="H22" s="72"/>
    </row>
    <row r="23" spans="1:8">
      <c r="A23" s="83" t="s">
        <v>1771</v>
      </c>
      <c r="B23" s="129"/>
      <c r="C23" s="130"/>
      <c r="D23" s="131" t="s">
        <v>44</v>
      </c>
      <c r="E23" s="132">
        <f>MATERIALES!D11</f>
        <v>3450</v>
      </c>
      <c r="F23" s="133">
        <v>1.4999999999999999E-2</v>
      </c>
      <c r="G23" s="88">
        <f>+E23*F23</f>
        <v>51.75</v>
      </c>
      <c r="H23" s="72"/>
    </row>
    <row r="24" spans="1:8" ht="15.75" thickBot="1">
      <c r="A24" s="89" t="s">
        <v>1687</v>
      </c>
      <c r="B24" s="90"/>
      <c r="C24" s="91"/>
      <c r="D24" s="76" t="s">
        <v>234</v>
      </c>
      <c r="E24" s="77">
        <f>MATERIALES!D75</f>
        <v>4750</v>
      </c>
      <c r="F24" s="520">
        <v>3.5999999999999997E-2</v>
      </c>
      <c r="G24" s="79">
        <f>+E24*F24</f>
        <v>171</v>
      </c>
      <c r="H24" s="80"/>
    </row>
    <row r="25" spans="1:8" ht="15.75" thickBot="1">
      <c r="A25" s="61"/>
      <c r="B25" s="61"/>
      <c r="C25" s="61"/>
      <c r="D25" s="61"/>
      <c r="E25" s="61"/>
      <c r="F25" s="61"/>
      <c r="G25" s="81" t="s">
        <v>491</v>
      </c>
      <c r="H25" s="82">
        <f>SUM(G21:G24)</f>
        <v>140708.3664</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3</v>
      </c>
      <c r="G34" s="105">
        <f>+E34/F34</f>
        <v>30424.812611946149</v>
      </c>
      <c r="H34" s="72"/>
    </row>
    <row r="35" spans="1:8">
      <c r="A35" s="83" t="s">
        <v>624</v>
      </c>
      <c r="B35" s="84"/>
      <c r="C35" s="103">
        <f>+SALARIOS!C50</f>
        <v>41660</v>
      </c>
      <c r="D35" s="104">
        <f>+SALARIOS!C48</f>
        <v>1.7846558312967005</v>
      </c>
      <c r="E35" s="69">
        <f>+C35*D35</f>
        <v>74348.76193182054</v>
      </c>
      <c r="F35" s="69">
        <v>3</v>
      </c>
      <c r="G35" s="105">
        <f>+E35/F35</f>
        <v>24782.920643940179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55207.733255886327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201436.87298147497</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30215.530947221243</v>
      </c>
      <c r="H43" s="117"/>
    </row>
    <row r="44" spans="1:8">
      <c r="A44" s="83" t="s">
        <v>513</v>
      </c>
      <c r="B44" s="84"/>
      <c r="C44" s="84"/>
      <c r="D44" s="84"/>
      <c r="E44" s="85"/>
      <c r="F44" s="115">
        <f>+SALARIOS!C46</f>
        <v>0.05</v>
      </c>
      <c r="G44" s="116">
        <f>+F44*H40</f>
        <v>10071.843649073749</v>
      </c>
      <c r="H44" s="117"/>
    </row>
    <row r="45" spans="1:8" ht="15.75" thickBot="1">
      <c r="A45" s="89" t="s">
        <v>514</v>
      </c>
      <c r="B45" s="90"/>
      <c r="C45" s="90"/>
      <c r="D45" s="90"/>
      <c r="E45" s="91"/>
      <c r="F45" s="118">
        <f>+SALARIOS!C47</f>
        <v>0.05</v>
      </c>
      <c r="G45" s="119">
        <f>+F45*H40</f>
        <v>10071.843649073749</v>
      </c>
      <c r="H45" s="80"/>
    </row>
    <row r="46" spans="1:8" ht="15.75" thickBot="1">
      <c r="A46" s="61"/>
      <c r="B46" s="61"/>
      <c r="C46" s="61"/>
      <c r="D46" s="61"/>
      <c r="E46" s="61"/>
      <c r="F46" s="61"/>
      <c r="G46" s="81" t="s">
        <v>491</v>
      </c>
      <c r="H46" s="120">
        <f>SUM(G43:G45)</f>
        <v>50359.218245368742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251796</v>
      </c>
    </row>
  </sheetData>
  <mergeCells count="1">
    <mergeCell ref="A3:C4"/>
  </mergeCell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E21" sqref="E21"/>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971</v>
      </c>
      <c r="H7" s="61"/>
    </row>
    <row r="8" spans="1:8">
      <c r="A8" s="60" t="s">
        <v>972</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706">
        <f>H38*10%</f>
        <v>3876.2524954606024</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3876.2524954606024</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977</v>
      </c>
      <c r="B21" s="84"/>
      <c r="C21" s="85"/>
      <c r="D21" s="141" t="s">
        <v>61</v>
      </c>
      <c r="E21" s="139">
        <f>MATERIALES!D327</f>
        <v>207952.03999999998</v>
      </c>
      <c r="F21" s="163">
        <v>1</v>
      </c>
      <c r="G21" s="137">
        <f>+E21*F21</f>
        <v>207952.03999999998</v>
      </c>
      <c r="H21" s="59"/>
    </row>
    <row r="22" spans="1:8">
      <c r="A22" s="83" t="s">
        <v>1770</v>
      </c>
      <c r="B22" s="84"/>
      <c r="C22" s="85"/>
      <c r="D22" s="68" t="s">
        <v>61</v>
      </c>
      <c r="E22" s="142">
        <f>MATERIALES!D42</f>
        <v>24299.293333333335</v>
      </c>
      <c r="F22" s="69">
        <v>0.09</v>
      </c>
      <c r="G22" s="707">
        <f>+E22*F22</f>
        <v>2186.9364</v>
      </c>
      <c r="H22" s="59"/>
    </row>
    <row r="23" spans="1:8">
      <c r="A23" s="83" t="s">
        <v>1771</v>
      </c>
      <c r="B23" s="129"/>
      <c r="C23" s="130"/>
      <c r="D23" s="131" t="s">
        <v>44</v>
      </c>
      <c r="E23" s="132">
        <f>MATERIALES!D11</f>
        <v>3450</v>
      </c>
      <c r="F23" s="133">
        <v>1.4999999999999999E-2</v>
      </c>
      <c r="G23" s="88">
        <f>+E23*F23</f>
        <v>51.75</v>
      </c>
      <c r="H23" s="59"/>
    </row>
    <row r="24" spans="1:8" ht="15.75" thickBot="1">
      <c r="A24" s="89" t="s">
        <v>1687</v>
      </c>
      <c r="B24" s="90"/>
      <c r="C24" s="91"/>
      <c r="D24" s="76" t="s">
        <v>234</v>
      </c>
      <c r="E24" s="77">
        <f>MATERIALES!D75</f>
        <v>4750</v>
      </c>
      <c r="F24" s="520">
        <v>3.5999999999999997E-2</v>
      </c>
      <c r="G24" s="79">
        <f>+E24*F24</f>
        <v>171</v>
      </c>
      <c r="H24" s="80"/>
    </row>
    <row r="25" spans="1:8" ht="15.75" thickBot="1">
      <c r="A25" s="61"/>
      <c r="B25" s="61"/>
      <c r="C25" s="61"/>
      <c r="D25" s="61"/>
      <c r="E25" s="61"/>
      <c r="F25" s="61"/>
      <c r="G25" s="81" t="s">
        <v>491</v>
      </c>
      <c r="H25" s="82">
        <f>SUM(G21:G24)</f>
        <v>210361.72639999999</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4.2727660275386299</v>
      </c>
      <c r="G34" s="105">
        <f>+E34/F34</f>
        <v>21361.908713830981</v>
      </c>
      <c r="H34" s="72"/>
    </row>
    <row r="35" spans="1:8">
      <c r="A35" s="83" t="s">
        <v>624</v>
      </c>
      <c r="B35" s="84"/>
      <c r="C35" s="103">
        <f>+SALARIOS!C50</f>
        <v>41660</v>
      </c>
      <c r="D35" s="104">
        <f>+SALARIOS!C48</f>
        <v>1.7846558312967005</v>
      </c>
      <c r="E35" s="69">
        <f>+C35*D35</f>
        <v>74348.76193182054</v>
      </c>
      <c r="F35" s="69">
        <v>4.2727660275386299</v>
      </c>
      <c r="G35" s="105">
        <f>+E35/F35</f>
        <v>17400.616240775042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38762.524954606022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253000.5038500666</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37950.07557750999</v>
      </c>
      <c r="H43" s="117"/>
    </row>
    <row r="44" spans="1:8">
      <c r="A44" s="83" t="s">
        <v>513</v>
      </c>
      <c r="B44" s="84"/>
      <c r="C44" s="84"/>
      <c r="D44" s="84"/>
      <c r="E44" s="85"/>
      <c r="F44" s="115">
        <f>+SALARIOS!C46</f>
        <v>0.05</v>
      </c>
      <c r="G44" s="116">
        <f>+F44*H40</f>
        <v>12650.02519250333</v>
      </c>
      <c r="H44" s="117"/>
    </row>
    <row r="45" spans="1:8" ht="15.75" thickBot="1">
      <c r="A45" s="89" t="s">
        <v>514</v>
      </c>
      <c r="B45" s="90"/>
      <c r="C45" s="90"/>
      <c r="D45" s="90"/>
      <c r="E45" s="91"/>
      <c r="F45" s="118">
        <f>+SALARIOS!C47</f>
        <v>0.05</v>
      </c>
      <c r="G45" s="119">
        <f>+F45*H40</f>
        <v>12650.02519250333</v>
      </c>
      <c r="H45" s="80"/>
    </row>
    <row r="46" spans="1:8" ht="15.75" thickBot="1">
      <c r="A46" s="61"/>
      <c r="B46" s="61"/>
      <c r="C46" s="61"/>
      <c r="D46" s="61"/>
      <c r="E46" s="61"/>
      <c r="F46" s="61"/>
      <c r="G46" s="81" t="s">
        <v>491</v>
      </c>
      <c r="H46" s="120">
        <f>SUM(G43:G45)</f>
        <v>63250.125962516649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316251</v>
      </c>
    </row>
  </sheetData>
  <mergeCells count="1">
    <mergeCell ref="A3:C4"/>
  </mergeCell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G36" sqref="G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973</v>
      </c>
      <c r="H7" s="61"/>
    </row>
    <row r="8" spans="1:8">
      <c r="A8" s="60" t="s">
        <v>974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706">
        <f>H38*10%</f>
        <v>8637.9447115121238</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8637.9447115121238</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975</v>
      </c>
      <c r="B21" s="84"/>
      <c r="C21" s="85"/>
      <c r="D21" s="141" t="s">
        <v>61</v>
      </c>
      <c r="E21" s="139">
        <f>MATERIALES!D328</f>
        <v>227862.28</v>
      </c>
      <c r="F21" s="163">
        <v>1</v>
      </c>
      <c r="G21" s="137">
        <f>+E21*F21</f>
        <v>227862.28</v>
      </c>
      <c r="H21" s="59"/>
    </row>
    <row r="22" spans="1:8">
      <c r="A22" s="83" t="s">
        <v>1770</v>
      </c>
      <c r="B22" s="84"/>
      <c r="C22" s="85"/>
      <c r="D22" s="68" t="s">
        <v>61</v>
      </c>
      <c r="E22" s="142">
        <f>MATERIALES!D42</f>
        <v>24299.293333333335</v>
      </c>
      <c r="F22" s="69">
        <v>0.09</v>
      </c>
      <c r="G22" s="707">
        <f>+E22*F22</f>
        <v>2186.9364</v>
      </c>
      <c r="H22" s="59"/>
    </row>
    <row r="23" spans="1:8">
      <c r="A23" s="83" t="s">
        <v>1771</v>
      </c>
      <c r="B23" s="129"/>
      <c r="C23" s="130"/>
      <c r="D23" s="131" t="s">
        <v>44</v>
      </c>
      <c r="E23" s="132">
        <f>MATERIALES!D11</f>
        <v>3450</v>
      </c>
      <c r="F23" s="133">
        <v>1.4999999999999999E-2</v>
      </c>
      <c r="G23" s="88">
        <f>+E23*F23</f>
        <v>51.75</v>
      </c>
      <c r="H23" s="59"/>
    </row>
    <row r="24" spans="1:8" ht="15.75" thickBot="1">
      <c r="A24" s="89" t="s">
        <v>1687</v>
      </c>
      <c r="B24" s="90"/>
      <c r="C24" s="91"/>
      <c r="D24" s="76" t="s">
        <v>234</v>
      </c>
      <c r="E24" s="77">
        <f>MATERIALES!D75</f>
        <v>4750</v>
      </c>
      <c r="F24" s="520">
        <v>3.5999999999999997E-2</v>
      </c>
      <c r="G24" s="79">
        <f>+E24*F24</f>
        <v>171</v>
      </c>
      <c r="H24" s="80"/>
    </row>
    <row r="25" spans="1:8" ht="15.75" thickBot="1">
      <c r="A25" s="61"/>
      <c r="B25" s="61"/>
      <c r="C25" s="61"/>
      <c r="D25" s="61"/>
      <c r="E25" s="61"/>
      <c r="F25" s="61"/>
      <c r="G25" s="81" t="s">
        <v>491</v>
      </c>
      <c r="H25" s="82">
        <f>SUM(G21:G24)</f>
        <v>230271.9664</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814">
        <v>1.9173912927102501</v>
      </c>
      <c r="G34" s="105">
        <f>+E34/F34</f>
        <v>47603.448593333909</v>
      </c>
      <c r="H34" s="72"/>
    </row>
    <row r="35" spans="1:8">
      <c r="A35" s="83" t="s">
        <v>624</v>
      </c>
      <c r="B35" s="84"/>
      <c r="C35" s="103">
        <f>+SALARIOS!C50</f>
        <v>41660</v>
      </c>
      <c r="D35" s="104">
        <f>+SALARIOS!C48</f>
        <v>1.7846558312967005</v>
      </c>
      <c r="E35" s="69">
        <f>+C35*D35</f>
        <v>74348.76193182054</v>
      </c>
      <c r="F35" s="814">
        <v>1.9173912927102501</v>
      </c>
      <c r="G35" s="105">
        <f>+E35/F35</f>
        <v>38775.998521787318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86379.447115121235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325289.3582266334</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48793.403733995008</v>
      </c>
      <c r="H43" s="117"/>
    </row>
    <row r="44" spans="1:8">
      <c r="A44" s="83" t="s">
        <v>513</v>
      </c>
      <c r="B44" s="84"/>
      <c r="C44" s="84"/>
      <c r="D44" s="84"/>
      <c r="E44" s="85"/>
      <c r="F44" s="115">
        <f>+SALARIOS!C46</f>
        <v>0.05</v>
      </c>
      <c r="G44" s="116">
        <f>+F44*H40</f>
        <v>16264.467911331671</v>
      </c>
      <c r="H44" s="117"/>
    </row>
    <row r="45" spans="1:8" ht="15.75" thickBot="1">
      <c r="A45" s="89" t="s">
        <v>514</v>
      </c>
      <c r="B45" s="90"/>
      <c r="C45" s="90"/>
      <c r="D45" s="90"/>
      <c r="E45" s="91"/>
      <c r="F45" s="118">
        <f>+SALARIOS!C47</f>
        <v>0.05</v>
      </c>
      <c r="G45" s="119">
        <f>+F45*H40</f>
        <v>16264.467911331671</v>
      </c>
      <c r="H45" s="80"/>
    </row>
    <row r="46" spans="1:8" ht="15.75" thickBot="1">
      <c r="A46" s="61"/>
      <c r="B46" s="61"/>
      <c r="C46" s="61"/>
      <c r="D46" s="61"/>
      <c r="E46" s="61"/>
      <c r="F46" s="61"/>
      <c r="G46" s="81" t="s">
        <v>491</v>
      </c>
      <c r="H46" s="120">
        <f>SUM(G43:G45)</f>
        <v>81322.339556658349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406612</v>
      </c>
    </row>
  </sheetData>
  <mergeCells count="1">
    <mergeCell ref="A3:C4"/>
  </mergeCell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topLeftCell="A4" workbookViewId="0">
      <selection activeCell="G36" sqref="G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978</v>
      </c>
      <c r="H7" s="61"/>
    </row>
    <row r="8" spans="1:8">
      <c r="A8" s="60" t="s">
        <v>979</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706">
        <f>H38*10%</f>
        <v>6379.9383577680655</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6379.9383577680655</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982</v>
      </c>
      <c r="B21" s="84"/>
      <c r="C21" s="85"/>
      <c r="D21" s="141" t="s">
        <v>61</v>
      </c>
      <c r="E21" s="139">
        <f>MATERIALES!D329</f>
        <v>225000</v>
      </c>
      <c r="F21" s="163">
        <v>1</v>
      </c>
      <c r="G21" s="137">
        <f>+E21*F21</f>
        <v>225000</v>
      </c>
      <c r="H21" s="59"/>
    </row>
    <row r="22" spans="1:8">
      <c r="A22" s="83" t="s">
        <v>1770</v>
      </c>
      <c r="B22" s="84"/>
      <c r="C22" s="85"/>
      <c r="D22" s="68" t="s">
        <v>61</v>
      </c>
      <c r="E22" s="142">
        <f>MATERIALES!D42</f>
        <v>24299.293333333335</v>
      </c>
      <c r="F22" s="69">
        <v>0.09</v>
      </c>
      <c r="G22" s="707">
        <f>+E22*F22</f>
        <v>2186.9364</v>
      </c>
      <c r="H22" s="59"/>
    </row>
    <row r="23" spans="1:8">
      <c r="A23" s="83" t="s">
        <v>1771</v>
      </c>
      <c r="B23" s="129"/>
      <c r="C23" s="130"/>
      <c r="D23" s="131" t="s">
        <v>44</v>
      </c>
      <c r="E23" s="132">
        <f>MATERIALES!D11</f>
        <v>3450</v>
      </c>
      <c r="F23" s="133">
        <v>1.4999999999999999E-2</v>
      </c>
      <c r="G23" s="88">
        <f>+E23*F23</f>
        <v>51.75</v>
      </c>
      <c r="H23" s="59"/>
    </row>
    <row r="24" spans="1:8" ht="15.75" thickBot="1">
      <c r="A24" s="89" t="s">
        <v>1687</v>
      </c>
      <c r="B24" s="90"/>
      <c r="C24" s="91"/>
      <c r="D24" s="76" t="s">
        <v>234</v>
      </c>
      <c r="E24" s="77">
        <f>MATERIALES!D75</f>
        <v>4750</v>
      </c>
      <c r="F24" s="520">
        <v>3.5999999999999997E-2</v>
      </c>
      <c r="G24" s="79">
        <f>+E24*F24</f>
        <v>171</v>
      </c>
      <c r="H24" s="80"/>
    </row>
    <row r="25" spans="1:8" ht="15.75" thickBot="1">
      <c r="A25" s="61"/>
      <c r="B25" s="61"/>
      <c r="C25" s="61"/>
      <c r="D25" s="61"/>
      <c r="E25" s="61"/>
      <c r="F25" s="61"/>
      <c r="G25" s="81" t="s">
        <v>491</v>
      </c>
      <c r="H25" s="82">
        <f>SUM(G21:G24)</f>
        <v>227409.68640000001</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2.5960000000000001</v>
      </c>
      <c r="G34" s="105">
        <f>+E34/F34</f>
        <v>35159.644774976288</v>
      </c>
      <c r="H34" s="72"/>
    </row>
    <row r="35" spans="1:8">
      <c r="A35" s="83" t="s">
        <v>624</v>
      </c>
      <c r="B35" s="84"/>
      <c r="C35" s="103">
        <f>+SALARIOS!C50</f>
        <v>41660</v>
      </c>
      <c r="D35" s="104">
        <f>+SALARIOS!C48</f>
        <v>1.7846558312967005</v>
      </c>
      <c r="E35" s="69">
        <f>+C35*D35</f>
        <v>74348.76193182054</v>
      </c>
      <c r="F35" s="69">
        <v>2.5960000000000001</v>
      </c>
      <c r="G35" s="105">
        <f>+E35/F35</f>
        <v>28639.738802704367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63799.383577680652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297589.00833544869</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44638.351250317304</v>
      </c>
      <c r="H43" s="117"/>
    </row>
    <row r="44" spans="1:8">
      <c r="A44" s="83" t="s">
        <v>513</v>
      </c>
      <c r="B44" s="84"/>
      <c r="C44" s="84"/>
      <c r="D44" s="84"/>
      <c r="E44" s="85"/>
      <c r="F44" s="115">
        <f>+SALARIOS!C46</f>
        <v>0.05</v>
      </c>
      <c r="G44" s="116">
        <f>+F44*H40</f>
        <v>14879.450416772435</v>
      </c>
      <c r="H44" s="117"/>
    </row>
    <row r="45" spans="1:8" ht="15.75" thickBot="1">
      <c r="A45" s="89" t="s">
        <v>514</v>
      </c>
      <c r="B45" s="90"/>
      <c r="C45" s="90"/>
      <c r="D45" s="90"/>
      <c r="E45" s="91"/>
      <c r="F45" s="118">
        <f>+SALARIOS!C47</f>
        <v>0.05</v>
      </c>
      <c r="G45" s="119">
        <f>+F45*H40</f>
        <v>14879.450416772435</v>
      </c>
      <c r="H45" s="80"/>
    </row>
    <row r="46" spans="1:8" ht="15.75" thickBot="1">
      <c r="A46" s="61"/>
      <c r="B46" s="61"/>
      <c r="C46" s="61"/>
      <c r="D46" s="61"/>
      <c r="E46" s="61"/>
      <c r="F46" s="61"/>
      <c r="G46" s="81" t="s">
        <v>491</v>
      </c>
      <c r="H46" s="120">
        <f>SUM(G43:G45)</f>
        <v>74397.252083862171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371986</v>
      </c>
    </row>
  </sheetData>
  <mergeCells count="1">
    <mergeCell ref="A3:C4"/>
  </mergeCell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G36" sqref="G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980</v>
      </c>
      <c r="H7" s="61"/>
    </row>
    <row r="8" spans="1:8">
      <c r="A8" s="60" t="s">
        <v>981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706">
        <f>H38*10%</f>
        <v>6379.9383577680655</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6379.9383577680655</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986</v>
      </c>
      <c r="B21" s="84"/>
      <c r="C21" s="85"/>
      <c r="D21" s="141" t="s">
        <v>61</v>
      </c>
      <c r="E21" s="139">
        <f>MATERIALES!D330</f>
        <v>230000</v>
      </c>
      <c r="F21" s="163">
        <v>1</v>
      </c>
      <c r="G21" s="137">
        <f>+E21*F21</f>
        <v>230000</v>
      </c>
      <c r="H21" s="59"/>
    </row>
    <row r="22" spans="1:8">
      <c r="A22" s="83" t="s">
        <v>1770</v>
      </c>
      <c r="B22" s="84"/>
      <c r="C22" s="85"/>
      <c r="D22" s="68" t="s">
        <v>61</v>
      </c>
      <c r="E22" s="142">
        <f>MATERIALES!D42</f>
        <v>24299.293333333335</v>
      </c>
      <c r="F22" s="69">
        <v>0.09</v>
      </c>
      <c r="G22" s="707">
        <f>+E22*F22</f>
        <v>2186.9364</v>
      </c>
      <c r="H22" s="59"/>
    </row>
    <row r="23" spans="1:8">
      <c r="A23" s="83" t="s">
        <v>1771</v>
      </c>
      <c r="B23" s="129"/>
      <c r="C23" s="130"/>
      <c r="D23" s="131" t="s">
        <v>44</v>
      </c>
      <c r="E23" s="132">
        <f>MATERIALES!D11</f>
        <v>3450</v>
      </c>
      <c r="F23" s="133">
        <v>1.4999999999999999E-2</v>
      </c>
      <c r="G23" s="88">
        <f>+E23*F23</f>
        <v>51.75</v>
      </c>
      <c r="H23" s="59"/>
    </row>
    <row r="24" spans="1:8" ht="15.75" thickBot="1">
      <c r="A24" s="89" t="s">
        <v>1687</v>
      </c>
      <c r="B24" s="90"/>
      <c r="C24" s="91"/>
      <c r="D24" s="76" t="s">
        <v>234</v>
      </c>
      <c r="E24" s="77">
        <f>MATERIALES!D75</f>
        <v>4750</v>
      </c>
      <c r="F24" s="520">
        <v>3.5999999999999997E-2</v>
      </c>
      <c r="G24" s="79">
        <f>+E24*F24</f>
        <v>171</v>
      </c>
      <c r="H24" s="80"/>
    </row>
    <row r="25" spans="1:8" ht="15.75" thickBot="1">
      <c r="A25" s="61"/>
      <c r="B25" s="61"/>
      <c r="C25" s="61"/>
      <c r="D25" s="61"/>
      <c r="E25" s="61"/>
      <c r="F25" s="61"/>
      <c r="G25" s="81" t="s">
        <v>491</v>
      </c>
      <c r="H25" s="82">
        <f>SUM(G21:G24)</f>
        <v>232409.68640000001</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2.5960000000000001</v>
      </c>
      <c r="G34" s="105">
        <f>+E34/F34</f>
        <v>35159.644774976288</v>
      </c>
      <c r="H34" s="72"/>
    </row>
    <row r="35" spans="1:8">
      <c r="A35" s="83" t="s">
        <v>624</v>
      </c>
      <c r="B35" s="84"/>
      <c r="C35" s="103">
        <f>+SALARIOS!C50</f>
        <v>41660</v>
      </c>
      <c r="D35" s="104">
        <f>+SALARIOS!C48</f>
        <v>1.7846558312967005</v>
      </c>
      <c r="E35" s="69">
        <f>+C35*D35</f>
        <v>74348.76193182054</v>
      </c>
      <c r="F35" s="69">
        <v>2.5960000000000001</v>
      </c>
      <c r="G35" s="105">
        <f>+E35/F35</f>
        <v>28639.738802704367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63799.383577680652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302589.00833544869</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45388.351250317304</v>
      </c>
      <c r="H43" s="117"/>
    </row>
    <row r="44" spans="1:8">
      <c r="A44" s="83" t="s">
        <v>513</v>
      </c>
      <c r="B44" s="84"/>
      <c r="C44" s="84"/>
      <c r="D44" s="84"/>
      <c r="E44" s="85"/>
      <c r="F44" s="115">
        <f>+SALARIOS!C46</f>
        <v>0.05</v>
      </c>
      <c r="G44" s="116">
        <f>+F44*H40</f>
        <v>15129.450416772435</v>
      </c>
      <c r="H44" s="117"/>
    </row>
    <row r="45" spans="1:8" ht="15.75" thickBot="1">
      <c r="A45" s="89" t="s">
        <v>514</v>
      </c>
      <c r="B45" s="90"/>
      <c r="C45" s="90"/>
      <c r="D45" s="90"/>
      <c r="E45" s="91"/>
      <c r="F45" s="118">
        <f>+SALARIOS!C47</f>
        <v>0.05</v>
      </c>
      <c r="G45" s="119">
        <f>+F45*H40</f>
        <v>15129.450416772435</v>
      </c>
      <c r="H45" s="80"/>
    </row>
    <row r="46" spans="1:8" ht="15.75" thickBot="1">
      <c r="A46" s="61"/>
      <c r="B46" s="61"/>
      <c r="C46" s="61"/>
      <c r="D46" s="61"/>
      <c r="E46" s="61"/>
      <c r="F46" s="61"/>
      <c r="G46" s="81" t="s">
        <v>491</v>
      </c>
      <c r="H46" s="120">
        <f>SUM(G43:G45)</f>
        <v>75647.252083862171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378236</v>
      </c>
    </row>
  </sheetData>
  <mergeCells count="1">
    <mergeCell ref="A3:C4"/>
  </mergeCell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G36" sqref="G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983</v>
      </c>
      <c r="H7" s="61"/>
    </row>
    <row r="8" spans="1:8">
      <c r="A8" s="60" t="s">
        <v>984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706">
        <f>H38*10%</f>
        <v>4140.5799941914747</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4140.5799941914747</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985</v>
      </c>
      <c r="B21" s="84"/>
      <c r="C21" s="85"/>
      <c r="D21" s="141" t="s">
        <v>61</v>
      </c>
      <c r="E21" s="139">
        <f>MATERIALES!D331</f>
        <v>275000</v>
      </c>
      <c r="F21" s="163">
        <v>1</v>
      </c>
      <c r="G21" s="137">
        <f>+E21*F21</f>
        <v>275000</v>
      </c>
      <c r="H21" s="59"/>
    </row>
    <row r="22" spans="1:8">
      <c r="A22" s="83" t="s">
        <v>1770</v>
      </c>
      <c r="B22" s="84"/>
      <c r="C22" s="85"/>
      <c r="D22" s="68" t="s">
        <v>61</v>
      </c>
      <c r="E22" s="142">
        <f>MATERIALES!D42</f>
        <v>24299.293333333335</v>
      </c>
      <c r="F22" s="69">
        <v>0.09</v>
      </c>
      <c r="G22" s="707">
        <f>+E22*F22</f>
        <v>2186.9364</v>
      </c>
      <c r="H22" s="59"/>
    </row>
    <row r="23" spans="1:8">
      <c r="A23" s="83" t="s">
        <v>1771</v>
      </c>
      <c r="B23" s="129"/>
      <c r="C23" s="130"/>
      <c r="D23" s="131" t="s">
        <v>44</v>
      </c>
      <c r="E23" s="132">
        <f>MATERIALES!D11</f>
        <v>3450</v>
      </c>
      <c r="F23" s="133">
        <v>1.4999999999999999E-2</v>
      </c>
      <c r="G23" s="88">
        <f>+E23*F23</f>
        <v>51.75</v>
      </c>
      <c r="H23" s="59"/>
    </row>
    <row r="24" spans="1:8" ht="15.75" thickBot="1">
      <c r="A24" s="89" t="s">
        <v>1687</v>
      </c>
      <c r="B24" s="90"/>
      <c r="C24" s="91"/>
      <c r="D24" s="76" t="s">
        <v>234</v>
      </c>
      <c r="E24" s="77">
        <f>MATERIALES!D75</f>
        <v>4750</v>
      </c>
      <c r="F24" s="520">
        <v>3.5999999999999997E-2</v>
      </c>
      <c r="G24" s="79">
        <f>+E24*F24</f>
        <v>171</v>
      </c>
      <c r="H24" s="80"/>
    </row>
    <row r="25" spans="1:8" ht="15.75" thickBot="1">
      <c r="A25" s="61"/>
      <c r="B25" s="61"/>
      <c r="C25" s="61"/>
      <c r="D25" s="61"/>
      <c r="E25" s="61"/>
      <c r="F25" s="61"/>
      <c r="G25" s="81" t="s">
        <v>491</v>
      </c>
      <c r="H25" s="82">
        <f>SUM(G21:G24)</f>
        <v>277409.68640000001</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4</v>
      </c>
      <c r="G34" s="105">
        <f>+E34/F34</f>
        <v>22818.60945895961</v>
      </c>
      <c r="H34" s="72"/>
    </row>
    <row r="35" spans="1:8">
      <c r="A35" s="83" t="s">
        <v>624</v>
      </c>
      <c r="B35" s="84"/>
      <c r="C35" s="103">
        <f>+SALARIOS!C50</f>
        <v>41660</v>
      </c>
      <c r="D35" s="104">
        <f>+SALARIOS!C48</f>
        <v>1.7846558312967005</v>
      </c>
      <c r="E35" s="69">
        <f>+C35*D35</f>
        <v>74348.76193182054</v>
      </c>
      <c r="F35" s="69">
        <v>4</v>
      </c>
      <c r="G35" s="105">
        <f>+E35/F35</f>
        <v>18587.190482955135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41405.799941914745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322956.06633610622</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48443.409950415931</v>
      </c>
      <c r="H43" s="117"/>
    </row>
    <row r="44" spans="1:8">
      <c r="A44" s="83" t="s">
        <v>513</v>
      </c>
      <c r="B44" s="84"/>
      <c r="C44" s="84"/>
      <c r="D44" s="84"/>
      <c r="E44" s="85"/>
      <c r="F44" s="115">
        <f>+SALARIOS!C46</f>
        <v>0.05</v>
      </c>
      <c r="G44" s="116">
        <f>+F44*H40</f>
        <v>16147.803316805312</v>
      </c>
      <c r="H44" s="117"/>
    </row>
    <row r="45" spans="1:8" ht="15.75" thickBot="1">
      <c r="A45" s="89" t="s">
        <v>514</v>
      </c>
      <c r="B45" s="90"/>
      <c r="C45" s="90"/>
      <c r="D45" s="90"/>
      <c r="E45" s="91"/>
      <c r="F45" s="118">
        <f>+SALARIOS!C47</f>
        <v>0.05</v>
      </c>
      <c r="G45" s="119">
        <f>+F45*H40</f>
        <v>16147.803316805312</v>
      </c>
      <c r="H45" s="80"/>
    </row>
    <row r="46" spans="1:8" ht="15.75" thickBot="1">
      <c r="A46" s="61"/>
      <c r="B46" s="61"/>
      <c r="C46" s="61"/>
      <c r="D46" s="61"/>
      <c r="E46" s="61"/>
      <c r="F46" s="61"/>
      <c r="G46" s="81" t="s">
        <v>491</v>
      </c>
      <c r="H46" s="120">
        <f>SUM(G43:G45)</f>
        <v>80739.016584026554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403695</v>
      </c>
    </row>
  </sheetData>
  <mergeCells count="1">
    <mergeCell ref="A3:C4"/>
  </mergeCell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G36" sqref="G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987</v>
      </c>
      <c r="H7" s="61"/>
    </row>
    <row r="8" spans="1:8">
      <c r="A8" s="60" t="s">
        <v>988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706">
        <f>H38*10%</f>
        <v>4140.5799941914747</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4140.5799941914747</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1445</v>
      </c>
      <c r="B21" s="84"/>
      <c r="C21" s="85"/>
      <c r="D21" s="141" t="s">
        <v>61</v>
      </c>
      <c r="E21" s="139">
        <f>MATERIALES!D332</f>
        <v>287000</v>
      </c>
      <c r="F21" s="163">
        <v>1</v>
      </c>
      <c r="G21" s="137">
        <f>+E21*F21</f>
        <v>287000</v>
      </c>
      <c r="H21" s="59"/>
    </row>
    <row r="22" spans="1:8">
      <c r="A22" s="83" t="s">
        <v>1770</v>
      </c>
      <c r="B22" s="84"/>
      <c r="C22" s="85"/>
      <c r="D22" s="68" t="s">
        <v>61</v>
      </c>
      <c r="E22" s="142">
        <f>MATERIALES!D42</f>
        <v>24299.293333333335</v>
      </c>
      <c r="F22" s="69">
        <v>0.09</v>
      </c>
      <c r="G22" s="707">
        <f>+E22*F22</f>
        <v>2186.9364</v>
      </c>
      <c r="H22" s="59"/>
    </row>
    <row r="23" spans="1:8">
      <c r="A23" s="83" t="s">
        <v>1771</v>
      </c>
      <c r="B23" s="129"/>
      <c r="C23" s="130"/>
      <c r="D23" s="131" t="s">
        <v>44</v>
      </c>
      <c r="E23" s="132">
        <f>MATERIALES!D11</f>
        <v>3450</v>
      </c>
      <c r="F23" s="133">
        <v>1.4999999999999999E-2</v>
      </c>
      <c r="G23" s="88">
        <f>+E23*F23</f>
        <v>51.75</v>
      </c>
      <c r="H23" s="59"/>
    </row>
    <row r="24" spans="1:8" ht="15.75" thickBot="1">
      <c r="A24" s="89" t="s">
        <v>1687</v>
      </c>
      <c r="B24" s="90"/>
      <c r="C24" s="91"/>
      <c r="D24" s="76" t="s">
        <v>234</v>
      </c>
      <c r="E24" s="77">
        <f>MATERIALES!D75</f>
        <v>4750</v>
      </c>
      <c r="F24" s="520">
        <v>3.5999999999999997E-2</v>
      </c>
      <c r="G24" s="79">
        <f>+E24*F24</f>
        <v>171</v>
      </c>
      <c r="H24" s="80"/>
    </row>
    <row r="25" spans="1:8" ht="15.75" thickBot="1">
      <c r="A25" s="61"/>
      <c r="B25" s="61"/>
      <c r="C25" s="61"/>
      <c r="D25" s="61"/>
      <c r="E25" s="61"/>
      <c r="F25" s="61"/>
      <c r="G25" s="81" t="s">
        <v>491</v>
      </c>
      <c r="H25" s="82">
        <f>SUM(G21:G24)</f>
        <v>289409.68640000001</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161">
        <v>4</v>
      </c>
      <c r="G34" s="105">
        <f>+E34/F34</f>
        <v>22818.60945895961</v>
      </c>
      <c r="H34" s="72"/>
    </row>
    <row r="35" spans="1:8">
      <c r="A35" s="83" t="s">
        <v>624</v>
      </c>
      <c r="B35" s="84"/>
      <c r="C35" s="103">
        <f>+SALARIOS!C50</f>
        <v>41660</v>
      </c>
      <c r="D35" s="104">
        <f>+SALARIOS!C48</f>
        <v>1.7846558312967005</v>
      </c>
      <c r="E35" s="69">
        <f>+C35*D35</f>
        <v>74348.76193182054</v>
      </c>
      <c r="F35" s="161">
        <v>4</v>
      </c>
      <c r="G35" s="105">
        <f>+E35/F35</f>
        <v>18587.190482955135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41405.799941914745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334956.06633610622</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50243.409950415931</v>
      </c>
      <c r="H43" s="117"/>
    </row>
    <row r="44" spans="1:8">
      <c r="A44" s="83" t="s">
        <v>513</v>
      </c>
      <c r="B44" s="84"/>
      <c r="C44" s="84"/>
      <c r="D44" s="84"/>
      <c r="E44" s="85"/>
      <c r="F44" s="115">
        <f>+SALARIOS!C46</f>
        <v>0.05</v>
      </c>
      <c r="G44" s="116">
        <f>+F44*H40</f>
        <v>16747.803316805312</v>
      </c>
      <c r="H44" s="117"/>
    </row>
    <row r="45" spans="1:8" ht="15.75" thickBot="1">
      <c r="A45" s="89" t="s">
        <v>514</v>
      </c>
      <c r="B45" s="90"/>
      <c r="C45" s="90"/>
      <c r="D45" s="90"/>
      <c r="E45" s="91"/>
      <c r="F45" s="118">
        <f>+SALARIOS!C47</f>
        <v>0.05</v>
      </c>
      <c r="G45" s="119">
        <f>+F45*H40</f>
        <v>16747.803316805312</v>
      </c>
      <c r="H45" s="80"/>
    </row>
    <row r="46" spans="1:8" ht="15.75" thickBot="1">
      <c r="A46" s="61"/>
      <c r="B46" s="61"/>
      <c r="C46" s="61"/>
      <c r="D46" s="61"/>
      <c r="E46" s="61"/>
      <c r="F46" s="61"/>
      <c r="G46" s="81" t="s">
        <v>491</v>
      </c>
      <c r="H46" s="120">
        <f>SUM(G43:G45)</f>
        <v>83739.016584026554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418695</v>
      </c>
    </row>
  </sheetData>
  <mergeCells count="1">
    <mergeCell ref="A3:C4"/>
  </mergeCell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990</v>
      </c>
      <c r="H7" s="61"/>
    </row>
    <row r="8" spans="1:8">
      <c r="A8" s="60" t="s">
        <v>991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3063.1255736574622</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3063.1255736574622</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989</v>
      </c>
      <c r="B21" s="84"/>
      <c r="C21" s="85"/>
      <c r="D21" s="141" t="s">
        <v>61</v>
      </c>
      <c r="E21" s="139">
        <f>MATERIALES!D316</f>
        <v>78010</v>
      </c>
      <c r="F21" s="163">
        <v>1</v>
      </c>
      <c r="G21" s="137">
        <f>+E21*F21</f>
        <v>78010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78010</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70">
        <v>5.407</v>
      </c>
      <c r="G34" s="105">
        <f>+E34/F34</f>
        <v>16880.791166236071</v>
      </c>
      <c r="H34" s="72"/>
    </row>
    <row r="35" spans="1:8">
      <c r="A35" s="83" t="s">
        <v>624</v>
      </c>
      <c r="B35" s="84"/>
      <c r="C35" s="103">
        <f>+SALARIOS!C50</f>
        <v>41660</v>
      </c>
      <c r="D35" s="104">
        <f>+SALARIOS!C48</f>
        <v>1.7846558312967005</v>
      </c>
      <c r="E35" s="69">
        <f>+C35*D35</f>
        <v>74348.76193182054</v>
      </c>
      <c r="F35" s="70">
        <v>5.407</v>
      </c>
      <c r="G35" s="105">
        <f>+E35/F35</f>
        <v>13750.46457033855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30631.255736574622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111704.38131023209</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16755.657196534812</v>
      </c>
      <c r="H43" s="117"/>
    </row>
    <row r="44" spans="1:8">
      <c r="A44" s="83" t="s">
        <v>513</v>
      </c>
      <c r="B44" s="84"/>
      <c r="C44" s="84"/>
      <c r="D44" s="84"/>
      <c r="E44" s="85"/>
      <c r="F44" s="115">
        <f>+SALARIOS!C46</f>
        <v>0.05</v>
      </c>
      <c r="G44" s="116">
        <f>+F44*H40</f>
        <v>5585.2190655116046</v>
      </c>
      <c r="H44" s="117"/>
    </row>
    <row r="45" spans="1:8" ht="15.75" thickBot="1">
      <c r="A45" s="89" t="s">
        <v>514</v>
      </c>
      <c r="B45" s="90"/>
      <c r="C45" s="90"/>
      <c r="D45" s="90"/>
      <c r="E45" s="91"/>
      <c r="F45" s="118">
        <f>+SALARIOS!C47</f>
        <v>0.05</v>
      </c>
      <c r="G45" s="119">
        <f>+F45*H40</f>
        <v>5585.2190655116046</v>
      </c>
      <c r="H45" s="80"/>
    </row>
    <row r="46" spans="1:8" ht="15.75" thickBot="1">
      <c r="A46" s="61"/>
      <c r="B46" s="61"/>
      <c r="C46" s="61"/>
      <c r="D46" s="61"/>
      <c r="E46" s="61"/>
      <c r="F46" s="61"/>
      <c r="G46" s="81" t="s">
        <v>491</v>
      </c>
      <c r="H46" s="120">
        <f>SUM(G43:G45)</f>
        <v>27926.095327558025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139630</v>
      </c>
    </row>
  </sheetData>
  <mergeCells count="1">
    <mergeCell ref="A3:C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48"/>
  <sheetViews>
    <sheetView topLeftCell="A34" workbookViewId="0">
      <selection activeCell="J48" sqref="J4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575</v>
      </c>
      <c r="B7" s="62"/>
      <c r="C7" s="61"/>
      <c r="D7" s="16"/>
      <c r="E7" s="62"/>
      <c r="F7" s="16"/>
      <c r="G7" s="62" t="s">
        <v>565</v>
      </c>
      <c r="H7" s="61"/>
    </row>
    <row r="8" spans="1:8">
      <c r="A8" s="60" t="s">
        <v>566</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1" t="s">
        <v>486</v>
      </c>
      <c r="E11" s="65" t="s">
        <v>487</v>
      </c>
      <c r="F11" s="151" t="s">
        <v>488</v>
      </c>
      <c r="G11" s="150" t="s">
        <v>489</v>
      </c>
      <c r="H11" s="67"/>
    </row>
    <row r="12" spans="1:8">
      <c r="A12" s="1463" t="s">
        <v>1327</v>
      </c>
      <c r="B12" s="1464"/>
      <c r="C12" s="1465"/>
      <c r="D12" s="68"/>
      <c r="E12" s="86"/>
      <c r="F12" s="161"/>
      <c r="G12" s="71">
        <f>H38*10%</f>
        <v>1499.8247606217471</v>
      </c>
      <c r="H12" s="72"/>
    </row>
    <row r="13" spans="1:8">
      <c r="A13" s="164"/>
      <c r="B13" s="165"/>
      <c r="C13" s="166"/>
      <c r="D13" s="167"/>
      <c r="E13" s="167"/>
      <c r="F13" s="167"/>
      <c r="G13" s="164"/>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1499.8247606217471</v>
      </c>
    </row>
    <row r="19" spans="1:8" ht="15.75" thickBot="1">
      <c r="A19" s="63" t="s">
        <v>492</v>
      </c>
      <c r="B19" s="63"/>
      <c r="C19" s="61"/>
      <c r="D19" s="61"/>
      <c r="E19" s="61"/>
      <c r="F19" s="61"/>
      <c r="G19" s="61"/>
      <c r="H19" s="61"/>
    </row>
    <row r="20" spans="1:8">
      <c r="A20" s="1472" t="s">
        <v>485</v>
      </c>
      <c r="B20" s="1473"/>
      <c r="C20" s="1474"/>
      <c r="D20" s="153" t="s">
        <v>493</v>
      </c>
      <c r="E20" s="153" t="s">
        <v>494</v>
      </c>
      <c r="F20" s="153" t="s">
        <v>495</v>
      </c>
      <c r="G20" s="152"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1" t="s">
        <v>499</v>
      </c>
      <c r="E27" s="151" t="s">
        <v>500</v>
      </c>
      <c r="F27" s="151"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1" t="s">
        <v>504</v>
      </c>
      <c r="D33" s="151" t="s">
        <v>505</v>
      </c>
      <c r="E33" s="124" t="s">
        <v>506</v>
      </c>
      <c r="F33" s="102" t="s">
        <v>488</v>
      </c>
      <c r="G33" s="150" t="s">
        <v>489</v>
      </c>
      <c r="H33" s="67"/>
    </row>
    <row r="34" spans="1:8">
      <c r="A34" s="83" t="s">
        <v>1132</v>
      </c>
      <c r="B34" s="84"/>
      <c r="C34" s="103">
        <f>+SALARIOS!C49</f>
        <v>25572</v>
      </c>
      <c r="D34" s="104">
        <f>+SALARIOS!C48</f>
        <v>1.7846558312967005</v>
      </c>
      <c r="E34" s="69">
        <f>(C34*D34)</f>
        <v>45637.218917919221</v>
      </c>
      <c r="F34" s="161">
        <v>8</v>
      </c>
      <c r="G34" s="105">
        <f>E34/F34</f>
        <v>5704.6523647399026</v>
      </c>
      <c r="H34" s="72"/>
    </row>
    <row r="35" spans="1:8">
      <c r="A35" s="83" t="s">
        <v>624</v>
      </c>
      <c r="B35" s="84"/>
      <c r="C35" s="103">
        <f>SALARIOS!C50</f>
        <v>41660</v>
      </c>
      <c r="D35" s="104">
        <f>+SALARIOS!C48</f>
        <v>1.7846558312967005</v>
      </c>
      <c r="E35" s="69">
        <f>(C35*D35)</f>
        <v>74348.76193182054</v>
      </c>
      <c r="F35" s="161">
        <v>8</v>
      </c>
      <c r="G35" s="105">
        <f>E35/F35</f>
        <v>9293.5952414775675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14998.24760621747</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16498.072366839217</v>
      </c>
    </row>
    <row r="41" spans="1:8" ht="15.75" thickBot="1">
      <c r="A41" s="63" t="s">
        <v>509</v>
      </c>
      <c r="B41" s="63"/>
      <c r="C41" s="61"/>
      <c r="D41" s="61"/>
      <c r="E41" s="61"/>
      <c r="F41" s="61"/>
      <c r="G41" s="61"/>
      <c r="H41" s="61"/>
    </row>
    <row r="42" spans="1:8">
      <c r="A42" s="110" t="s">
        <v>485</v>
      </c>
      <c r="B42" s="111"/>
      <c r="C42" s="111"/>
      <c r="D42" s="111"/>
      <c r="E42" s="112"/>
      <c r="F42" s="153" t="s">
        <v>510</v>
      </c>
      <c r="G42" s="152" t="s">
        <v>511</v>
      </c>
      <c r="H42" s="67"/>
    </row>
    <row r="43" spans="1:8">
      <c r="A43" s="83" t="s">
        <v>512</v>
      </c>
      <c r="B43" s="84"/>
      <c r="C43" s="84"/>
      <c r="D43" s="84"/>
      <c r="E43" s="85"/>
      <c r="F43" s="115">
        <f>(SALARIOS!C45)</f>
        <v>0.15</v>
      </c>
      <c r="G43" s="116">
        <f>++F43*H40</f>
        <v>2474.7108550258822</v>
      </c>
      <c r="H43" s="117"/>
    </row>
    <row r="44" spans="1:8">
      <c r="A44" s="83" t="s">
        <v>513</v>
      </c>
      <c r="B44" s="84"/>
      <c r="C44" s="84"/>
      <c r="D44" s="84"/>
      <c r="E44" s="85"/>
      <c r="F44" s="115">
        <f>(SALARIOS!C46)</f>
        <v>0.05</v>
      </c>
      <c r="G44" s="116">
        <f>+F44*H40</f>
        <v>824.90361834196085</v>
      </c>
      <c r="H44" s="117"/>
    </row>
    <row r="45" spans="1:8" ht="15.75" thickBot="1">
      <c r="A45" s="89" t="s">
        <v>514</v>
      </c>
      <c r="B45" s="90"/>
      <c r="C45" s="90"/>
      <c r="D45" s="90"/>
      <c r="E45" s="91"/>
      <c r="F45" s="118">
        <f>(SALARIOS!C47)</f>
        <v>0.05</v>
      </c>
      <c r="G45" s="119">
        <f>+F45*H40</f>
        <v>824.90361834196085</v>
      </c>
      <c r="H45" s="80"/>
    </row>
    <row r="46" spans="1:8" ht="15.75" thickBot="1">
      <c r="A46" s="61"/>
      <c r="B46" s="61"/>
      <c r="C46" s="61"/>
      <c r="D46" s="61"/>
      <c r="E46" s="61"/>
      <c r="F46" s="61"/>
      <c r="G46" s="81" t="s">
        <v>491</v>
      </c>
      <c r="H46" s="120">
        <f>SUM(G43:G45)</f>
        <v>4124.5180917098041</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20623</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G13" sqref="G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994</v>
      </c>
      <c r="H7" s="61"/>
    </row>
    <row r="8" spans="1:8">
      <c r="A8" s="60" t="s">
        <v>992</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3833.8703649921063</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3833.8703649921063</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993</v>
      </c>
      <c r="B21" s="84"/>
      <c r="C21" s="85"/>
      <c r="D21" s="141" t="s">
        <v>61</v>
      </c>
      <c r="E21" s="139">
        <f>MATERIALES!D317</f>
        <v>118435.99999999999</v>
      </c>
      <c r="F21" s="163">
        <v>1</v>
      </c>
      <c r="G21" s="137">
        <f>+E21*F21</f>
        <v>118435.99999999999</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118435.99999999999</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4.32</v>
      </c>
      <c r="G34" s="105">
        <f>+E34/F34</f>
        <v>21128.342091629267</v>
      </c>
      <c r="H34" s="72"/>
    </row>
    <row r="35" spans="1:8">
      <c r="A35" s="83" t="s">
        <v>624</v>
      </c>
      <c r="B35" s="84"/>
      <c r="C35" s="103">
        <f>+SALARIOS!C50</f>
        <v>41660</v>
      </c>
      <c r="D35" s="104">
        <f>+SALARIOS!C48</f>
        <v>1.7846558312967005</v>
      </c>
      <c r="E35" s="69">
        <f>+C35*D35</f>
        <v>74348.76193182054</v>
      </c>
      <c r="F35" s="69">
        <v>4.32</v>
      </c>
      <c r="G35" s="105">
        <f>+E35/F35</f>
        <v>17210.361558291792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38338.703649921059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160608.57401491315</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24091.286102236973</v>
      </c>
      <c r="H43" s="117"/>
    </row>
    <row r="44" spans="1:8">
      <c r="A44" s="83" t="s">
        <v>513</v>
      </c>
      <c r="B44" s="84"/>
      <c r="C44" s="84"/>
      <c r="D44" s="84"/>
      <c r="E44" s="85"/>
      <c r="F44" s="115">
        <f>+SALARIOS!C46</f>
        <v>0.05</v>
      </c>
      <c r="G44" s="116">
        <f>+F44*H40</f>
        <v>8030.4287007456578</v>
      </c>
      <c r="H44" s="117"/>
    </row>
    <row r="45" spans="1:8" ht="15.75" thickBot="1">
      <c r="A45" s="89" t="s">
        <v>514</v>
      </c>
      <c r="B45" s="90"/>
      <c r="C45" s="90"/>
      <c r="D45" s="90"/>
      <c r="E45" s="91"/>
      <c r="F45" s="118">
        <f>+SALARIOS!C47</f>
        <v>0.05</v>
      </c>
      <c r="G45" s="119">
        <f>+F45*H40</f>
        <v>8030.4287007456578</v>
      </c>
      <c r="H45" s="80"/>
    </row>
    <row r="46" spans="1:8" ht="15.75" thickBot="1">
      <c r="A46" s="61"/>
      <c r="B46" s="61"/>
      <c r="C46" s="61"/>
      <c r="D46" s="61"/>
      <c r="E46" s="61"/>
      <c r="F46" s="61"/>
      <c r="G46" s="81" t="s">
        <v>491</v>
      </c>
      <c r="H46" s="120">
        <f>SUM(G43:G45)</f>
        <v>40152.143503728286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200761</v>
      </c>
    </row>
  </sheetData>
  <mergeCells count="1">
    <mergeCell ref="A3:C4"/>
  </mergeCell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J33" sqref="J3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995</v>
      </c>
      <c r="H7" s="61"/>
    </row>
    <row r="8" spans="1:8">
      <c r="A8" s="60" t="s">
        <v>996</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5569.0383244001005</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5569.0383244001005</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997</v>
      </c>
      <c r="B21" s="84"/>
      <c r="C21" s="85"/>
      <c r="D21" s="141" t="s">
        <v>61</v>
      </c>
      <c r="E21" s="139">
        <f>MATERIALES!D318</f>
        <v>160950</v>
      </c>
      <c r="F21" s="163">
        <v>1</v>
      </c>
      <c r="G21" s="137">
        <f>+E21*F21</f>
        <v>160950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160950</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70">
        <v>2.9740000000000002</v>
      </c>
      <c r="G34" s="105">
        <f>+E34/F34</f>
        <v>30690.799541304114</v>
      </c>
      <c r="H34" s="72"/>
    </row>
    <row r="35" spans="1:8">
      <c r="A35" s="83" t="s">
        <v>624</v>
      </c>
      <c r="B35" s="84"/>
      <c r="C35" s="103">
        <f>+SALARIOS!C50</f>
        <v>41660</v>
      </c>
      <c r="D35" s="104">
        <f>+SALARIOS!C48</f>
        <v>1.7846558312967005</v>
      </c>
      <c r="E35" s="69">
        <f>+C35*D35</f>
        <v>74348.76193182054</v>
      </c>
      <c r="F35" s="70">
        <v>2.9740000000000002</v>
      </c>
      <c r="G35" s="105">
        <f>+E35/F35</f>
        <v>24999.583702696884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55690.383244001001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222209.4215684011</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33331.413235260166</v>
      </c>
      <c r="H43" s="117"/>
    </row>
    <row r="44" spans="1:8">
      <c r="A44" s="83" t="s">
        <v>513</v>
      </c>
      <c r="B44" s="84"/>
      <c r="C44" s="84"/>
      <c r="D44" s="84"/>
      <c r="E44" s="85"/>
      <c r="F44" s="115">
        <f>+SALARIOS!C46</f>
        <v>0.05</v>
      </c>
      <c r="G44" s="116">
        <f>+F44*H40</f>
        <v>11110.471078420056</v>
      </c>
      <c r="H44" s="117"/>
    </row>
    <row r="45" spans="1:8" ht="15.75" thickBot="1">
      <c r="A45" s="89" t="s">
        <v>514</v>
      </c>
      <c r="B45" s="90"/>
      <c r="C45" s="90"/>
      <c r="D45" s="90"/>
      <c r="E45" s="91"/>
      <c r="F45" s="118">
        <f>+SALARIOS!C47</f>
        <v>0.05</v>
      </c>
      <c r="G45" s="119">
        <f>+F45*H40</f>
        <v>11110.471078420056</v>
      </c>
      <c r="H45" s="80"/>
    </row>
    <row r="46" spans="1:8" ht="15.75" thickBot="1">
      <c r="A46" s="61"/>
      <c r="B46" s="61"/>
      <c r="C46" s="61"/>
      <c r="D46" s="61"/>
      <c r="E46" s="61"/>
      <c r="F46" s="61"/>
      <c r="G46" s="81" t="s">
        <v>491</v>
      </c>
      <c r="H46" s="120">
        <f>SUM(G43:G45)</f>
        <v>55552.355392100282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277762</v>
      </c>
    </row>
  </sheetData>
  <mergeCells count="1">
    <mergeCell ref="A3:C4"/>
  </mergeCell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J32" sqref="J3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998</v>
      </c>
      <c r="H7" s="61"/>
    </row>
    <row r="8" spans="1:8">
      <c r="A8" s="60" t="s">
        <v>999</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5569.0383244001005</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5569.0383244001005</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1000</v>
      </c>
      <c r="B21" s="84"/>
      <c r="C21" s="85"/>
      <c r="D21" s="141" t="s">
        <v>61</v>
      </c>
      <c r="E21" s="139">
        <f>MATERIALES!D319</f>
        <v>181424</v>
      </c>
      <c r="F21" s="163">
        <v>1</v>
      </c>
      <c r="G21" s="137">
        <f>+E21*F21</f>
        <v>181424</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181424</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70">
        <v>2.9740000000000002</v>
      </c>
      <c r="G34" s="105">
        <f>+E34/F34</f>
        <v>30690.799541304114</v>
      </c>
      <c r="H34" s="72"/>
    </row>
    <row r="35" spans="1:8">
      <c r="A35" s="83" t="s">
        <v>624</v>
      </c>
      <c r="B35" s="84"/>
      <c r="C35" s="103">
        <f>+SALARIOS!C50</f>
        <v>41660</v>
      </c>
      <c r="D35" s="104">
        <f>+SALARIOS!C48</f>
        <v>1.7846558312967005</v>
      </c>
      <c r="E35" s="69">
        <f>+C35*D35</f>
        <v>74348.76193182054</v>
      </c>
      <c r="F35" s="70">
        <v>2.9740000000000002</v>
      </c>
      <c r="G35" s="105">
        <f>+E35/F35</f>
        <v>24999.583702696884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55690.383244001001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242683.4215684011</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36402.513235260165</v>
      </c>
      <c r="H43" s="117"/>
    </row>
    <row r="44" spans="1:8">
      <c r="A44" s="83" t="s">
        <v>513</v>
      </c>
      <c r="B44" s="84"/>
      <c r="C44" s="84"/>
      <c r="D44" s="84"/>
      <c r="E44" s="85"/>
      <c r="F44" s="115">
        <f>+SALARIOS!C46</f>
        <v>0.05</v>
      </c>
      <c r="G44" s="116">
        <f>+F44*H40</f>
        <v>12134.171078420055</v>
      </c>
      <c r="H44" s="117"/>
    </row>
    <row r="45" spans="1:8" ht="15.75" thickBot="1">
      <c r="A45" s="89" t="s">
        <v>514</v>
      </c>
      <c r="B45" s="90"/>
      <c r="C45" s="90"/>
      <c r="D45" s="90"/>
      <c r="E45" s="91"/>
      <c r="F45" s="118">
        <f>+SALARIOS!C47</f>
        <v>0.05</v>
      </c>
      <c r="G45" s="119">
        <f>+F45*H40</f>
        <v>12134.171078420055</v>
      </c>
      <c r="H45" s="80"/>
    </row>
    <row r="46" spans="1:8" ht="15.75" thickBot="1">
      <c r="A46" s="61"/>
      <c r="B46" s="61"/>
      <c r="C46" s="61"/>
      <c r="D46" s="61"/>
      <c r="E46" s="61"/>
      <c r="F46" s="61"/>
      <c r="G46" s="81" t="s">
        <v>491</v>
      </c>
      <c r="H46" s="120">
        <f>SUM(G43:G45)</f>
        <v>60670.855392100275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303354</v>
      </c>
    </row>
  </sheetData>
  <mergeCells count="1">
    <mergeCell ref="A3:C4"/>
  </mergeCell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F35" sqref="F34: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1001</v>
      </c>
      <c r="H7" s="61"/>
    </row>
    <row r="8" spans="1:8">
      <c r="A8" s="60" t="s">
        <v>1002</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5569.0383244001005</v>
      </c>
      <c r="H12" s="72"/>
    </row>
    <row r="13" spans="1:8">
      <c r="D13" s="167"/>
      <c r="E13" s="167"/>
      <c r="F13" s="167"/>
      <c r="H13" s="72"/>
    </row>
    <row r="14" spans="1:8">
      <c r="A14" s="304"/>
      <c r="B14" s="305"/>
      <c r="C14" s="802"/>
      <c r="D14" s="68"/>
      <c r="E14" s="86"/>
      <c r="F14" s="69"/>
      <c r="G14" s="116"/>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5569.0383244001005</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1003</v>
      </c>
      <c r="B21" s="84"/>
      <c r="C21" s="85"/>
      <c r="D21" s="141" t="s">
        <v>61</v>
      </c>
      <c r="E21" s="139">
        <f>MATERIALES!D320</f>
        <v>225967.99999999997</v>
      </c>
      <c r="F21" s="163">
        <v>1</v>
      </c>
      <c r="G21" s="137">
        <f>+E21*F21</f>
        <v>225967.99999999997</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225967.99999999997</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70">
        <v>2.9740000000000002</v>
      </c>
      <c r="G34" s="105">
        <f>+E34/F34</f>
        <v>30690.799541304114</v>
      </c>
      <c r="H34" s="72"/>
    </row>
    <row r="35" spans="1:8">
      <c r="A35" s="83" t="s">
        <v>624</v>
      </c>
      <c r="B35" s="84"/>
      <c r="C35" s="103">
        <f>+SALARIOS!C50</f>
        <v>41660</v>
      </c>
      <c r="D35" s="104">
        <f>+SALARIOS!C48</f>
        <v>1.7846558312967005</v>
      </c>
      <c r="E35" s="69">
        <f>+C35*D35</f>
        <v>74348.76193182054</v>
      </c>
      <c r="F35" s="70">
        <v>2.9740000000000002</v>
      </c>
      <c r="G35" s="105">
        <f>+E35/F35</f>
        <v>24999.583702696884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55690.383244001001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287227.4215684011</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43084.113235260163</v>
      </c>
      <c r="H43" s="117"/>
    </row>
    <row r="44" spans="1:8">
      <c r="A44" s="83" t="s">
        <v>513</v>
      </c>
      <c r="B44" s="84"/>
      <c r="C44" s="84"/>
      <c r="D44" s="84"/>
      <c r="E44" s="85"/>
      <c r="F44" s="115">
        <f>+SALARIOS!C46</f>
        <v>0.05</v>
      </c>
      <c r="G44" s="116">
        <f>+F44*H40</f>
        <v>14361.371078420056</v>
      </c>
      <c r="H44" s="117"/>
    </row>
    <row r="45" spans="1:8" ht="15.75" thickBot="1">
      <c r="A45" s="89" t="s">
        <v>514</v>
      </c>
      <c r="B45" s="90"/>
      <c r="C45" s="90"/>
      <c r="D45" s="90"/>
      <c r="E45" s="91"/>
      <c r="F45" s="118">
        <f>+SALARIOS!C47</f>
        <v>0.05</v>
      </c>
      <c r="G45" s="119">
        <f>+F45*H40</f>
        <v>14361.371078420056</v>
      </c>
      <c r="H45" s="80"/>
    </row>
    <row r="46" spans="1:8" ht="15.75" thickBot="1">
      <c r="A46" s="61"/>
      <c r="B46" s="61"/>
      <c r="C46" s="61"/>
      <c r="D46" s="61"/>
      <c r="E46" s="61"/>
      <c r="F46" s="61"/>
      <c r="G46" s="81" t="s">
        <v>491</v>
      </c>
      <c r="H46" s="120">
        <f>SUM(G43:G45)</f>
        <v>71806.855392100275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359034</v>
      </c>
    </row>
  </sheetData>
  <mergeCells count="1">
    <mergeCell ref="A3:C4"/>
  </mergeCell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1004</v>
      </c>
      <c r="H7" s="61"/>
    </row>
    <row r="8" spans="1:8">
      <c r="A8" s="60" t="s">
        <v>1005</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3</v>
      </c>
      <c r="B12" s="176"/>
      <c r="C12" s="174"/>
      <c r="D12" s="174"/>
      <c r="E12" s="173"/>
      <c r="F12" s="69"/>
      <c r="G12" s="173">
        <f>H38*10%</f>
        <v>6738.1285503522777</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6738.1285503522777</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1006</v>
      </c>
      <c r="B21" s="84"/>
      <c r="C21" s="85"/>
      <c r="D21" s="141" t="s">
        <v>61</v>
      </c>
      <c r="E21" s="139">
        <f>MATERIALES!D321</f>
        <v>266510</v>
      </c>
      <c r="F21" s="163">
        <v>1</v>
      </c>
      <c r="G21" s="137">
        <f>+E21*F21</f>
        <v>266510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266510</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70">
        <v>2.4580000000000002</v>
      </c>
      <c r="G34" s="105">
        <f>+E34/F34</f>
        <v>37133.619949486754</v>
      </c>
      <c r="H34" s="72"/>
    </row>
    <row r="35" spans="1:8">
      <c r="A35" s="83" t="s">
        <v>624</v>
      </c>
      <c r="B35" s="84"/>
      <c r="C35" s="103">
        <f>+SALARIOS!C50</f>
        <v>41660</v>
      </c>
      <c r="D35" s="104">
        <f>+SALARIOS!C48</f>
        <v>1.7846558312967005</v>
      </c>
      <c r="E35" s="69">
        <f>+C35*D35</f>
        <v>74348.76193182054</v>
      </c>
      <c r="F35" s="70">
        <v>2.4580000000000002</v>
      </c>
      <c r="G35" s="105">
        <f>+E35/F35</f>
        <v>30247.665554036019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67381.285503522769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340629.41405387508</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51094.412108081262</v>
      </c>
      <c r="H43" s="117"/>
    </row>
    <row r="44" spans="1:8">
      <c r="A44" s="83" t="s">
        <v>513</v>
      </c>
      <c r="B44" s="84"/>
      <c r="C44" s="84"/>
      <c r="D44" s="84"/>
      <c r="E44" s="85"/>
      <c r="F44" s="115">
        <f>+SALARIOS!C46</f>
        <v>0.05</v>
      </c>
      <c r="G44" s="116">
        <f>+F44*H40</f>
        <v>17031.470702693754</v>
      </c>
      <c r="H44" s="117"/>
    </row>
    <row r="45" spans="1:8" ht="15.75" thickBot="1">
      <c r="A45" s="89" t="s">
        <v>514</v>
      </c>
      <c r="B45" s="90"/>
      <c r="C45" s="90"/>
      <c r="D45" s="90"/>
      <c r="E45" s="91"/>
      <c r="F45" s="118">
        <f>+SALARIOS!C47</f>
        <v>0.05</v>
      </c>
      <c r="G45" s="119">
        <f>+F45*H40</f>
        <v>17031.470702693754</v>
      </c>
      <c r="H45" s="80"/>
    </row>
    <row r="46" spans="1:8" ht="15.75" thickBot="1">
      <c r="A46" s="61"/>
      <c r="B46" s="61"/>
      <c r="C46" s="61"/>
      <c r="D46" s="61"/>
      <c r="E46" s="61"/>
      <c r="F46" s="61"/>
      <c r="G46" s="81" t="s">
        <v>491</v>
      </c>
      <c r="H46" s="120">
        <f>SUM(G43:G45)</f>
        <v>85157.35351346877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425787</v>
      </c>
    </row>
  </sheetData>
  <mergeCells count="1">
    <mergeCell ref="A3:C4"/>
  </mergeCell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1007</v>
      </c>
      <c r="H7" s="61"/>
    </row>
    <row r="8" spans="1:8">
      <c r="A8" s="60" t="s">
        <v>1008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6738.1285503522777</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6738.1285503522777</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1009</v>
      </c>
      <c r="B21" s="84"/>
      <c r="C21" s="85"/>
      <c r="D21" s="141" t="s">
        <v>61</v>
      </c>
      <c r="E21" s="139">
        <f>MATERIALES!D322</f>
        <v>343534</v>
      </c>
      <c r="F21" s="163">
        <v>1</v>
      </c>
      <c r="G21" s="137">
        <f>+E21*F21</f>
        <v>343534</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343534</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70">
        <v>2.4580000000000002</v>
      </c>
      <c r="G34" s="105">
        <f>+E34/F34</f>
        <v>37133.619949486754</v>
      </c>
      <c r="H34" s="72"/>
    </row>
    <row r="35" spans="1:8">
      <c r="A35" s="83" t="s">
        <v>624</v>
      </c>
      <c r="B35" s="84"/>
      <c r="C35" s="103">
        <f>+SALARIOS!C50</f>
        <v>41660</v>
      </c>
      <c r="D35" s="104">
        <f>+SALARIOS!C48</f>
        <v>1.7846558312967005</v>
      </c>
      <c r="E35" s="69">
        <f>+C35*D35</f>
        <v>74348.76193182054</v>
      </c>
      <c r="F35" s="70">
        <v>2.4580000000000002</v>
      </c>
      <c r="G35" s="105">
        <f>+E35/F35</f>
        <v>30247.665554036019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67381.285503522769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417653.41405387508</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62648.012108081261</v>
      </c>
      <c r="H43" s="117"/>
    </row>
    <row r="44" spans="1:8">
      <c r="A44" s="83" t="s">
        <v>513</v>
      </c>
      <c r="B44" s="84"/>
      <c r="C44" s="84"/>
      <c r="D44" s="84"/>
      <c r="E44" s="85"/>
      <c r="F44" s="115">
        <f>+SALARIOS!C46</f>
        <v>0.05</v>
      </c>
      <c r="G44" s="116">
        <f>+F44*H40</f>
        <v>20882.670702693755</v>
      </c>
      <c r="H44" s="117"/>
    </row>
    <row r="45" spans="1:8" ht="15.75" thickBot="1">
      <c r="A45" s="89" t="s">
        <v>514</v>
      </c>
      <c r="B45" s="90"/>
      <c r="C45" s="90"/>
      <c r="D45" s="90"/>
      <c r="E45" s="91"/>
      <c r="F45" s="118">
        <f>+SALARIOS!C47</f>
        <v>0.05</v>
      </c>
      <c r="G45" s="119">
        <f>+F45*H40</f>
        <v>20882.670702693755</v>
      </c>
      <c r="H45" s="80"/>
    </row>
    <row r="46" spans="1:8" ht="15.75" thickBot="1">
      <c r="A46" s="61"/>
      <c r="B46" s="61"/>
      <c r="C46" s="61"/>
      <c r="D46" s="61"/>
      <c r="E46" s="61"/>
      <c r="F46" s="61"/>
      <c r="G46" s="81" t="s">
        <v>491</v>
      </c>
      <c r="H46" s="120">
        <f>SUM(G43:G45)</f>
        <v>104413.35351346877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522067</v>
      </c>
    </row>
  </sheetData>
  <mergeCells count="1">
    <mergeCell ref="A3:C4"/>
  </mergeCell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1010</v>
      </c>
      <c r="H7" s="61"/>
    </row>
    <row r="8" spans="1:8">
      <c r="A8" s="60" t="s">
        <v>1011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6738.1285503522777</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6738.1285503522777</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1012</v>
      </c>
      <c r="B21" s="84"/>
      <c r="C21" s="85"/>
      <c r="D21" s="141" t="s">
        <v>61</v>
      </c>
      <c r="E21" s="139">
        <f>MATERIALES!D323</f>
        <v>490853.99999999994</v>
      </c>
      <c r="F21" s="163">
        <v>1</v>
      </c>
      <c r="G21" s="137">
        <f>+E21*F21</f>
        <v>490853.99999999994</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490853.99999999994</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70">
        <v>2.4580000000000002</v>
      </c>
      <c r="G34" s="105">
        <f>+E34/F34</f>
        <v>37133.619949486754</v>
      </c>
      <c r="H34" s="72"/>
    </row>
    <row r="35" spans="1:8">
      <c r="A35" s="83" t="s">
        <v>624</v>
      </c>
      <c r="B35" s="84"/>
      <c r="C35" s="103">
        <f>+SALARIOS!C50</f>
        <v>41660</v>
      </c>
      <c r="D35" s="104">
        <f>+SALARIOS!C48</f>
        <v>1.7846558312967005</v>
      </c>
      <c r="E35" s="69">
        <f>+C35*D35</f>
        <v>74348.76193182054</v>
      </c>
      <c r="F35" s="70">
        <v>2.4580000000000002</v>
      </c>
      <c r="G35" s="105">
        <f>+E35/F35</f>
        <v>30247.665554036019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67381.285503522769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564973.41405387502</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84746.012108081253</v>
      </c>
      <c r="H43" s="117"/>
    </row>
    <row r="44" spans="1:8">
      <c r="A44" s="83" t="s">
        <v>513</v>
      </c>
      <c r="B44" s="84"/>
      <c r="C44" s="84"/>
      <c r="D44" s="84"/>
      <c r="E44" s="85"/>
      <c r="F44" s="115">
        <f>+SALARIOS!C46</f>
        <v>0.05</v>
      </c>
      <c r="G44" s="116">
        <f>+F44*H40</f>
        <v>28248.670702693751</v>
      </c>
      <c r="H44" s="117"/>
    </row>
    <row r="45" spans="1:8" ht="15.75" thickBot="1">
      <c r="A45" s="89" t="s">
        <v>514</v>
      </c>
      <c r="B45" s="90"/>
      <c r="C45" s="90"/>
      <c r="D45" s="90"/>
      <c r="E45" s="91"/>
      <c r="F45" s="118">
        <f>+SALARIOS!C47</f>
        <v>0.05</v>
      </c>
      <c r="G45" s="119">
        <f>+F45*H40</f>
        <v>28248.670702693751</v>
      </c>
      <c r="H45" s="80"/>
    </row>
    <row r="46" spans="1:8" ht="15.75" thickBot="1">
      <c r="A46" s="61"/>
      <c r="B46" s="61"/>
      <c r="C46" s="61"/>
      <c r="D46" s="61"/>
      <c r="E46" s="61"/>
      <c r="F46" s="61"/>
      <c r="G46" s="81" t="s">
        <v>491</v>
      </c>
      <c r="H46" s="120">
        <f>SUM(G43:G45)</f>
        <v>141243.35351346876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706217</v>
      </c>
    </row>
  </sheetData>
  <mergeCells count="1">
    <mergeCell ref="A3:C4"/>
  </mergeCell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1013</v>
      </c>
      <c r="H7" s="61"/>
    </row>
    <row r="8" spans="1:8">
      <c r="A8" s="60" t="s">
        <v>1014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920.12888759810562</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920.12888759810562</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1015</v>
      </c>
      <c r="B21" s="84"/>
      <c r="C21" s="85"/>
      <c r="D21" s="141" t="s">
        <v>61</v>
      </c>
      <c r="E21" s="139">
        <f>MATERIALES!D335</f>
        <v>66908.799999999988</v>
      </c>
      <c r="F21" s="163">
        <v>1</v>
      </c>
      <c r="G21" s="137">
        <f>+E21*F21</f>
        <v>66908.799999999988</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66908.799999999988</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18</v>
      </c>
      <c r="G34" s="105">
        <f>+E34/F34</f>
        <v>5070.8021019910248</v>
      </c>
      <c r="H34" s="72"/>
    </row>
    <row r="35" spans="1:8">
      <c r="A35" s="83" t="s">
        <v>624</v>
      </c>
      <c r="B35" s="84"/>
      <c r="C35" s="103">
        <f>+SALARIOS!C50</f>
        <v>41660</v>
      </c>
      <c r="D35" s="104">
        <f>+SALARIOS!C48</f>
        <v>1.7846558312967005</v>
      </c>
      <c r="E35" s="69">
        <f>+C35*D35</f>
        <v>74348.76193182054</v>
      </c>
      <c r="F35" s="69">
        <v>18</v>
      </c>
      <c r="G35" s="105">
        <f>+E35/F35</f>
        <v>4130.4867739900301</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9201.2888759810558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77030.21776357916</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11554.532664536873</v>
      </c>
      <c r="H43" s="117"/>
    </row>
    <row r="44" spans="1:8">
      <c r="A44" s="83" t="s">
        <v>513</v>
      </c>
      <c r="B44" s="84"/>
      <c r="C44" s="84"/>
      <c r="D44" s="84"/>
      <c r="E44" s="85"/>
      <c r="F44" s="115">
        <f>+SALARIOS!C46</f>
        <v>0.05</v>
      </c>
      <c r="G44" s="116">
        <f>+F44*H40</f>
        <v>3851.5108881789583</v>
      </c>
      <c r="H44" s="117"/>
    </row>
    <row r="45" spans="1:8" ht="15.75" thickBot="1">
      <c r="A45" s="89" t="s">
        <v>514</v>
      </c>
      <c r="B45" s="90"/>
      <c r="C45" s="90"/>
      <c r="D45" s="90"/>
      <c r="E45" s="91"/>
      <c r="F45" s="118">
        <f>+SALARIOS!C47</f>
        <v>0.05</v>
      </c>
      <c r="G45" s="119">
        <f>+F45*H40</f>
        <v>3851.5108881789583</v>
      </c>
      <c r="H45" s="80"/>
    </row>
    <row r="46" spans="1:8" ht="15.75" thickBot="1">
      <c r="A46" s="61"/>
      <c r="B46" s="61"/>
      <c r="C46" s="61"/>
      <c r="D46" s="61"/>
      <c r="E46" s="61"/>
      <c r="F46" s="61"/>
      <c r="G46" s="81" t="s">
        <v>491</v>
      </c>
      <c r="H46" s="120">
        <f>SUM(G43:G45)</f>
        <v>19257.55444089479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96288</v>
      </c>
    </row>
  </sheetData>
  <mergeCells count="1">
    <mergeCell ref="A3:C4"/>
  </mergeCell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1019</v>
      </c>
      <c r="H7" s="61"/>
    </row>
    <row r="8" spans="1:8">
      <c r="A8" s="60" t="s">
        <v>1020</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1104.1546651177266</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1104.1546651177266</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1016</v>
      </c>
      <c r="B21" s="84"/>
      <c r="C21" s="85"/>
      <c r="D21" s="141" t="s">
        <v>61</v>
      </c>
      <c r="E21" s="139">
        <f>MATERIALES!D336</f>
        <v>88760.87999999999</v>
      </c>
      <c r="F21" s="163">
        <v>1</v>
      </c>
      <c r="G21" s="137">
        <f>+E21*F21</f>
        <v>88760.87999999999</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88760.87999999999</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15</v>
      </c>
      <c r="G34" s="105">
        <f>+E34/F34</f>
        <v>6084.9625223892299</v>
      </c>
      <c r="H34" s="72"/>
    </row>
    <row r="35" spans="1:8">
      <c r="A35" s="83" t="s">
        <v>624</v>
      </c>
      <c r="B35" s="84"/>
      <c r="C35" s="103">
        <f>+SALARIOS!C50</f>
        <v>41660</v>
      </c>
      <c r="D35" s="104">
        <f>+SALARIOS!C48</f>
        <v>1.7846558312967005</v>
      </c>
      <c r="E35" s="69">
        <f>+C35*D35</f>
        <v>74348.76193182054</v>
      </c>
      <c r="F35" s="69">
        <v>15</v>
      </c>
      <c r="G35" s="105">
        <f>+E35/F35</f>
        <v>4956.5841287880357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11041.546651177265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100906.58131629498</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15135.987197444247</v>
      </c>
      <c r="H43" s="117"/>
    </row>
    <row r="44" spans="1:8">
      <c r="A44" s="83" t="s">
        <v>513</v>
      </c>
      <c r="B44" s="84"/>
      <c r="C44" s="84"/>
      <c r="D44" s="84"/>
      <c r="E44" s="85"/>
      <c r="F44" s="115">
        <f>+SALARIOS!C46</f>
        <v>0.05</v>
      </c>
      <c r="G44" s="116">
        <f>+F44*H40</f>
        <v>5045.3290658147489</v>
      </c>
      <c r="H44" s="117"/>
    </row>
    <row r="45" spans="1:8" ht="15.75" thickBot="1">
      <c r="A45" s="89" t="s">
        <v>514</v>
      </c>
      <c r="B45" s="90"/>
      <c r="C45" s="90"/>
      <c r="D45" s="90"/>
      <c r="E45" s="91"/>
      <c r="F45" s="118">
        <f>+SALARIOS!C47</f>
        <v>0.05</v>
      </c>
      <c r="G45" s="119">
        <f>+F45*H40</f>
        <v>5045.3290658147489</v>
      </c>
      <c r="H45" s="80"/>
    </row>
    <row r="46" spans="1:8" ht="15.75" thickBot="1">
      <c r="A46" s="61"/>
      <c r="B46" s="61"/>
      <c r="C46" s="61"/>
      <c r="D46" s="61"/>
      <c r="E46" s="61"/>
      <c r="F46" s="61"/>
      <c r="G46" s="81" t="s">
        <v>491</v>
      </c>
      <c r="H46" s="120">
        <f>SUM(G43:G45)</f>
        <v>25226.645329073745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126133</v>
      </c>
    </row>
  </sheetData>
  <mergeCells count="1">
    <mergeCell ref="A3:C4"/>
  </mergeCell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1021</v>
      </c>
      <c r="H7" s="61"/>
    </row>
    <row r="8" spans="1:8">
      <c r="A8" s="60" t="s">
        <v>1022</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1254.7212103610532</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1254.7212103610532</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1017</v>
      </c>
      <c r="B21" s="84"/>
      <c r="C21" s="85"/>
      <c r="D21" s="141" t="s">
        <v>61</v>
      </c>
      <c r="E21" s="139">
        <f>MATERIALES!D337</f>
        <v>129504.71999999999</v>
      </c>
      <c r="F21" s="163">
        <v>1</v>
      </c>
      <c r="G21" s="137">
        <f>+E21*F21</f>
        <v>129504.71999999999</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129504.71999999999</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13.2</v>
      </c>
      <c r="G34" s="105">
        <f>+E34/F34</f>
        <v>6914.7301390786706</v>
      </c>
      <c r="H34" s="72"/>
    </row>
    <row r="35" spans="1:8">
      <c r="A35" s="83" t="s">
        <v>624</v>
      </c>
      <c r="B35" s="84"/>
      <c r="C35" s="103">
        <f>+SALARIOS!C50</f>
        <v>41660</v>
      </c>
      <c r="D35" s="104">
        <f>+SALARIOS!C48</f>
        <v>1.7846558312967005</v>
      </c>
      <c r="E35" s="69">
        <f>+C35*D35</f>
        <v>74348.76193182054</v>
      </c>
      <c r="F35" s="69">
        <v>13.2</v>
      </c>
      <c r="G35" s="105">
        <f>+E35/F35</f>
        <v>5632.4819645318594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12547.212103610531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143306.65331397156</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21495.997997095732</v>
      </c>
      <c r="H43" s="117"/>
    </row>
    <row r="44" spans="1:8">
      <c r="A44" s="83" t="s">
        <v>513</v>
      </c>
      <c r="B44" s="84"/>
      <c r="C44" s="84"/>
      <c r="D44" s="84"/>
      <c r="E44" s="85"/>
      <c r="F44" s="115">
        <f>+SALARIOS!C46</f>
        <v>0.05</v>
      </c>
      <c r="G44" s="116">
        <f>+F44*H40</f>
        <v>7165.3326656985782</v>
      </c>
      <c r="H44" s="117"/>
    </row>
    <row r="45" spans="1:8" ht="15.75" thickBot="1">
      <c r="A45" s="89" t="s">
        <v>514</v>
      </c>
      <c r="B45" s="90"/>
      <c r="C45" s="90"/>
      <c r="D45" s="90"/>
      <c r="E45" s="91"/>
      <c r="F45" s="118">
        <f>+SALARIOS!C47</f>
        <v>0.05</v>
      </c>
      <c r="G45" s="119">
        <f>+F45*H40</f>
        <v>7165.3326656985782</v>
      </c>
      <c r="H45" s="80"/>
    </row>
    <row r="46" spans="1:8" ht="15.75" thickBot="1">
      <c r="A46" s="61"/>
      <c r="B46" s="61"/>
      <c r="C46" s="61"/>
      <c r="D46" s="61"/>
      <c r="E46" s="61"/>
      <c r="F46" s="61"/>
      <c r="G46" s="81" t="s">
        <v>491</v>
      </c>
      <c r="H46" s="120">
        <f>SUM(G43:G45)</f>
        <v>35826.66332849289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179133</v>
      </c>
    </row>
  </sheetData>
  <mergeCells count="1">
    <mergeCell ref="A3:C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48"/>
  <sheetViews>
    <sheetView workbookViewId="0">
      <selection activeCell="D14" sqref="D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575</v>
      </c>
      <c r="B7" s="62"/>
      <c r="C7" s="61"/>
      <c r="D7" s="16"/>
      <c r="E7" s="62"/>
      <c r="F7" s="16"/>
      <c r="G7" s="62" t="s">
        <v>567</v>
      </c>
      <c r="H7" s="61"/>
    </row>
    <row r="8" spans="1:8">
      <c r="A8" s="60" t="s">
        <v>568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1" t="s">
        <v>486</v>
      </c>
      <c r="E11" s="65" t="s">
        <v>487</v>
      </c>
      <c r="F11" s="151" t="s">
        <v>488</v>
      </c>
      <c r="G11" s="150" t="s">
        <v>489</v>
      </c>
      <c r="H11" s="67"/>
    </row>
    <row r="12" spans="1:8">
      <c r="A12" s="1463" t="s">
        <v>1327</v>
      </c>
      <c r="B12" s="1464"/>
      <c r="C12" s="1465"/>
      <c r="D12" s="68"/>
      <c r="E12" s="86"/>
      <c r="F12" s="161"/>
      <c r="G12" s="71">
        <f>H38*10%</f>
        <v>5704.6523647399026</v>
      </c>
      <c r="H12" s="72"/>
    </row>
    <row r="13" spans="1:8">
      <c r="A13" s="168" t="s">
        <v>63</v>
      </c>
      <c r="B13" s="165"/>
      <c r="C13" s="166"/>
      <c r="D13" s="748" t="s">
        <v>17</v>
      </c>
      <c r="E13" s="86">
        <f>+'EQUIPOS '!D9</f>
        <v>84100</v>
      </c>
      <c r="F13" s="161">
        <v>7</v>
      </c>
      <c r="G13" s="161">
        <f>+E13/F13</f>
        <v>12014.285714285714</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17718.938079025618</v>
      </c>
    </row>
    <row r="19" spans="1:8" ht="15.75" thickBot="1">
      <c r="A19" s="63" t="s">
        <v>492</v>
      </c>
      <c r="B19" s="63"/>
      <c r="C19" s="61"/>
      <c r="D19" s="61"/>
      <c r="E19" s="61"/>
      <c r="F19" s="61"/>
      <c r="G19" s="61"/>
      <c r="H19" s="61"/>
    </row>
    <row r="20" spans="1:8">
      <c r="A20" s="1472" t="s">
        <v>485</v>
      </c>
      <c r="B20" s="1473"/>
      <c r="C20" s="1474"/>
      <c r="D20" s="153" t="s">
        <v>493</v>
      </c>
      <c r="E20" s="153" t="s">
        <v>494</v>
      </c>
      <c r="F20" s="153" t="s">
        <v>495</v>
      </c>
      <c r="G20" s="152"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1" t="s">
        <v>499</v>
      </c>
      <c r="E27" s="151" t="s">
        <v>500</v>
      </c>
      <c r="F27" s="151"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1" t="s">
        <v>504</v>
      </c>
      <c r="D33" s="151" t="s">
        <v>505</v>
      </c>
      <c r="E33" s="124" t="s">
        <v>506</v>
      </c>
      <c r="F33" s="102" t="s">
        <v>488</v>
      </c>
      <c r="G33" s="150" t="s">
        <v>489</v>
      </c>
      <c r="H33" s="67"/>
    </row>
    <row r="34" spans="1:8">
      <c r="A34" s="83" t="s">
        <v>554</v>
      </c>
      <c r="B34" s="84"/>
      <c r="C34" s="103">
        <f>+SALARIOS!C49*2</f>
        <v>51144</v>
      </c>
      <c r="D34" s="104">
        <f>+SALARIOS!C48</f>
        <v>1.7846558312967005</v>
      </c>
      <c r="E34" s="69">
        <f>(C34*D34)</f>
        <v>91274.437835838442</v>
      </c>
      <c r="F34" s="69">
        <v>1.6</v>
      </c>
      <c r="G34" s="105">
        <f>E34/F34</f>
        <v>57046.523647399023</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57046.523647399023</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74765.461726424634</v>
      </c>
    </row>
    <row r="41" spans="1:8" ht="15.75" thickBot="1">
      <c r="A41" s="63" t="s">
        <v>509</v>
      </c>
      <c r="B41" s="63"/>
      <c r="C41" s="61"/>
      <c r="D41" s="61"/>
      <c r="E41" s="61"/>
      <c r="F41" s="61"/>
      <c r="G41" s="61"/>
      <c r="H41" s="61"/>
    </row>
    <row r="42" spans="1:8">
      <c r="A42" s="110" t="s">
        <v>485</v>
      </c>
      <c r="B42" s="111"/>
      <c r="C42" s="111"/>
      <c r="D42" s="111"/>
      <c r="E42" s="112"/>
      <c r="F42" s="153" t="s">
        <v>510</v>
      </c>
      <c r="G42" s="152" t="s">
        <v>511</v>
      </c>
      <c r="H42" s="67"/>
    </row>
    <row r="43" spans="1:8">
      <c r="A43" s="83" t="s">
        <v>512</v>
      </c>
      <c r="B43" s="84"/>
      <c r="C43" s="84"/>
      <c r="D43" s="84"/>
      <c r="E43" s="85"/>
      <c r="F43" s="115">
        <f>(SALARIOS!C45)</f>
        <v>0.15</v>
      </c>
      <c r="G43" s="116">
        <f>++F43*H40</f>
        <v>11214.819258963695</v>
      </c>
      <c r="H43" s="117"/>
    </row>
    <row r="44" spans="1:8">
      <c r="A44" s="83" t="s">
        <v>513</v>
      </c>
      <c r="B44" s="84"/>
      <c r="C44" s="84"/>
      <c r="D44" s="84"/>
      <c r="E44" s="85"/>
      <c r="F44" s="115">
        <f>(SALARIOS!C46)</f>
        <v>0.05</v>
      </c>
      <c r="G44" s="116">
        <f>+F44*H40</f>
        <v>3738.2730863212319</v>
      </c>
      <c r="H44" s="117"/>
    </row>
    <row r="45" spans="1:8" ht="15.75" thickBot="1">
      <c r="A45" s="89" t="s">
        <v>514</v>
      </c>
      <c r="B45" s="90"/>
      <c r="C45" s="90"/>
      <c r="D45" s="90"/>
      <c r="E45" s="91"/>
      <c r="F45" s="118">
        <f>(SALARIOS!C47)</f>
        <v>0.05</v>
      </c>
      <c r="G45" s="119">
        <f>+F45*H40</f>
        <v>3738.2730863212319</v>
      </c>
      <c r="H45" s="80"/>
    </row>
    <row r="46" spans="1:8" ht="15.75" thickBot="1">
      <c r="A46" s="61"/>
      <c r="B46" s="61"/>
      <c r="C46" s="61"/>
      <c r="D46" s="61"/>
      <c r="E46" s="61"/>
      <c r="F46" s="61"/>
      <c r="G46" s="81" t="s">
        <v>491</v>
      </c>
      <c r="H46" s="120">
        <f>SUM(G43:G45)</f>
        <v>18691.365431606158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93457</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1023</v>
      </c>
      <c r="H7" s="61"/>
    </row>
    <row r="8" spans="1:8">
      <c r="A8" s="60" t="s">
        <v>1024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1505.6654524332635</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1505.6654524332635</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1018</v>
      </c>
      <c r="B21" s="84"/>
      <c r="C21" s="85"/>
      <c r="D21" s="141" t="s">
        <v>61</v>
      </c>
      <c r="E21" s="139">
        <f>MATERIALES!D338</f>
        <v>155696.35999999999</v>
      </c>
      <c r="F21" s="163">
        <v>1</v>
      </c>
      <c r="G21" s="137">
        <f>+E21*F21</f>
        <v>155696.35999999999</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155696.35999999999</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11</v>
      </c>
      <c r="G34" s="105">
        <f>+E34/F34</f>
        <v>8297.6761668944037</v>
      </c>
      <c r="H34" s="72"/>
    </row>
    <row r="35" spans="1:8">
      <c r="A35" s="83" t="s">
        <v>624</v>
      </c>
      <c r="B35" s="84"/>
      <c r="C35" s="103">
        <f>+SALARIOS!C50</f>
        <v>41660</v>
      </c>
      <c r="D35" s="104">
        <f>+SALARIOS!C48</f>
        <v>1.7846558312967005</v>
      </c>
      <c r="E35" s="69">
        <f>+C35*D35</f>
        <v>74348.76193182054</v>
      </c>
      <c r="F35" s="69">
        <v>11</v>
      </c>
      <c r="G35" s="105">
        <f>+E35/F35</f>
        <v>6758.9783574382309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15056.654524332635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172258.67997676588</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25838.801996514881</v>
      </c>
      <c r="H43" s="117"/>
    </row>
    <row r="44" spans="1:8">
      <c r="A44" s="83" t="s">
        <v>513</v>
      </c>
      <c r="B44" s="84"/>
      <c r="C44" s="84"/>
      <c r="D44" s="84"/>
      <c r="E44" s="85"/>
      <c r="F44" s="115">
        <f>+SALARIOS!C46</f>
        <v>0.05</v>
      </c>
      <c r="G44" s="116">
        <f>+F44*H40</f>
        <v>8612.9339988382944</v>
      </c>
      <c r="H44" s="117"/>
    </row>
    <row r="45" spans="1:8" ht="15.75" thickBot="1">
      <c r="A45" s="89" t="s">
        <v>514</v>
      </c>
      <c r="B45" s="90"/>
      <c r="C45" s="90"/>
      <c r="D45" s="90"/>
      <c r="E45" s="91"/>
      <c r="F45" s="118">
        <f>+SALARIOS!C47</f>
        <v>0.05</v>
      </c>
      <c r="G45" s="119">
        <f>+F45*H40</f>
        <v>8612.9339988382944</v>
      </c>
      <c r="H45" s="80"/>
    </row>
    <row r="46" spans="1:8" ht="15.75" thickBot="1">
      <c r="A46" s="61"/>
      <c r="B46" s="61"/>
      <c r="C46" s="61"/>
      <c r="D46" s="61"/>
      <c r="E46" s="61"/>
      <c r="F46" s="61"/>
      <c r="G46" s="81" t="s">
        <v>491</v>
      </c>
      <c r="H46" s="120">
        <f>SUM(G43:G45)</f>
        <v>43064.66999419147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215323</v>
      </c>
    </row>
  </sheetData>
  <mergeCells count="1">
    <mergeCell ref="A3:C4"/>
  </mergeCell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H48"/>
  <sheetViews>
    <sheetView workbookViewId="0">
      <selection activeCell="F36" sqref="F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1025</v>
      </c>
      <c r="H7" s="61"/>
    </row>
    <row r="8" spans="1:8" ht="28.5" customHeight="1">
      <c r="A8" s="1479" t="s">
        <v>1799</v>
      </c>
      <c r="B8" s="1479"/>
      <c r="C8" s="1479"/>
      <c r="D8" s="1479"/>
      <c r="E8" s="1479"/>
      <c r="F8" s="62"/>
      <c r="G8" s="62" t="s">
        <v>1800</v>
      </c>
      <c r="H8" s="61"/>
    </row>
    <row r="9" spans="1:8">
      <c r="A9" s="62"/>
      <c r="B9" s="62"/>
      <c r="C9" s="61"/>
      <c r="D9" s="62"/>
      <c r="E9" s="62"/>
      <c r="F9" s="62"/>
      <c r="G9" s="62"/>
      <c r="H9" s="61"/>
    </row>
    <row r="10" spans="1:8" ht="15.75" thickBot="1">
      <c r="A10" s="63" t="s">
        <v>484</v>
      </c>
      <c r="B10" s="63"/>
      <c r="C10" s="61"/>
      <c r="D10" s="61"/>
      <c r="E10" s="61"/>
      <c r="F10" s="61"/>
      <c r="G10" s="61"/>
      <c r="H10" s="61"/>
    </row>
    <row r="11" spans="1:8">
      <c r="A11" s="729" t="s">
        <v>485</v>
      </c>
      <c r="B11" s="730"/>
      <c r="C11" s="731"/>
      <c r="D11" s="731" t="s">
        <v>486</v>
      </c>
      <c r="E11" s="65" t="s">
        <v>487</v>
      </c>
      <c r="F11" s="731" t="s">
        <v>488</v>
      </c>
      <c r="G11" s="94" t="s">
        <v>489</v>
      </c>
      <c r="H11" s="684"/>
    </row>
    <row r="12" spans="1:8">
      <c r="A12" s="742" t="s">
        <v>1327</v>
      </c>
      <c r="B12" s="176"/>
      <c r="C12" s="174"/>
      <c r="D12" s="174"/>
      <c r="E12" s="173"/>
      <c r="F12" s="69"/>
      <c r="G12" s="743">
        <f>H38*10%</f>
        <v>118142.78830717654</v>
      </c>
      <c r="H12" s="59"/>
    </row>
    <row r="13" spans="1:8">
      <c r="A13" s="744"/>
      <c r="B13" s="165"/>
      <c r="C13" s="166"/>
      <c r="D13" s="167"/>
      <c r="E13" s="167"/>
      <c r="F13" s="167"/>
      <c r="G13" s="745"/>
      <c r="H13" s="59"/>
    </row>
    <row r="14" spans="1:8">
      <c r="A14" s="732"/>
      <c r="B14" s="733"/>
      <c r="C14" s="734"/>
      <c r="D14" s="73"/>
      <c r="E14" s="74"/>
      <c r="F14" s="69"/>
      <c r="G14" s="105"/>
      <c r="H14" s="59"/>
    </row>
    <row r="15" spans="1:8">
      <c r="A15" s="732"/>
      <c r="B15" s="733"/>
      <c r="C15" s="734"/>
      <c r="D15" s="73"/>
      <c r="E15" s="74"/>
      <c r="F15" s="69"/>
      <c r="G15" s="105"/>
      <c r="H15" s="59"/>
    </row>
    <row r="16" spans="1:8">
      <c r="A16" s="732"/>
      <c r="B16" s="733"/>
      <c r="C16" s="734"/>
      <c r="D16" s="73"/>
      <c r="E16" s="74"/>
      <c r="F16" s="69"/>
      <c r="G16" s="105"/>
      <c r="H16" s="59"/>
    </row>
    <row r="17" spans="1:8" ht="15.75" thickBot="1">
      <c r="A17" s="735"/>
      <c r="B17" s="736"/>
      <c r="C17" s="737"/>
      <c r="D17" s="76"/>
      <c r="E17" s="77"/>
      <c r="F17" s="78"/>
      <c r="G17" s="453"/>
      <c r="H17" s="451"/>
    </row>
    <row r="18" spans="1:8" ht="15.75" thickBot="1">
      <c r="A18" s="61"/>
      <c r="B18" s="61"/>
      <c r="C18" s="61"/>
      <c r="D18" s="61"/>
      <c r="E18" s="61"/>
      <c r="F18" s="61"/>
      <c r="G18" s="81" t="s">
        <v>491</v>
      </c>
      <c r="H18" s="82">
        <f>SUM(G12:G17)</f>
        <v>118142.78830717654</v>
      </c>
    </row>
    <row r="19" spans="1:8" ht="15.75" thickBot="1">
      <c r="A19" s="63" t="s">
        <v>492</v>
      </c>
      <c r="B19" s="63"/>
      <c r="C19" s="61"/>
      <c r="D19" s="61"/>
      <c r="E19" s="61"/>
      <c r="F19" s="61"/>
      <c r="G19" s="61"/>
      <c r="H19" s="61"/>
    </row>
    <row r="20" spans="1:8">
      <c r="A20" s="738" t="s">
        <v>485</v>
      </c>
      <c r="B20" s="739"/>
      <c r="C20" s="740"/>
      <c r="D20" s="740" t="s">
        <v>493</v>
      </c>
      <c r="E20" s="740" t="s">
        <v>494</v>
      </c>
      <c r="F20" s="740" t="s">
        <v>495</v>
      </c>
      <c r="G20" s="452" t="s">
        <v>489</v>
      </c>
      <c r="H20" s="684"/>
    </row>
    <row r="21" spans="1:8">
      <c r="A21" s="83"/>
      <c r="B21" s="84"/>
      <c r="C21" s="85"/>
      <c r="D21" s="141"/>
      <c r="E21" s="139"/>
      <c r="F21" s="163"/>
      <c r="G21" s="685"/>
      <c r="H21" s="59"/>
    </row>
    <row r="22" spans="1:8">
      <c r="A22" s="83"/>
      <c r="B22" s="84"/>
      <c r="C22" s="85"/>
      <c r="D22" s="68"/>
      <c r="E22" s="142"/>
      <c r="F22" s="69"/>
      <c r="G22" s="105"/>
      <c r="H22" s="59"/>
    </row>
    <row r="23" spans="1:8">
      <c r="A23" s="128"/>
      <c r="B23" s="129"/>
      <c r="C23" s="130"/>
      <c r="D23" s="131"/>
      <c r="E23" s="132"/>
      <c r="F23" s="315"/>
      <c r="G23" s="686"/>
      <c r="H23" s="59"/>
    </row>
    <row r="24" spans="1:8" ht="15.75" thickBot="1">
      <c r="A24" s="89"/>
      <c r="B24" s="90"/>
      <c r="C24" s="91"/>
      <c r="D24" s="76"/>
      <c r="E24" s="77"/>
      <c r="F24" s="78"/>
      <c r="G24" s="453"/>
      <c r="H24" s="451"/>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1801</v>
      </c>
      <c r="B34" s="84"/>
      <c r="C34" s="103">
        <f>+SALARIOS!C49*7</f>
        <v>179004</v>
      </c>
      <c r="D34" s="104">
        <f>+SALARIOS!C48</f>
        <v>1.7846558312967005</v>
      </c>
      <c r="E34" s="69">
        <f>+C34*D34</f>
        <v>319460.53242543456</v>
      </c>
      <c r="F34" s="69">
        <v>3</v>
      </c>
      <c r="G34" s="105">
        <f>+E34*F34</f>
        <v>958381.59727630368</v>
      </c>
      <c r="H34" s="72"/>
    </row>
    <row r="35" spans="1:8">
      <c r="A35" s="83" t="s">
        <v>624</v>
      </c>
      <c r="B35" s="84"/>
      <c r="C35" s="103">
        <f>+SALARIOS!C50</f>
        <v>41660</v>
      </c>
      <c r="D35" s="104">
        <f>+SALARIOS!C48</f>
        <v>1.7846558312967005</v>
      </c>
      <c r="E35" s="69">
        <f>+C35*D35</f>
        <v>74348.76193182054</v>
      </c>
      <c r="F35" s="69">
        <v>3</v>
      </c>
      <c r="G35" s="105">
        <f>+E35*F35</f>
        <v>223046.28579546162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1181427.8830717653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1299570.6713789417</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194935.60070684124</v>
      </c>
      <c r="H43" s="117"/>
    </row>
    <row r="44" spans="1:8">
      <c r="A44" s="83" t="s">
        <v>513</v>
      </c>
      <c r="B44" s="84"/>
      <c r="C44" s="84"/>
      <c r="D44" s="84"/>
      <c r="E44" s="85"/>
      <c r="F44" s="115">
        <f>+SALARIOS!C46</f>
        <v>0.05</v>
      </c>
      <c r="G44" s="116">
        <f>+F44*H40</f>
        <v>64978.533568947088</v>
      </c>
      <c r="H44" s="117"/>
    </row>
    <row r="45" spans="1:8" ht="15.75" thickBot="1">
      <c r="A45" s="89" t="s">
        <v>514</v>
      </c>
      <c r="B45" s="90"/>
      <c r="C45" s="90"/>
      <c r="D45" s="90"/>
      <c r="E45" s="91"/>
      <c r="F45" s="118">
        <f>+SALARIOS!C47</f>
        <v>0.05</v>
      </c>
      <c r="G45" s="119">
        <f>+F45*H40</f>
        <v>64978.533568947088</v>
      </c>
      <c r="H45" s="80"/>
    </row>
    <row r="46" spans="1:8" ht="15.75" thickBot="1">
      <c r="A46" s="61"/>
      <c r="B46" s="61"/>
      <c r="C46" s="61"/>
      <c r="D46" s="61"/>
      <c r="E46" s="61"/>
      <c r="F46" s="61"/>
      <c r="G46" s="81" t="s">
        <v>491</v>
      </c>
      <c r="H46" s="120">
        <f>SUM(G43:G45)</f>
        <v>324892.66784473544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1624463</v>
      </c>
    </row>
  </sheetData>
  <mergeCells count="2">
    <mergeCell ref="A3:C4"/>
    <mergeCell ref="A8:E8"/>
  </mergeCell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H48"/>
  <sheetViews>
    <sheetView workbookViewId="0">
      <selection activeCell="A8" sqref="A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57</v>
      </c>
      <c r="B7" s="62"/>
      <c r="C7" s="61"/>
      <c r="D7" s="16"/>
      <c r="E7" s="62"/>
      <c r="F7" s="16"/>
      <c r="G7" s="62" t="s">
        <v>1026</v>
      </c>
      <c r="H7" s="61"/>
    </row>
    <row r="8" spans="1:8">
      <c r="A8" s="60" t="s">
        <v>1027</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828.11599883829479</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828.11599883829479</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20</v>
      </c>
      <c r="G34" s="105">
        <f>+E34/F34</f>
        <v>4563.7218917919217</v>
      </c>
      <c r="H34" s="72"/>
    </row>
    <row r="35" spans="1:8">
      <c r="A35" s="83" t="s">
        <v>624</v>
      </c>
      <c r="B35" s="84"/>
      <c r="C35" s="103">
        <f>+SALARIOS!C50</f>
        <v>41660</v>
      </c>
      <c r="D35" s="104">
        <f>+SALARIOS!C48</f>
        <v>1.7846558312967005</v>
      </c>
      <c r="E35" s="69">
        <f>+C35*D35</f>
        <v>74348.76193182054</v>
      </c>
      <c r="F35" s="69">
        <v>20</v>
      </c>
      <c r="G35" s="105">
        <f>+E35/F35</f>
        <v>3717.4380965910268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8281.1599883829476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9109.2759872212428</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1366.3913980831865</v>
      </c>
      <c r="H43" s="117"/>
    </row>
    <row r="44" spans="1:8">
      <c r="A44" s="83" t="s">
        <v>513</v>
      </c>
      <c r="B44" s="84"/>
      <c r="C44" s="84"/>
      <c r="D44" s="84"/>
      <c r="E44" s="85"/>
      <c r="F44" s="115">
        <f>+SALARIOS!C46</f>
        <v>0.05</v>
      </c>
      <c r="G44" s="116">
        <f>+F44*H40</f>
        <v>455.46379936106217</v>
      </c>
      <c r="H44" s="117"/>
    </row>
    <row r="45" spans="1:8" ht="15.75" thickBot="1">
      <c r="A45" s="89" t="s">
        <v>514</v>
      </c>
      <c r="B45" s="90"/>
      <c r="C45" s="90"/>
      <c r="D45" s="90"/>
      <c r="E45" s="91"/>
      <c r="F45" s="118">
        <f>+SALARIOS!C47</f>
        <v>0.05</v>
      </c>
      <c r="G45" s="119">
        <f>+F45*H40</f>
        <v>455.46379936106217</v>
      </c>
      <c r="H45" s="80"/>
    </row>
    <row r="46" spans="1:8" ht="15.75" thickBot="1">
      <c r="A46" s="61"/>
      <c r="B46" s="61"/>
      <c r="C46" s="61"/>
      <c r="D46" s="61"/>
      <c r="E46" s="61"/>
      <c r="F46" s="61"/>
      <c r="G46" s="81" t="s">
        <v>491</v>
      </c>
      <c r="H46" s="120">
        <f>SUM(G43:G45)</f>
        <v>2277.3189968053107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11387</v>
      </c>
    </row>
  </sheetData>
  <mergeCells count="1">
    <mergeCell ref="A3:C4"/>
  </mergeCell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H48"/>
  <sheetViews>
    <sheetView topLeftCell="A4" workbookViewId="0">
      <selection activeCell="A8" sqref="A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57</v>
      </c>
      <c r="B7" s="62"/>
      <c r="C7" s="61"/>
      <c r="D7" s="16"/>
      <c r="E7" s="62"/>
      <c r="F7" s="16"/>
      <c r="G7" s="62" t="s">
        <v>1028</v>
      </c>
      <c r="H7" s="61"/>
    </row>
    <row r="8" spans="1:8">
      <c r="A8" s="60" t="s">
        <v>1029</v>
      </c>
      <c r="B8" s="62"/>
      <c r="C8" s="61"/>
      <c r="D8" s="62"/>
      <c r="E8" s="62"/>
      <c r="F8" s="62"/>
      <c r="G8" s="62" t="s">
        <v>1031</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70420.139561859411</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70420.139561859411</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1769</v>
      </c>
      <c r="B21" s="84"/>
      <c r="C21" s="85"/>
      <c r="D21" s="141" t="s">
        <v>61</v>
      </c>
      <c r="E21" s="139">
        <f>MATERIALES!D13</f>
        <v>8500</v>
      </c>
      <c r="F21" s="163">
        <v>100</v>
      </c>
      <c r="G21" s="137">
        <f>E21*F21</f>
        <v>850000</v>
      </c>
      <c r="H21" s="59"/>
    </row>
    <row r="22" spans="1:8">
      <c r="A22" s="127" t="s">
        <v>1667</v>
      </c>
      <c r="B22" s="84"/>
      <c r="C22" s="85"/>
      <c r="D22" s="68" t="s">
        <v>19</v>
      </c>
      <c r="E22" s="142">
        <f>MATERIALES!D59</f>
        <v>50000</v>
      </c>
      <c r="F22" s="69">
        <v>0.04</v>
      </c>
      <c r="G22" s="69">
        <f>E22*F22</f>
        <v>2000</v>
      </c>
      <c r="H22" s="59"/>
    </row>
    <row r="23" spans="1:8">
      <c r="A23" s="128" t="s">
        <v>251</v>
      </c>
      <c r="B23" s="129"/>
      <c r="C23" s="130"/>
      <c r="D23" s="131" t="s">
        <v>44</v>
      </c>
      <c r="E23" s="132">
        <f>MATERIALES!D3</f>
        <v>1190</v>
      </c>
      <c r="F23" s="315">
        <v>400</v>
      </c>
      <c r="G23" s="69">
        <f>E23*F23</f>
        <v>476000</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1328000</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659</v>
      </c>
      <c r="B34" s="84"/>
      <c r="C34" s="103">
        <f>+SALARIOS!C49*3</f>
        <v>76716</v>
      </c>
      <c r="D34" s="104">
        <f>+SALARIOS!C48</f>
        <v>1.7846558312967005</v>
      </c>
      <c r="E34" s="69">
        <f>+C34*D34</f>
        <v>136911.65675375768</v>
      </c>
      <c r="F34" s="69">
        <v>0.3</v>
      </c>
      <c r="G34" s="105">
        <f>+E34/F34</f>
        <v>456372.1891791923</v>
      </c>
      <c r="H34" s="72"/>
    </row>
    <row r="35" spans="1:8">
      <c r="A35" s="83" t="s">
        <v>624</v>
      </c>
      <c r="B35" s="84"/>
      <c r="C35" s="103">
        <f>+SALARIOS!C50</f>
        <v>41660</v>
      </c>
      <c r="D35" s="104">
        <f>+SALARIOS!C48</f>
        <v>1.7846558312967005</v>
      </c>
      <c r="E35" s="69">
        <f>+C35*D35</f>
        <v>74348.76193182054</v>
      </c>
      <c r="F35" s="69">
        <v>0.3</v>
      </c>
      <c r="G35" s="105">
        <f>+E35/F35</f>
        <v>247829.20643940181</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704201.39561859414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2102621.5351804537</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315393.23027706804</v>
      </c>
      <c r="H43" s="117"/>
    </row>
    <row r="44" spans="1:8">
      <c r="A44" s="83" t="s">
        <v>513</v>
      </c>
      <c r="B44" s="84"/>
      <c r="C44" s="84"/>
      <c r="D44" s="84"/>
      <c r="E44" s="85"/>
      <c r="F44" s="115">
        <f>+SALARIOS!C46</f>
        <v>0.05</v>
      </c>
      <c r="G44" s="116">
        <f>+F44*H40</f>
        <v>105131.07675902269</v>
      </c>
      <c r="H44" s="117"/>
    </row>
    <row r="45" spans="1:8" ht="15.75" thickBot="1">
      <c r="A45" s="89" t="s">
        <v>514</v>
      </c>
      <c r="B45" s="90"/>
      <c r="C45" s="90"/>
      <c r="D45" s="90"/>
      <c r="E45" s="91"/>
      <c r="F45" s="118">
        <f>+SALARIOS!C47</f>
        <v>0.05</v>
      </c>
      <c r="G45" s="119">
        <f>+F45*H40</f>
        <v>105131.07675902269</v>
      </c>
      <c r="H45" s="80"/>
    </row>
    <row r="46" spans="1:8" ht="15.75" thickBot="1">
      <c r="A46" s="61"/>
      <c r="B46" s="61"/>
      <c r="C46" s="61"/>
      <c r="D46" s="61"/>
      <c r="E46" s="61"/>
      <c r="F46" s="61"/>
      <c r="G46" s="81" t="s">
        <v>491</v>
      </c>
      <c r="H46" s="120">
        <f>SUM(G43:G45)</f>
        <v>525655.38379511342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2628277</v>
      </c>
    </row>
  </sheetData>
  <mergeCells count="1">
    <mergeCell ref="A3:C4"/>
  </mergeCell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50"/>
  <sheetViews>
    <sheetView topLeftCell="A7" workbookViewId="0">
      <selection activeCell="A22" sqref="A2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57</v>
      </c>
      <c r="B7" s="62"/>
      <c r="C7" s="61"/>
      <c r="D7" s="16"/>
      <c r="E7" s="62"/>
      <c r="F7" s="16"/>
      <c r="G7" s="62" t="s">
        <v>1030</v>
      </c>
      <c r="H7" s="61"/>
    </row>
    <row r="8" spans="1:8">
      <c r="A8" s="60" t="s">
        <v>1797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313"/>
      <c r="C12" s="314"/>
      <c r="D12" s="68"/>
      <c r="E12" s="86"/>
      <c r="F12" s="161"/>
      <c r="G12" s="71">
        <f>H40*10%</f>
        <v>304.24812611946152</v>
      </c>
      <c r="H12" s="72"/>
    </row>
    <row r="13" spans="1:8">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304.24812611946152</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1962</v>
      </c>
      <c r="B21" s="84"/>
      <c r="C21" s="85"/>
      <c r="D21" s="575" t="s">
        <v>61</v>
      </c>
      <c r="E21" s="576">
        <f>MATERIALES!D13</f>
        <v>8500</v>
      </c>
      <c r="F21" s="162">
        <v>5</v>
      </c>
      <c r="G21" s="658">
        <f>E21*F21</f>
        <v>42500</v>
      </c>
      <c r="H21" s="72"/>
    </row>
    <row r="22" spans="1:8">
      <c r="A22" s="127" t="s">
        <v>251</v>
      </c>
      <c r="B22" s="84"/>
      <c r="C22" s="85"/>
      <c r="D22" s="141" t="s">
        <v>44</v>
      </c>
      <c r="E22" s="139">
        <f>MATERIALES!D4</f>
        <v>2100</v>
      </c>
      <c r="F22" s="563">
        <v>0.06</v>
      </c>
      <c r="G22" s="658">
        <f>E22*F22</f>
        <v>126</v>
      </c>
      <c r="H22" s="72"/>
    </row>
    <row r="23" spans="1:8">
      <c r="A23" s="656" t="s">
        <v>1672</v>
      </c>
      <c r="B23" s="573"/>
      <c r="C23" s="574"/>
      <c r="D23" s="575" t="s">
        <v>44</v>
      </c>
      <c r="E23" s="576">
        <f>MATERIALES!D23</f>
        <v>486</v>
      </c>
      <c r="F23" s="575">
        <v>0.06</v>
      </c>
      <c r="G23" s="658">
        <f>E23*F23</f>
        <v>29.16</v>
      </c>
      <c r="H23" s="72"/>
    </row>
    <row r="24" spans="1:8">
      <c r="A24" s="656" t="s">
        <v>1674</v>
      </c>
      <c r="B24" s="573"/>
      <c r="C24" s="574"/>
      <c r="D24" s="575" t="s">
        <v>44</v>
      </c>
      <c r="E24" s="576">
        <f>MATERIALES!D22</f>
        <v>9700</v>
      </c>
      <c r="F24" s="575">
        <v>0.02</v>
      </c>
      <c r="G24" s="658">
        <f>E24*F24</f>
        <v>194</v>
      </c>
      <c r="H24" s="72"/>
    </row>
    <row r="25" spans="1:8">
      <c r="A25" s="128" t="s">
        <v>1676</v>
      </c>
      <c r="B25" s="129"/>
      <c r="C25" s="130"/>
      <c r="D25" s="131" t="s">
        <v>44</v>
      </c>
      <c r="E25" s="132">
        <f>MATERIALES!D41</f>
        <v>6840</v>
      </c>
      <c r="F25" s="657">
        <v>0.02</v>
      </c>
      <c r="G25" s="658">
        <f>E25*F25</f>
        <v>136.80000000000001</v>
      </c>
      <c r="H25" s="72"/>
    </row>
    <row r="26" spans="1:8" ht="15.75" thickBot="1">
      <c r="A26" s="89"/>
      <c r="B26" s="90"/>
      <c r="C26" s="91"/>
      <c r="D26" s="76"/>
      <c r="E26" s="77"/>
      <c r="F26" s="78"/>
      <c r="G26" s="79"/>
      <c r="H26" s="80"/>
    </row>
    <row r="27" spans="1:8" ht="15.75" thickBot="1">
      <c r="A27" s="61"/>
      <c r="B27" s="61"/>
      <c r="C27" s="61"/>
      <c r="D27" s="61"/>
      <c r="E27" s="61"/>
      <c r="F27" s="61"/>
      <c r="G27" s="81" t="s">
        <v>491</v>
      </c>
      <c r="H27" s="82">
        <f>SUM(G21:G26)</f>
        <v>42985.960000000006</v>
      </c>
    </row>
    <row r="28" spans="1:8" ht="15.75" thickBot="1">
      <c r="A28" s="92" t="s">
        <v>496</v>
      </c>
      <c r="B28" s="92"/>
      <c r="C28" s="90"/>
      <c r="D28" s="61"/>
      <c r="E28" s="61"/>
      <c r="F28" s="61"/>
      <c r="G28" s="61"/>
      <c r="H28" s="61"/>
    </row>
    <row r="29" spans="1:8">
      <c r="A29" s="298" t="s">
        <v>497</v>
      </c>
      <c r="B29" s="300"/>
      <c r="C29" s="93" t="s">
        <v>498</v>
      </c>
      <c r="D29" s="300" t="s">
        <v>499</v>
      </c>
      <c r="E29" s="300" t="s">
        <v>500</v>
      </c>
      <c r="F29" s="300" t="s">
        <v>501</v>
      </c>
      <c r="G29" s="94" t="s">
        <v>489</v>
      </c>
      <c r="H29" s="67"/>
    </row>
    <row r="30" spans="1:8">
      <c r="A30" s="83"/>
      <c r="B30" s="84"/>
      <c r="C30" s="95"/>
      <c r="D30" s="96"/>
      <c r="E30" s="96"/>
      <c r="F30" s="97"/>
      <c r="G30" s="97"/>
      <c r="H30" s="72"/>
    </row>
    <row r="31" spans="1:8">
      <c r="A31" s="83"/>
      <c r="B31" s="84"/>
      <c r="C31" s="98"/>
      <c r="D31" s="68"/>
      <c r="E31" s="96"/>
      <c r="F31" s="97"/>
      <c r="G31" s="97"/>
      <c r="H31" s="72"/>
    </row>
    <row r="32" spans="1:8" ht="15.75" thickBot="1">
      <c r="A32" s="100"/>
      <c r="B32" s="101"/>
      <c r="C32" s="76"/>
      <c r="D32" s="76"/>
      <c r="E32" s="211"/>
      <c r="F32" s="212"/>
      <c r="G32" s="76"/>
      <c r="H32" s="72"/>
    </row>
    <row r="33" spans="1:8" ht="15.75" thickBot="1">
      <c r="A33" s="61"/>
      <c r="B33" s="61"/>
      <c r="C33" s="61"/>
      <c r="D33" s="61"/>
      <c r="E33" s="61"/>
      <c r="F33" s="61"/>
      <c r="G33" s="81" t="s">
        <v>491</v>
      </c>
      <c r="H33" s="82">
        <f>SUM(G30:G32)</f>
        <v>0</v>
      </c>
    </row>
    <row r="34" spans="1:8" ht="15.75" thickBot="1">
      <c r="A34" s="92" t="s">
        <v>502</v>
      </c>
      <c r="B34" s="92"/>
      <c r="C34" s="61"/>
      <c r="D34" s="61"/>
      <c r="E34" s="61"/>
      <c r="F34" s="61"/>
      <c r="G34" s="61"/>
      <c r="H34" s="61"/>
    </row>
    <row r="35" spans="1:8">
      <c r="A35" s="298" t="s">
        <v>503</v>
      </c>
      <c r="B35" s="300"/>
      <c r="C35" s="300" t="s">
        <v>504</v>
      </c>
      <c r="D35" s="300" t="s">
        <v>505</v>
      </c>
      <c r="E35" s="124" t="s">
        <v>506</v>
      </c>
      <c r="F35" s="102" t="s">
        <v>488</v>
      </c>
      <c r="G35" s="299" t="s">
        <v>489</v>
      </c>
      <c r="H35" s="67"/>
    </row>
    <row r="36" spans="1:8">
      <c r="A36" s="83" t="s">
        <v>1670</v>
      </c>
      <c r="B36" s="84"/>
      <c r="C36" s="103">
        <f>+SALARIOS!C49</f>
        <v>25572</v>
      </c>
      <c r="D36" s="104">
        <f>+SALARIOS!C48</f>
        <v>1.7846558312967005</v>
      </c>
      <c r="E36" s="69">
        <f>+C36*D36</f>
        <v>45637.218917919221</v>
      </c>
      <c r="F36" s="69">
        <v>15</v>
      </c>
      <c r="G36" s="105">
        <f>+E36/F36</f>
        <v>3042.4812611946149</v>
      </c>
      <c r="H36" s="72"/>
    </row>
    <row r="37" spans="1:8">
      <c r="A37" s="83"/>
      <c r="B37" s="84"/>
      <c r="C37" s="103"/>
      <c r="D37" s="104"/>
      <c r="E37" s="69"/>
      <c r="F37" s="69"/>
      <c r="G37" s="105"/>
      <c r="H37" s="72"/>
    </row>
    <row r="38" spans="1:8">
      <c r="A38" s="83"/>
      <c r="B38" s="84"/>
      <c r="C38" s="103"/>
      <c r="D38" s="104"/>
      <c r="E38" s="69"/>
      <c r="F38" s="69"/>
      <c r="G38" s="105"/>
      <c r="H38" s="72"/>
    </row>
    <row r="39" spans="1:8" ht="15.75" thickBot="1">
      <c r="A39" s="100"/>
      <c r="B39" s="106"/>
      <c r="C39" s="77"/>
      <c r="D39" s="91"/>
      <c r="E39" s="143"/>
      <c r="F39" s="91"/>
      <c r="G39" s="90"/>
      <c r="H39" s="80"/>
    </row>
    <row r="40" spans="1:8" ht="15.75" thickBot="1">
      <c r="A40" s="61"/>
      <c r="B40" s="61"/>
      <c r="C40" s="61"/>
      <c r="D40" s="61"/>
      <c r="E40" s="61"/>
      <c r="F40" s="61"/>
      <c r="G40" s="81" t="s">
        <v>491</v>
      </c>
      <c r="H40" s="82">
        <f>SUM(G36:G39)</f>
        <v>3042.4812611946149</v>
      </c>
    </row>
    <row r="41" spans="1:8" ht="15.75" thickBot="1">
      <c r="A41" s="61"/>
      <c r="B41" s="61"/>
      <c r="C41" s="61"/>
      <c r="D41" s="61"/>
      <c r="E41" s="61"/>
      <c r="F41" s="61"/>
      <c r="G41" s="107"/>
      <c r="H41" s="58"/>
    </row>
    <row r="42" spans="1:8" ht="15.75" thickBot="1">
      <c r="A42" s="61"/>
      <c r="B42" s="61"/>
      <c r="C42" s="61"/>
      <c r="D42" s="61"/>
      <c r="E42" s="81" t="s">
        <v>508</v>
      </c>
      <c r="F42" s="107"/>
      <c r="G42" s="107"/>
      <c r="H42" s="82">
        <f>H18+H27+H33+H40</f>
        <v>46332.689387314087</v>
      </c>
    </row>
    <row r="43" spans="1:8" ht="15.75" thickBot="1">
      <c r="A43" s="63" t="s">
        <v>509</v>
      </c>
      <c r="B43" s="63"/>
      <c r="C43" s="61"/>
      <c r="D43" s="61"/>
      <c r="E43" s="61"/>
      <c r="F43" s="61"/>
      <c r="G43" s="61"/>
      <c r="H43" s="61"/>
    </row>
    <row r="44" spans="1:8">
      <c r="A44" s="233" t="s">
        <v>485</v>
      </c>
      <c r="B44" s="311"/>
      <c r="C44" s="311"/>
      <c r="D44" s="311"/>
      <c r="E44" s="312"/>
      <c r="F44" s="312" t="s">
        <v>510</v>
      </c>
      <c r="G44" s="311" t="s">
        <v>511</v>
      </c>
      <c r="H44" s="67"/>
    </row>
    <row r="45" spans="1:8">
      <c r="A45" s="83" t="s">
        <v>512</v>
      </c>
      <c r="B45" s="84"/>
      <c r="C45" s="84"/>
      <c r="D45" s="84"/>
      <c r="E45" s="85"/>
      <c r="F45" s="115">
        <f>+SALARIOS!C45</f>
        <v>0.15</v>
      </c>
      <c r="G45" s="116">
        <f>++F45*H42</f>
        <v>6949.9034080971132</v>
      </c>
      <c r="H45" s="117"/>
    </row>
    <row r="46" spans="1:8">
      <c r="A46" s="83" t="s">
        <v>513</v>
      </c>
      <c r="B46" s="84"/>
      <c r="C46" s="84"/>
      <c r="D46" s="84"/>
      <c r="E46" s="85"/>
      <c r="F46" s="115">
        <f>+SALARIOS!C46</f>
        <v>0.05</v>
      </c>
      <c r="G46" s="116">
        <f>+F46*H42</f>
        <v>2316.6344693657043</v>
      </c>
      <c r="H46" s="117"/>
    </row>
    <row r="47" spans="1:8" ht="15.75" thickBot="1">
      <c r="A47" s="89" t="s">
        <v>514</v>
      </c>
      <c r="B47" s="90"/>
      <c r="C47" s="90"/>
      <c r="D47" s="90"/>
      <c r="E47" s="91"/>
      <c r="F47" s="118">
        <f>+SALARIOS!C47</f>
        <v>0.05</v>
      </c>
      <c r="G47" s="119">
        <f>+F47*H42</f>
        <v>2316.6344693657043</v>
      </c>
      <c r="H47" s="80"/>
    </row>
    <row r="48" spans="1:8" ht="15.75" thickBot="1">
      <c r="A48" s="61"/>
      <c r="B48" s="61"/>
      <c r="C48" s="61"/>
      <c r="D48" s="61"/>
      <c r="E48" s="61"/>
      <c r="F48" s="61"/>
      <c r="G48" s="81" t="s">
        <v>491</v>
      </c>
      <c r="H48" s="120">
        <f>SUM(G45:G47)</f>
        <v>11583.172346828522</v>
      </c>
    </row>
    <row r="49" spans="1:8" ht="15.75" thickBot="1">
      <c r="A49" s="61"/>
      <c r="B49" s="61"/>
      <c r="C49" s="61"/>
      <c r="D49" s="61"/>
      <c r="E49" s="61"/>
      <c r="F49" s="61"/>
      <c r="G49" s="61"/>
      <c r="H49" s="61"/>
    </row>
    <row r="50" spans="1:8" ht="15.75" thickBot="1">
      <c r="A50" s="16"/>
      <c r="B50" s="16"/>
      <c r="C50" s="61"/>
      <c r="D50" s="81" t="s">
        <v>515</v>
      </c>
      <c r="E50" s="107"/>
      <c r="F50" s="107"/>
      <c r="G50" s="107"/>
      <c r="H50" s="82">
        <f>ROUND((H42+H48),0)</f>
        <v>57916</v>
      </c>
    </row>
  </sheetData>
  <mergeCells count="1">
    <mergeCell ref="A3:C4"/>
  </mergeCells>
  <pageMargins left="0.7" right="0.7" top="0.75" bottom="0.75" header="0.3" footer="0.3"/>
  <pageSetup paperSize="9" scale="95"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8"/>
  <sheetViews>
    <sheetView workbookViewId="0">
      <selection activeCell="K16" sqref="K1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c r="B7" s="62"/>
      <c r="C7" s="61"/>
      <c r="D7" s="16"/>
      <c r="E7" s="62"/>
      <c r="F7" s="16"/>
      <c r="G7" s="62" t="s">
        <v>1032</v>
      </c>
      <c r="H7" s="61"/>
    </row>
    <row r="8" spans="1:8">
      <c r="A8" s="60" t="s">
        <v>1033</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746" t="s">
        <v>292</v>
      </c>
      <c r="B12" s="313"/>
      <c r="C12" s="314"/>
      <c r="D12" s="68"/>
      <c r="E12" s="86">
        <f>'EQUIPOS '!D31</f>
        <v>1060</v>
      </c>
      <c r="F12" s="161">
        <v>50</v>
      </c>
      <c r="G12" s="71">
        <f>E12/F12</f>
        <v>21.2</v>
      </c>
      <c r="H12" s="72"/>
    </row>
    <row r="13" spans="1:8">
      <c r="A13" s="175" t="s">
        <v>1327</v>
      </c>
      <c r="B13" s="176"/>
      <c r="C13" s="174"/>
      <c r="D13" s="174"/>
      <c r="E13" s="173"/>
      <c r="F13" s="69"/>
      <c r="G13" s="173">
        <f>H38*10%</f>
        <v>552.0773325588633</v>
      </c>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573.27733255886335</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1056</v>
      </c>
      <c r="B21" s="84"/>
      <c r="C21" s="85"/>
      <c r="D21" s="141" t="s">
        <v>61</v>
      </c>
      <c r="E21" s="139">
        <f>+MATERIALES!D14</f>
        <v>15000</v>
      </c>
      <c r="F21" s="163">
        <v>1</v>
      </c>
      <c r="G21" s="137">
        <f>+E21*F21</f>
        <v>15000</v>
      </c>
      <c r="H21" s="59"/>
    </row>
    <row r="22" spans="1:8">
      <c r="A22" s="127" t="s">
        <v>1667</v>
      </c>
      <c r="B22" s="84"/>
      <c r="C22" s="85"/>
      <c r="D22" s="68" t="s">
        <v>19</v>
      </c>
      <c r="E22" s="142">
        <f>MATERIALES!D59</f>
        <v>50000</v>
      </c>
      <c r="F22" s="69">
        <v>0.04</v>
      </c>
      <c r="G22" s="69">
        <f>E22*F22</f>
        <v>2000</v>
      </c>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17000</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450"/>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30</v>
      </c>
      <c r="G34" s="105">
        <f>+E34/F34</f>
        <v>3042.4812611946149</v>
      </c>
      <c r="H34" s="72"/>
    </row>
    <row r="35" spans="1:8">
      <c r="A35" s="83" t="s">
        <v>624</v>
      </c>
      <c r="B35" s="84"/>
      <c r="C35" s="103">
        <f>+SALARIOS!C50</f>
        <v>41660</v>
      </c>
      <c r="D35" s="104">
        <f>+SALARIOS!C48</f>
        <v>1.7846558312967005</v>
      </c>
      <c r="E35" s="69">
        <f>+C35*D35</f>
        <v>74348.76193182054</v>
      </c>
      <c r="F35" s="69">
        <v>30</v>
      </c>
      <c r="G35" s="105">
        <f>+E35/F35</f>
        <v>2478.2920643940179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5520.7733255886324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23094.050658147498</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3464.1075987221247</v>
      </c>
      <c r="H43" s="117"/>
    </row>
    <row r="44" spans="1:8">
      <c r="A44" s="83" t="s">
        <v>513</v>
      </c>
      <c r="B44" s="84"/>
      <c r="C44" s="84"/>
      <c r="D44" s="84"/>
      <c r="E44" s="85"/>
      <c r="F44" s="115">
        <f>+SALARIOS!C46</f>
        <v>0.05</v>
      </c>
      <c r="G44" s="116">
        <f>+F44*H40</f>
        <v>1154.7025329073749</v>
      </c>
      <c r="H44" s="117"/>
    </row>
    <row r="45" spans="1:8" ht="15.75" thickBot="1">
      <c r="A45" s="89" t="s">
        <v>514</v>
      </c>
      <c r="B45" s="90"/>
      <c r="C45" s="90"/>
      <c r="D45" s="90"/>
      <c r="E45" s="91"/>
      <c r="F45" s="118">
        <f>+SALARIOS!C47</f>
        <v>0.05</v>
      </c>
      <c r="G45" s="119">
        <f>+F45*H40</f>
        <v>1154.7025329073749</v>
      </c>
      <c r="H45" s="80"/>
    </row>
    <row r="46" spans="1:8" ht="15.75" thickBot="1">
      <c r="A46" s="61"/>
      <c r="B46" s="61"/>
      <c r="C46" s="61"/>
      <c r="D46" s="61"/>
      <c r="E46" s="61"/>
      <c r="F46" s="61"/>
      <c r="G46" s="81" t="s">
        <v>491</v>
      </c>
      <c r="H46" s="120">
        <f>SUM(G43:G45)</f>
        <v>5773.5126645368746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28868</v>
      </c>
    </row>
  </sheetData>
  <mergeCells count="1">
    <mergeCell ref="A3:C4"/>
  </mergeCell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8"/>
  <sheetViews>
    <sheetView topLeftCell="A7"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1034</v>
      </c>
      <c r="H7" s="61"/>
    </row>
    <row r="8" spans="1:8">
      <c r="A8" s="60" t="s">
        <v>1035</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313"/>
      <c r="C12" s="314"/>
      <c r="D12" s="68"/>
      <c r="E12" s="86"/>
      <c r="F12" s="161"/>
      <c r="G12" s="71">
        <f>H38*10%</f>
        <v>2399.7196169947952</v>
      </c>
      <c r="H12" s="72"/>
    </row>
    <row r="13" spans="1:8">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2399.7196169947952</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252</v>
      </c>
      <c r="B21" s="84"/>
      <c r="C21" s="85"/>
      <c r="D21" s="141" t="s">
        <v>1</v>
      </c>
      <c r="E21" s="139">
        <f>+MATERIALES!D55</f>
        <v>1156.25</v>
      </c>
      <c r="F21" s="163">
        <v>10</v>
      </c>
      <c r="G21" s="137">
        <f>+E21*F21</f>
        <v>11562.5</v>
      </c>
      <c r="H21" s="59"/>
    </row>
    <row r="22" spans="1:8">
      <c r="A22" s="127" t="s">
        <v>1669</v>
      </c>
      <c r="B22" s="84"/>
      <c r="C22" s="85"/>
      <c r="D22" s="68" t="s">
        <v>44</v>
      </c>
      <c r="E22" s="142">
        <f>+MATERIALES!D11</f>
        <v>3450</v>
      </c>
      <c r="F22" s="69">
        <v>0.5</v>
      </c>
      <c r="G22" s="69">
        <f>+E22*F22</f>
        <v>1725</v>
      </c>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13287.5</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1670</v>
      </c>
      <c r="B34" s="84"/>
      <c r="C34" s="103">
        <f>+SALARIOS!C49</f>
        <v>25572</v>
      </c>
      <c r="D34" s="104">
        <f>+SALARIOS!C48</f>
        <v>1.7846558312967005</v>
      </c>
      <c r="E34" s="69">
        <f>+C34*D34</f>
        <v>45637.218917919221</v>
      </c>
      <c r="F34" s="69">
        <v>5</v>
      </c>
      <c r="G34" s="105">
        <f>+E34/F34</f>
        <v>9127.4437835838435</v>
      </c>
      <c r="H34" s="72"/>
    </row>
    <row r="35" spans="1:8">
      <c r="A35" s="83" t="s">
        <v>64</v>
      </c>
      <c r="B35" s="84"/>
      <c r="C35" s="103">
        <f>SALARIOS!C50</f>
        <v>41660</v>
      </c>
      <c r="D35" s="104">
        <f>SALARIOS!C48</f>
        <v>1.7846558312967005</v>
      </c>
      <c r="E35" s="69">
        <f>+C35*D35</f>
        <v>74348.76193182054</v>
      </c>
      <c r="F35" s="69">
        <v>5</v>
      </c>
      <c r="G35" s="105">
        <f>+E35/F35</f>
        <v>14869.752386364107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23997.196169947951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39684.415786942744</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5952.6623680414114</v>
      </c>
      <c r="H43" s="117"/>
    </row>
    <row r="44" spans="1:8">
      <c r="A44" s="83" t="s">
        <v>513</v>
      </c>
      <c r="B44" s="84"/>
      <c r="C44" s="84"/>
      <c r="D44" s="84"/>
      <c r="E44" s="85"/>
      <c r="F44" s="115">
        <f>+SALARIOS!C46</f>
        <v>0.05</v>
      </c>
      <c r="G44" s="116">
        <f>+F44*H40</f>
        <v>1984.2207893471373</v>
      </c>
      <c r="H44" s="117"/>
    </row>
    <row r="45" spans="1:8" ht="15.75" thickBot="1">
      <c r="A45" s="89" t="s">
        <v>514</v>
      </c>
      <c r="B45" s="90"/>
      <c r="C45" s="90"/>
      <c r="D45" s="90"/>
      <c r="E45" s="91"/>
      <c r="F45" s="118">
        <f>+SALARIOS!C47</f>
        <v>0.05</v>
      </c>
      <c r="G45" s="119">
        <f>+F45*H40</f>
        <v>1984.2207893471373</v>
      </c>
      <c r="H45" s="80"/>
    </row>
    <row r="46" spans="1:8" ht="15.75" thickBot="1">
      <c r="A46" s="61"/>
      <c r="B46" s="61"/>
      <c r="C46" s="61"/>
      <c r="D46" s="61"/>
      <c r="E46" s="61"/>
      <c r="F46" s="61"/>
      <c r="G46" s="81" t="s">
        <v>491</v>
      </c>
      <c r="H46" s="120">
        <f>SUM(G43:G45)</f>
        <v>9921.1039467356859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49606</v>
      </c>
    </row>
  </sheetData>
  <mergeCells count="1">
    <mergeCell ref="A3:C4"/>
  </mergeCells>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1036</v>
      </c>
      <c r="H7" s="61"/>
    </row>
    <row r="8" spans="1:8">
      <c r="A8" s="60" t="s">
        <v>1037</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313"/>
      <c r="C12" s="314"/>
      <c r="D12" s="68"/>
      <c r="E12" s="86"/>
      <c r="F12" s="161"/>
      <c r="G12" s="71">
        <f>H38*10%</f>
        <v>749.91238031087357</v>
      </c>
      <c r="H12" s="72"/>
    </row>
    <row r="13" spans="1:8">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749.91238031087357</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1057</v>
      </c>
      <c r="B21" s="84"/>
      <c r="C21" s="85"/>
      <c r="D21" s="141" t="s">
        <v>1</v>
      </c>
      <c r="E21" s="139">
        <f>+MATERIALES!D55</f>
        <v>1156.25</v>
      </c>
      <c r="F21" s="163">
        <v>5</v>
      </c>
      <c r="G21" s="137">
        <f>+E21*F21</f>
        <v>5781.25</v>
      </c>
      <c r="H21" s="59"/>
    </row>
    <row r="22" spans="1:8">
      <c r="A22" s="127" t="s">
        <v>253</v>
      </c>
      <c r="B22" s="84"/>
      <c r="C22" s="85"/>
      <c r="D22" s="68" t="s">
        <v>61</v>
      </c>
      <c r="E22" s="142">
        <f>MATERIALES!D32</f>
        <v>5250</v>
      </c>
      <c r="F22" s="69">
        <v>1</v>
      </c>
      <c r="G22" s="69">
        <f>+E22*F22</f>
        <v>5250</v>
      </c>
      <c r="H22" s="59"/>
    </row>
    <row r="23" spans="1:8">
      <c r="A23" s="128" t="s">
        <v>1671</v>
      </c>
      <c r="B23" s="129"/>
      <c r="C23" s="130"/>
      <c r="D23" s="131" t="s">
        <v>44</v>
      </c>
      <c r="E23" s="132">
        <f>MATERIALES!D11</f>
        <v>3450</v>
      </c>
      <c r="F23" s="315">
        <v>0.5</v>
      </c>
      <c r="G23" s="69">
        <f>+E23*F23</f>
        <v>1725</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12756.25</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1670</v>
      </c>
      <c r="B34" s="84"/>
      <c r="C34" s="103">
        <f>+SALARIOS!C49</f>
        <v>25572</v>
      </c>
      <c r="D34" s="104">
        <f>+SALARIOS!C48</f>
        <v>1.7846558312967005</v>
      </c>
      <c r="E34" s="69">
        <f>+C34*D34</f>
        <v>45637.218917919221</v>
      </c>
      <c r="F34" s="69">
        <v>16</v>
      </c>
      <c r="G34" s="105">
        <f>+E34/F34</f>
        <v>2852.3261823699513</v>
      </c>
      <c r="H34" s="72"/>
    </row>
    <row r="35" spans="1:8">
      <c r="A35" s="83" t="s">
        <v>64</v>
      </c>
      <c r="B35" s="84"/>
      <c r="C35" s="103">
        <f>SALARIOS!C50</f>
        <v>41660</v>
      </c>
      <c r="D35" s="104">
        <f>+SALARIOS!C48</f>
        <v>1.7846558312967005</v>
      </c>
      <c r="E35" s="69">
        <f>+C35*D35</f>
        <v>74348.76193182054</v>
      </c>
      <c r="F35" s="69">
        <v>16</v>
      </c>
      <c r="G35" s="105">
        <f>+E35/F35</f>
        <v>4646.7976207387837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7499.123803108735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21005.286183419608</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3150.7929275129413</v>
      </c>
      <c r="H43" s="117"/>
    </row>
    <row r="44" spans="1:8">
      <c r="A44" s="83" t="s">
        <v>513</v>
      </c>
      <c r="B44" s="84"/>
      <c r="C44" s="84"/>
      <c r="D44" s="84"/>
      <c r="E44" s="85"/>
      <c r="F44" s="115">
        <f>+SALARIOS!C46</f>
        <v>0.05</v>
      </c>
      <c r="G44" s="116">
        <f>+F44*H40</f>
        <v>1050.2643091709804</v>
      </c>
      <c r="H44" s="117"/>
    </row>
    <row r="45" spans="1:8" ht="15.75" thickBot="1">
      <c r="A45" s="89" t="s">
        <v>514</v>
      </c>
      <c r="B45" s="90"/>
      <c r="C45" s="90"/>
      <c r="D45" s="90"/>
      <c r="E45" s="91"/>
      <c r="F45" s="118">
        <f>+SALARIOS!C47</f>
        <v>0.05</v>
      </c>
      <c r="G45" s="119">
        <f>+F45*H40</f>
        <v>1050.2643091709804</v>
      </c>
      <c r="H45" s="80"/>
    </row>
    <row r="46" spans="1:8" ht="15.75" thickBot="1">
      <c r="A46" s="61"/>
      <c r="B46" s="61"/>
      <c r="C46" s="61"/>
      <c r="D46" s="61"/>
      <c r="E46" s="61"/>
      <c r="F46" s="61"/>
      <c r="G46" s="81" t="s">
        <v>491</v>
      </c>
      <c r="H46" s="120">
        <f>SUM(G43:G45)</f>
        <v>5251.3215458549021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26257</v>
      </c>
    </row>
  </sheetData>
  <mergeCells count="1">
    <mergeCell ref="A3:C4"/>
  </mergeCells>
  <pageMargins left="0.7" right="0.7" top="0.75" bottom="0.75" header="0.3" footer="0.3"/>
  <pageSetup paperSize="9" scale="95"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9"/>
  <sheetViews>
    <sheetView topLeftCell="A25"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1666</v>
      </c>
      <c r="B7" s="62"/>
      <c r="C7" s="61"/>
      <c r="D7" s="16"/>
      <c r="E7" s="62"/>
      <c r="F7" s="16"/>
      <c r="G7" s="62" t="s">
        <v>1038</v>
      </c>
      <c r="H7" s="61"/>
    </row>
    <row r="8" spans="1:8">
      <c r="A8" s="60" t="s">
        <v>1039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313"/>
      <c r="C12" s="314"/>
      <c r="D12" s="68"/>
      <c r="E12" s="86"/>
      <c r="F12" s="161"/>
      <c r="G12" s="71">
        <f>H39*10%</f>
        <v>11582.041941794334</v>
      </c>
      <c r="H12" s="72"/>
    </row>
    <row r="13" spans="1:8">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11582.041941794334</v>
      </c>
    </row>
    <row r="19" spans="1:8" ht="15.75" thickBot="1">
      <c r="A19" s="63" t="s">
        <v>492</v>
      </c>
      <c r="B19" s="63"/>
      <c r="C19" s="61"/>
      <c r="D19" s="61"/>
      <c r="E19" s="61"/>
      <c r="F19" s="61"/>
      <c r="G19" s="61"/>
      <c r="H19" s="61"/>
    </row>
    <row r="20" spans="1:8">
      <c r="A20" s="655" t="s">
        <v>485</v>
      </c>
      <c r="B20" s="573"/>
      <c r="C20" s="574"/>
      <c r="D20" s="575" t="s">
        <v>493</v>
      </c>
      <c r="E20" s="575" t="s">
        <v>494</v>
      </c>
      <c r="F20" s="575" t="s">
        <v>495</v>
      </c>
      <c r="G20" s="655" t="s">
        <v>489</v>
      </c>
      <c r="H20" s="67"/>
    </row>
    <row r="21" spans="1:8">
      <c r="A21" s="565" t="s">
        <v>1664</v>
      </c>
      <c r="B21" s="565"/>
      <c r="C21" s="566"/>
      <c r="D21" s="566" t="s">
        <v>44</v>
      </c>
      <c r="E21" s="653">
        <f>MATERIALES!D11</f>
        <v>3450</v>
      </c>
      <c r="F21" s="1089">
        <v>1</v>
      </c>
      <c r="G21" s="654">
        <f>E21*F21</f>
        <v>3450</v>
      </c>
      <c r="H21" s="72"/>
    </row>
    <row r="22" spans="1:8">
      <c r="A22" s="127" t="s">
        <v>1957</v>
      </c>
      <c r="B22" s="84"/>
      <c r="C22" s="85"/>
      <c r="D22" s="141" t="s">
        <v>61</v>
      </c>
      <c r="E22" s="139">
        <f>+MATERIALES!D44</f>
        <v>60480</v>
      </c>
      <c r="F22" s="163">
        <v>0.86</v>
      </c>
      <c r="G22" s="88">
        <f>+E22*F22</f>
        <v>52012.799999999996</v>
      </c>
      <c r="H22" s="72"/>
    </row>
    <row r="23" spans="1:8">
      <c r="A23" s="127" t="s">
        <v>203</v>
      </c>
      <c r="B23" s="84"/>
      <c r="C23" s="85"/>
      <c r="D23" s="68" t="s">
        <v>19</v>
      </c>
      <c r="E23" s="142">
        <f>+MATERIALES!D51</f>
        <v>52200</v>
      </c>
      <c r="F23" s="69">
        <v>1.03</v>
      </c>
      <c r="G23" s="71">
        <f>+E23*F23</f>
        <v>53766</v>
      </c>
      <c r="H23" s="72"/>
    </row>
    <row r="24" spans="1:8">
      <c r="A24" s="128" t="s">
        <v>1574</v>
      </c>
      <c r="B24" s="129"/>
      <c r="C24" s="130"/>
      <c r="D24" s="131" t="s">
        <v>28</v>
      </c>
      <c r="E24" s="132">
        <f>MATERIALES!D33</f>
        <v>1392</v>
      </c>
      <c r="F24" s="315">
        <v>2</v>
      </c>
      <c r="G24" s="155">
        <f>E24*F24</f>
        <v>2784</v>
      </c>
      <c r="H24" s="72"/>
    </row>
    <row r="25" spans="1:8" ht="15.75" thickBot="1">
      <c r="A25" s="89"/>
      <c r="B25" s="90"/>
      <c r="C25" s="91"/>
      <c r="D25" s="76"/>
      <c r="E25" s="77"/>
      <c r="F25" s="78"/>
      <c r="G25" s="79"/>
      <c r="H25" s="80"/>
    </row>
    <row r="26" spans="1:8" ht="15.75" thickBot="1">
      <c r="A26" s="61"/>
      <c r="B26" s="61"/>
      <c r="C26" s="61"/>
      <c r="D26" s="61"/>
      <c r="E26" s="61"/>
      <c r="F26" s="61"/>
      <c r="G26" s="81" t="s">
        <v>491</v>
      </c>
      <c r="H26" s="82">
        <f>SUM(G22:G25)</f>
        <v>108562.79999999999</v>
      </c>
    </row>
    <row r="27" spans="1:8" ht="15.75" thickBot="1">
      <c r="A27" s="92" t="s">
        <v>496</v>
      </c>
      <c r="B27" s="92"/>
      <c r="C27" s="90"/>
      <c r="D27" s="61"/>
      <c r="E27" s="61"/>
      <c r="F27" s="61"/>
      <c r="G27" s="61"/>
      <c r="H27" s="61"/>
    </row>
    <row r="28" spans="1:8">
      <c r="A28" s="298" t="s">
        <v>497</v>
      </c>
      <c r="B28" s="300"/>
      <c r="C28" s="93" t="s">
        <v>498</v>
      </c>
      <c r="D28" s="300" t="s">
        <v>499</v>
      </c>
      <c r="E28" s="300" t="s">
        <v>500</v>
      </c>
      <c r="F28" s="300" t="s">
        <v>501</v>
      </c>
      <c r="G28" s="94" t="s">
        <v>489</v>
      </c>
      <c r="H28" s="67"/>
    </row>
    <row r="29" spans="1:8">
      <c r="A29" s="83"/>
      <c r="B29" s="84"/>
      <c r="C29" s="95"/>
      <c r="D29" s="96"/>
      <c r="E29" s="96"/>
      <c r="F29" s="97"/>
      <c r="G29" s="97"/>
      <c r="H29" s="72"/>
    </row>
    <row r="30" spans="1:8">
      <c r="A30" s="83"/>
      <c r="B30" s="84"/>
      <c r="C30" s="98"/>
      <c r="D30" s="68"/>
      <c r="E30" s="96"/>
      <c r="F30" s="97"/>
      <c r="G30" s="97"/>
      <c r="H30" s="72"/>
    </row>
    <row r="31" spans="1:8" ht="15.75" thickBot="1">
      <c r="A31" s="100"/>
      <c r="B31" s="101"/>
      <c r="C31" s="76"/>
      <c r="D31" s="76"/>
      <c r="E31" s="211"/>
      <c r="F31" s="212"/>
      <c r="G31" s="76"/>
      <c r="H31" s="72"/>
    </row>
    <row r="32" spans="1:8" ht="15.75" thickBot="1">
      <c r="A32" s="61"/>
      <c r="B32" s="61"/>
      <c r="C32" s="61"/>
      <c r="D32" s="61"/>
      <c r="E32" s="61"/>
      <c r="F32" s="61"/>
      <c r="G32" s="81" t="s">
        <v>491</v>
      </c>
      <c r="H32" s="82">
        <f>SUM(G29:G31)</f>
        <v>0</v>
      </c>
    </row>
    <row r="33" spans="1:8" ht="15.75" thickBot="1">
      <c r="A33" s="92" t="s">
        <v>502</v>
      </c>
      <c r="B33" s="92"/>
      <c r="C33" s="61"/>
      <c r="D33" s="61"/>
      <c r="E33" s="61"/>
      <c r="F33" s="61"/>
      <c r="G33" s="61"/>
      <c r="H33" s="61"/>
    </row>
    <row r="34" spans="1:8">
      <c r="A34" s="298" t="s">
        <v>503</v>
      </c>
      <c r="B34" s="300"/>
      <c r="C34" s="300" t="s">
        <v>504</v>
      </c>
      <c r="D34" s="300" t="s">
        <v>505</v>
      </c>
      <c r="E34" s="124" t="s">
        <v>506</v>
      </c>
      <c r="F34" s="102" t="s">
        <v>488</v>
      </c>
      <c r="G34" s="299" t="s">
        <v>489</v>
      </c>
      <c r="H34" s="67"/>
    </row>
    <row r="35" spans="1:8">
      <c r="A35" s="83" t="s">
        <v>553</v>
      </c>
      <c r="B35" s="84"/>
      <c r="C35" s="103">
        <f>+SALARIOS!C49*2</f>
        <v>51144</v>
      </c>
      <c r="D35" s="104">
        <f>+SALARIOS!C48</f>
        <v>1.7846558312967005</v>
      </c>
      <c r="E35" s="69">
        <f>+C35*D35</f>
        <v>91274.437835838442</v>
      </c>
      <c r="F35" s="69">
        <v>1.43</v>
      </c>
      <c r="G35" s="105">
        <f>+E35/F35</f>
        <v>63828.27820688003</v>
      </c>
      <c r="H35" s="72"/>
    </row>
    <row r="36" spans="1:8">
      <c r="A36" s="83" t="s">
        <v>624</v>
      </c>
      <c r="B36" s="84"/>
      <c r="C36" s="103">
        <f>+SALARIOS!C50</f>
        <v>41660</v>
      </c>
      <c r="D36" s="104">
        <f>+SALARIOS!C48</f>
        <v>1.7846558312967005</v>
      </c>
      <c r="E36" s="69">
        <f>+C36*D36</f>
        <v>74348.76193182054</v>
      </c>
      <c r="F36" s="69">
        <v>1.43</v>
      </c>
      <c r="G36" s="105">
        <f>+E36/F36</f>
        <v>51992.141211063317</v>
      </c>
      <c r="H36" s="72"/>
    </row>
    <row r="37" spans="1:8">
      <c r="A37" s="83"/>
      <c r="B37" s="84"/>
      <c r="C37" s="103"/>
      <c r="D37" s="104"/>
      <c r="E37" s="69"/>
      <c r="F37" s="69"/>
      <c r="G37" s="105"/>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115820.41941794334</v>
      </c>
    </row>
    <row r="40" spans="1:8" ht="15.75" thickBot="1">
      <c r="A40" s="61"/>
      <c r="B40" s="61"/>
      <c r="C40" s="61"/>
      <c r="D40" s="61"/>
      <c r="E40" s="61"/>
      <c r="F40" s="61"/>
      <c r="G40" s="107"/>
      <c r="H40" s="58"/>
    </row>
    <row r="41" spans="1:8" ht="15.75" thickBot="1">
      <c r="A41" s="61"/>
      <c r="B41" s="61"/>
      <c r="C41" s="61"/>
      <c r="D41" s="61"/>
      <c r="E41" s="81" t="s">
        <v>508</v>
      </c>
      <c r="F41" s="107"/>
      <c r="G41" s="107"/>
      <c r="H41" s="82">
        <f>H18+H26+H32+H39</f>
        <v>235965.26135973766</v>
      </c>
    </row>
    <row r="42" spans="1:8" ht="15.75" thickBot="1">
      <c r="A42" s="63" t="s">
        <v>509</v>
      </c>
      <c r="B42" s="63"/>
      <c r="C42" s="61"/>
      <c r="D42" s="61"/>
      <c r="E42" s="61"/>
      <c r="F42" s="61"/>
      <c r="G42" s="61"/>
      <c r="H42" s="61"/>
    </row>
    <row r="43" spans="1:8">
      <c r="A43" s="233" t="s">
        <v>485</v>
      </c>
      <c r="B43" s="311"/>
      <c r="C43" s="311"/>
      <c r="D43" s="311"/>
      <c r="E43" s="312"/>
      <c r="F43" s="312" t="s">
        <v>510</v>
      </c>
      <c r="G43" s="311" t="s">
        <v>511</v>
      </c>
      <c r="H43" s="67"/>
    </row>
    <row r="44" spans="1:8">
      <c r="A44" s="83" t="s">
        <v>512</v>
      </c>
      <c r="B44" s="84"/>
      <c r="C44" s="84"/>
      <c r="D44" s="84"/>
      <c r="E44" s="85"/>
      <c r="F44" s="115">
        <f>+SALARIOS!C45</f>
        <v>0.15</v>
      </c>
      <c r="G44" s="116">
        <f>++F44*H41</f>
        <v>35394.789203960645</v>
      </c>
      <c r="H44" s="117"/>
    </row>
    <row r="45" spans="1:8">
      <c r="A45" s="83" t="s">
        <v>513</v>
      </c>
      <c r="B45" s="84"/>
      <c r="C45" s="84"/>
      <c r="D45" s="84"/>
      <c r="E45" s="85"/>
      <c r="F45" s="115">
        <f>+SALARIOS!C46</f>
        <v>0.05</v>
      </c>
      <c r="G45" s="116">
        <f>+F45*H41</f>
        <v>11798.263067986883</v>
      </c>
      <c r="H45" s="117"/>
    </row>
    <row r="46" spans="1:8" ht="15.75" thickBot="1">
      <c r="A46" s="89" t="s">
        <v>514</v>
      </c>
      <c r="B46" s="90"/>
      <c r="C46" s="90"/>
      <c r="D46" s="90"/>
      <c r="E46" s="91"/>
      <c r="F46" s="118">
        <f>+SALARIOS!C47</f>
        <v>0.05</v>
      </c>
      <c r="G46" s="119">
        <f>+F46*H41</f>
        <v>11798.263067986883</v>
      </c>
      <c r="H46" s="80"/>
    </row>
    <row r="47" spans="1:8" ht="15.75" thickBot="1">
      <c r="A47" s="61"/>
      <c r="B47" s="61"/>
      <c r="C47" s="61"/>
      <c r="D47" s="61"/>
      <c r="E47" s="61"/>
      <c r="F47" s="61"/>
      <c r="G47" s="81" t="s">
        <v>491</v>
      </c>
      <c r="H47" s="120">
        <f>SUM(G44:G46)</f>
        <v>58991.315339934408</v>
      </c>
    </row>
    <row r="48" spans="1:8" ht="15.75" thickBot="1">
      <c r="A48" s="61"/>
      <c r="B48" s="61"/>
      <c r="C48" s="61"/>
      <c r="D48" s="61"/>
      <c r="E48" s="61"/>
      <c r="F48" s="61"/>
      <c r="G48" s="61"/>
      <c r="H48" s="61"/>
    </row>
    <row r="49" spans="1:8" ht="15.75" thickBot="1">
      <c r="A49" s="16"/>
      <c r="B49" s="16"/>
      <c r="C49" s="61"/>
      <c r="D49" s="81" t="s">
        <v>515</v>
      </c>
      <c r="E49" s="107"/>
      <c r="F49" s="107"/>
      <c r="G49" s="107"/>
      <c r="H49" s="82">
        <f>ROUND((H41+H47),0)</f>
        <v>294957</v>
      </c>
    </row>
  </sheetData>
  <mergeCells count="1">
    <mergeCell ref="A3:C4"/>
  </mergeCell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8"/>
  <sheetViews>
    <sheetView workbookViewId="0">
      <selection activeCell="F36" sqref="F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1040</v>
      </c>
      <c r="H7" s="61"/>
    </row>
    <row r="8" spans="1:8">
      <c r="A8" s="60" t="s">
        <v>1041</v>
      </c>
      <c r="B8" s="62"/>
      <c r="C8" s="61"/>
      <c r="D8" s="62"/>
      <c r="E8" s="62"/>
      <c r="F8" s="62"/>
      <c r="G8" s="62" t="s">
        <v>1048</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466.78718917919218</v>
      </c>
      <c r="H12" s="72"/>
    </row>
    <row r="13" spans="1:8">
      <c r="A13" s="164"/>
      <c r="B13" s="165"/>
      <c r="C13" s="166"/>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466.78718917919218</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20</v>
      </c>
      <c r="G34" s="105">
        <f>+E34/F34</f>
        <v>4563.7218917919217</v>
      </c>
      <c r="H34" s="72"/>
    </row>
    <row r="35" spans="1:8">
      <c r="A35" s="83" t="s">
        <v>624</v>
      </c>
      <c r="B35" s="84"/>
      <c r="C35" s="103">
        <f>+SALARIOS!C50</f>
        <v>41660</v>
      </c>
      <c r="D35" s="104">
        <f>+SALARIOS!C47</f>
        <v>0.05</v>
      </c>
      <c r="E35" s="69">
        <f>+C35*D35</f>
        <v>2083</v>
      </c>
      <c r="F35" s="69">
        <v>20</v>
      </c>
      <c r="G35" s="105">
        <f>+E35/F35</f>
        <v>104.15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4667.8718917919214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5134.6590809711133</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770.19886214566702</v>
      </c>
      <c r="H43" s="117"/>
    </row>
    <row r="44" spans="1:8">
      <c r="A44" s="83" t="s">
        <v>513</v>
      </c>
      <c r="B44" s="84"/>
      <c r="C44" s="84"/>
      <c r="D44" s="84"/>
      <c r="E44" s="85"/>
      <c r="F44" s="115">
        <f>+SALARIOS!C46</f>
        <v>0.05</v>
      </c>
      <c r="G44" s="116">
        <f>+F44*H40</f>
        <v>256.73295404855565</v>
      </c>
      <c r="H44" s="117"/>
    </row>
    <row r="45" spans="1:8" ht="15.75" thickBot="1">
      <c r="A45" s="89" t="s">
        <v>514</v>
      </c>
      <c r="B45" s="90"/>
      <c r="C45" s="90"/>
      <c r="D45" s="90"/>
      <c r="E45" s="91"/>
      <c r="F45" s="118">
        <f>+SALARIOS!C47</f>
        <v>0.05</v>
      </c>
      <c r="G45" s="119">
        <f>+F45*H40</f>
        <v>256.73295404855565</v>
      </c>
      <c r="H45" s="80"/>
    </row>
    <row r="46" spans="1:8" ht="15.75" thickBot="1">
      <c r="A46" s="61"/>
      <c r="B46" s="61"/>
      <c r="C46" s="61"/>
      <c r="D46" s="61"/>
      <c r="E46" s="61"/>
      <c r="F46" s="61"/>
      <c r="G46" s="81" t="s">
        <v>491</v>
      </c>
      <c r="H46" s="120">
        <f>SUM(G43:G45)</f>
        <v>1283.6647702427783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6418</v>
      </c>
    </row>
  </sheetData>
  <mergeCells count="1">
    <mergeCell ref="A3:C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48"/>
  <sheetViews>
    <sheetView topLeftCell="A25" workbookViewId="0">
      <selection activeCell="D14" sqref="D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575</v>
      </c>
      <c r="B7" s="62"/>
      <c r="C7" s="61"/>
      <c r="D7" s="16"/>
      <c r="E7" s="62"/>
      <c r="F7" s="16"/>
      <c r="G7" s="62" t="s">
        <v>570</v>
      </c>
      <c r="H7" s="61"/>
    </row>
    <row r="8" spans="1:8">
      <c r="A8" s="60" t="s">
        <v>569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1" t="s">
        <v>486</v>
      </c>
      <c r="E11" s="65" t="s">
        <v>487</v>
      </c>
      <c r="F11" s="151" t="s">
        <v>488</v>
      </c>
      <c r="G11" s="150" t="s">
        <v>489</v>
      </c>
      <c r="H11" s="67"/>
    </row>
    <row r="12" spans="1:8">
      <c r="A12" s="1463" t="s">
        <v>1327</v>
      </c>
      <c r="B12" s="1464"/>
      <c r="C12" s="1465"/>
      <c r="D12" s="68"/>
      <c r="E12" s="86"/>
      <c r="F12" s="161"/>
      <c r="G12" s="71">
        <f>H38*10%</f>
        <v>3042.4812611946149</v>
      </c>
      <c r="H12" s="72"/>
    </row>
    <row r="13" spans="1:8">
      <c r="A13" s="168" t="s">
        <v>63</v>
      </c>
      <c r="B13" s="165"/>
      <c r="C13" s="166"/>
      <c r="D13" s="68" t="s">
        <v>17</v>
      </c>
      <c r="E13" s="86">
        <f>+'EQUIPOS '!D9</f>
        <v>84100</v>
      </c>
      <c r="F13" s="161">
        <v>4</v>
      </c>
      <c r="G13" s="71">
        <f>+E13/F13</f>
        <v>21025</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24067.481261194614</v>
      </c>
    </row>
    <row r="19" spans="1:8" ht="15.75" thickBot="1">
      <c r="A19" s="63" t="s">
        <v>492</v>
      </c>
      <c r="B19" s="63"/>
      <c r="C19" s="61"/>
      <c r="D19" s="61"/>
      <c r="E19" s="61"/>
      <c r="F19" s="61"/>
      <c r="G19" s="61"/>
      <c r="H19" s="61"/>
    </row>
    <row r="20" spans="1:8">
      <c r="A20" s="1472" t="s">
        <v>485</v>
      </c>
      <c r="B20" s="1473"/>
      <c r="C20" s="1474"/>
      <c r="D20" s="153" t="s">
        <v>493</v>
      </c>
      <c r="E20" s="153" t="s">
        <v>494</v>
      </c>
      <c r="F20" s="153" t="s">
        <v>495</v>
      </c>
      <c r="G20" s="152"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1" t="s">
        <v>499</v>
      </c>
      <c r="E27" s="151" t="s">
        <v>500</v>
      </c>
      <c r="F27" s="151"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1" t="s">
        <v>504</v>
      </c>
      <c r="D33" s="151" t="s">
        <v>505</v>
      </c>
      <c r="E33" s="124" t="s">
        <v>506</v>
      </c>
      <c r="F33" s="102" t="s">
        <v>488</v>
      </c>
      <c r="G33" s="150" t="s">
        <v>489</v>
      </c>
      <c r="H33" s="67"/>
    </row>
    <row r="34" spans="1:8">
      <c r="A34" s="83" t="s">
        <v>554</v>
      </c>
      <c r="B34" s="84"/>
      <c r="C34" s="103">
        <f>+SALARIOS!C49*2</f>
        <v>51144</v>
      </c>
      <c r="D34" s="104">
        <f>+SALARIOS!C48</f>
        <v>1.7846558312967005</v>
      </c>
      <c r="E34" s="69">
        <f>(C34*D34)</f>
        <v>91274.437835838442</v>
      </c>
      <c r="F34" s="69">
        <v>3</v>
      </c>
      <c r="G34" s="105">
        <f>E34/F34</f>
        <v>30424.812611946149</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30424.812611946149</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54492.293873140763</v>
      </c>
    </row>
    <row r="41" spans="1:8" ht="15.75" thickBot="1">
      <c r="A41" s="63" t="s">
        <v>509</v>
      </c>
      <c r="B41" s="63"/>
      <c r="C41" s="61"/>
      <c r="D41" s="61"/>
      <c r="E41" s="61"/>
      <c r="F41" s="61"/>
      <c r="G41" s="61"/>
      <c r="H41" s="61"/>
    </row>
    <row r="42" spans="1:8">
      <c r="A42" s="110" t="s">
        <v>485</v>
      </c>
      <c r="B42" s="111"/>
      <c r="C42" s="111"/>
      <c r="D42" s="111"/>
      <c r="E42" s="112"/>
      <c r="F42" s="153" t="s">
        <v>510</v>
      </c>
      <c r="G42" s="152" t="s">
        <v>511</v>
      </c>
      <c r="H42" s="67"/>
    </row>
    <row r="43" spans="1:8">
      <c r="A43" s="83" t="s">
        <v>512</v>
      </c>
      <c r="B43" s="84"/>
      <c r="C43" s="84"/>
      <c r="D43" s="84"/>
      <c r="E43" s="85"/>
      <c r="F43" s="115">
        <f>(SALARIOS!C45)</f>
        <v>0.15</v>
      </c>
      <c r="G43" s="116">
        <f>++F43*H40</f>
        <v>8173.8440809711137</v>
      </c>
      <c r="H43" s="117"/>
    </row>
    <row r="44" spans="1:8">
      <c r="A44" s="83" t="s">
        <v>513</v>
      </c>
      <c r="B44" s="84"/>
      <c r="C44" s="84"/>
      <c r="D44" s="84"/>
      <c r="E44" s="85"/>
      <c r="F44" s="115">
        <f>(SALARIOS!C46)</f>
        <v>0.05</v>
      </c>
      <c r="G44" s="116">
        <f>+F44*H40</f>
        <v>2724.6146936570385</v>
      </c>
      <c r="H44" s="117"/>
    </row>
    <row r="45" spans="1:8" ht="15.75" thickBot="1">
      <c r="A45" s="89" t="s">
        <v>514</v>
      </c>
      <c r="B45" s="90"/>
      <c r="C45" s="90"/>
      <c r="D45" s="90"/>
      <c r="E45" s="91"/>
      <c r="F45" s="118">
        <f>(SALARIOS!C47)</f>
        <v>0.05</v>
      </c>
      <c r="G45" s="119">
        <f>+F45*H40</f>
        <v>2724.6146936570385</v>
      </c>
      <c r="H45" s="80"/>
    </row>
    <row r="46" spans="1:8" ht="15.75" thickBot="1">
      <c r="A46" s="61"/>
      <c r="B46" s="61"/>
      <c r="C46" s="61"/>
      <c r="D46" s="61"/>
      <c r="E46" s="61"/>
      <c r="F46" s="61"/>
      <c r="G46" s="81" t="s">
        <v>491</v>
      </c>
      <c r="H46" s="120">
        <f>SUM(G43:G45)</f>
        <v>13623.073468285191</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68115</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7"/>
  <sheetViews>
    <sheetView workbookViewId="0">
      <selection activeCell="E21" sqref="E21"/>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1042</v>
      </c>
      <c r="H7" s="61"/>
    </row>
    <row r="8" spans="1:8">
      <c r="A8" s="60" t="s">
        <v>1043</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H37*10%</f>
        <v>268.45422892893657</v>
      </c>
      <c r="H12" s="72"/>
    </row>
    <row r="13" spans="1:8">
      <c r="A13" s="304"/>
      <c r="B13" s="305"/>
      <c r="C13" s="306"/>
      <c r="D13" s="73"/>
      <c r="E13" s="74"/>
      <c r="F13" s="69"/>
      <c r="G13" s="71"/>
      <c r="H13" s="72"/>
    </row>
    <row r="14" spans="1:8">
      <c r="A14" s="304"/>
      <c r="B14" s="305"/>
      <c r="C14" s="306"/>
      <c r="D14" s="73"/>
      <c r="E14" s="74"/>
      <c r="F14" s="69"/>
      <c r="G14" s="71"/>
      <c r="H14" s="72"/>
    </row>
    <row r="15" spans="1:8">
      <c r="A15" s="304"/>
      <c r="B15" s="305"/>
      <c r="C15" s="306"/>
      <c r="D15" s="73"/>
      <c r="E15" s="74"/>
      <c r="F15" s="69"/>
      <c r="G15" s="71"/>
      <c r="H15" s="72"/>
    </row>
    <row r="16" spans="1:8" ht="15.75" thickBot="1">
      <c r="A16" s="307"/>
      <c r="B16" s="308"/>
      <c r="C16" s="309"/>
      <c r="D16" s="76"/>
      <c r="E16" s="77"/>
      <c r="F16" s="78"/>
      <c r="G16" s="79"/>
      <c r="H16" s="80"/>
    </row>
    <row r="17" spans="1:8" ht="15.75" thickBot="1">
      <c r="A17" s="61"/>
      <c r="B17" s="61"/>
      <c r="C17" s="61"/>
      <c r="D17" s="61"/>
      <c r="E17" s="61"/>
      <c r="F17" s="61"/>
      <c r="G17" s="81" t="s">
        <v>491</v>
      </c>
      <c r="H17" s="82">
        <f>SUM(G12:G16)</f>
        <v>268.45422892893657</v>
      </c>
    </row>
    <row r="18" spans="1:8" ht="15.75" thickBot="1">
      <c r="A18" s="63" t="s">
        <v>492</v>
      </c>
      <c r="B18" s="63"/>
      <c r="C18" s="61"/>
      <c r="D18" s="61"/>
      <c r="E18" s="61"/>
      <c r="F18" s="61"/>
      <c r="G18" s="61"/>
      <c r="H18" s="61"/>
    </row>
    <row r="19" spans="1:8">
      <c r="A19" s="310" t="s">
        <v>485</v>
      </c>
      <c r="B19" s="311"/>
      <c r="C19" s="312"/>
      <c r="D19" s="312" t="s">
        <v>493</v>
      </c>
      <c r="E19" s="312" t="s">
        <v>494</v>
      </c>
      <c r="F19" s="312" t="s">
        <v>495</v>
      </c>
      <c r="G19" s="311" t="s">
        <v>489</v>
      </c>
      <c r="H19" s="67"/>
    </row>
    <row r="20" spans="1:8">
      <c r="A20" s="127" t="s">
        <v>254</v>
      </c>
      <c r="B20" s="84"/>
      <c r="C20" s="85"/>
      <c r="D20" s="141" t="s">
        <v>28</v>
      </c>
      <c r="E20" s="139">
        <f>+MATERIALES!D37</f>
        <v>8000</v>
      </c>
      <c r="F20" s="163">
        <v>1</v>
      </c>
      <c r="G20" s="137">
        <f>+E20*F20</f>
        <v>8000</v>
      </c>
      <c r="H20" s="59"/>
    </row>
    <row r="21" spans="1:8">
      <c r="A21" s="127" t="s">
        <v>1959</v>
      </c>
      <c r="B21" s="84"/>
      <c r="C21" s="85"/>
      <c r="D21" s="68" t="s">
        <v>19</v>
      </c>
      <c r="E21" s="679">
        <f>MATERIALES!D61</f>
        <v>22500</v>
      </c>
      <c r="F21" s="69">
        <v>0.06</v>
      </c>
      <c r="G21" s="69">
        <f>E21*F21</f>
        <v>1350</v>
      </c>
      <c r="H21" s="59"/>
    </row>
    <row r="22" spans="1:8">
      <c r="A22" s="128"/>
      <c r="B22" s="129"/>
      <c r="C22" s="130"/>
      <c r="D22" s="131"/>
      <c r="E22" s="132"/>
      <c r="F22" s="315"/>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9350</v>
      </c>
    </row>
    <row r="25" spans="1:8" ht="15.75" thickBot="1">
      <c r="A25" s="92" t="s">
        <v>496</v>
      </c>
      <c r="B25" s="92"/>
      <c r="C25" s="90"/>
      <c r="D25" s="61"/>
      <c r="E25" s="61"/>
      <c r="F25" s="61"/>
      <c r="G25" s="61"/>
      <c r="H25" s="61"/>
    </row>
    <row r="26" spans="1:8">
      <c r="A26" s="298" t="s">
        <v>497</v>
      </c>
      <c r="B26" s="300"/>
      <c r="C26" s="93" t="s">
        <v>498</v>
      </c>
      <c r="D26" s="300" t="s">
        <v>499</v>
      </c>
      <c r="E26" s="300" t="s">
        <v>500</v>
      </c>
      <c r="F26" s="30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298" t="s">
        <v>503</v>
      </c>
      <c r="B32" s="300"/>
      <c r="C32" s="300" t="s">
        <v>504</v>
      </c>
      <c r="D32" s="300" t="s">
        <v>505</v>
      </c>
      <c r="E32" s="124" t="s">
        <v>506</v>
      </c>
      <c r="F32" s="102" t="s">
        <v>488</v>
      </c>
      <c r="G32" s="299" t="s">
        <v>489</v>
      </c>
      <c r="H32" s="67"/>
    </row>
    <row r="33" spans="1:8">
      <c r="A33" s="83" t="s">
        <v>553</v>
      </c>
      <c r="B33" s="84"/>
      <c r="C33" s="103">
        <f>+SALARIOS!C49*2</f>
        <v>51144</v>
      </c>
      <c r="D33" s="104">
        <f>+SALARIOS!C48</f>
        <v>1.7846558312967005</v>
      </c>
      <c r="E33" s="69">
        <f>+C33*D33</f>
        <v>91274.437835838442</v>
      </c>
      <c r="F33" s="69">
        <v>34</v>
      </c>
      <c r="G33" s="105">
        <f>+E33/F33</f>
        <v>2684.5422892893657</v>
      </c>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2684.5422892893657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12302.996518218302</v>
      </c>
    </row>
    <row r="40" spans="1:8" ht="15.75" thickBot="1">
      <c r="A40" s="63" t="s">
        <v>509</v>
      </c>
      <c r="B40" s="63"/>
      <c r="C40" s="61"/>
      <c r="D40" s="61"/>
      <c r="E40" s="61"/>
      <c r="F40" s="61"/>
      <c r="G40" s="61"/>
      <c r="H40" s="61"/>
    </row>
    <row r="41" spans="1:8">
      <c r="A41" s="233" t="s">
        <v>485</v>
      </c>
      <c r="B41" s="311"/>
      <c r="C41" s="311"/>
      <c r="D41" s="311"/>
      <c r="E41" s="312"/>
      <c r="F41" s="312" t="s">
        <v>510</v>
      </c>
      <c r="G41" s="311" t="s">
        <v>511</v>
      </c>
      <c r="H41" s="67"/>
    </row>
    <row r="42" spans="1:8">
      <c r="A42" s="83" t="s">
        <v>512</v>
      </c>
      <c r="B42" s="84"/>
      <c r="C42" s="84"/>
      <c r="D42" s="84"/>
      <c r="E42" s="85"/>
      <c r="F42" s="115">
        <f>+SALARIOS!C45</f>
        <v>0.15</v>
      </c>
      <c r="G42" s="116">
        <f>++F42*H39</f>
        <v>1845.4494777327452</v>
      </c>
      <c r="H42" s="117"/>
    </row>
    <row r="43" spans="1:8">
      <c r="A43" s="83" t="s">
        <v>513</v>
      </c>
      <c r="B43" s="84"/>
      <c r="C43" s="84"/>
      <c r="D43" s="84"/>
      <c r="E43" s="85"/>
      <c r="F43" s="115">
        <f>+SALARIOS!C46</f>
        <v>0.05</v>
      </c>
      <c r="G43" s="116">
        <f>+F43*H39</f>
        <v>615.14982591091518</v>
      </c>
      <c r="H43" s="117"/>
    </row>
    <row r="44" spans="1:8" ht="15.75" thickBot="1">
      <c r="A44" s="89" t="s">
        <v>514</v>
      </c>
      <c r="B44" s="90"/>
      <c r="C44" s="90"/>
      <c r="D44" s="90"/>
      <c r="E44" s="91"/>
      <c r="F44" s="118">
        <f>+SALARIOS!C47</f>
        <v>0.05</v>
      </c>
      <c r="G44" s="119">
        <f>+F44*H39</f>
        <v>615.14982591091518</v>
      </c>
      <c r="H44" s="80"/>
    </row>
    <row r="45" spans="1:8" ht="15.75" thickBot="1">
      <c r="A45" s="61"/>
      <c r="B45" s="61"/>
      <c r="C45" s="61"/>
      <c r="D45" s="61"/>
      <c r="E45" s="61"/>
      <c r="F45" s="61"/>
      <c r="G45" s="81" t="s">
        <v>491</v>
      </c>
      <c r="H45" s="120">
        <f>SUM(G42:G44)</f>
        <v>3075.7491295545756</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15379</v>
      </c>
    </row>
  </sheetData>
  <mergeCells count="1">
    <mergeCell ref="A3:C4"/>
  </mergeCell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8"/>
  <sheetViews>
    <sheetView workbookViewId="0">
      <selection activeCell="L41" sqref="L41"/>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1044</v>
      </c>
      <c r="H7" s="61"/>
    </row>
    <row r="8" spans="1:8">
      <c r="A8" s="60" t="s">
        <v>1045</v>
      </c>
      <c r="B8" s="62"/>
      <c r="C8" s="61"/>
      <c r="D8" s="62"/>
      <c r="E8" s="62"/>
      <c r="F8" s="62"/>
      <c r="G8" s="62" t="s">
        <v>964</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111.87052121587647</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111.87052121587647</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1058</v>
      </c>
      <c r="B21" s="84"/>
      <c r="C21" s="85"/>
      <c r="D21" s="141" t="s">
        <v>17</v>
      </c>
      <c r="E21" s="139">
        <f>'EQUIPOS '!D14</f>
        <v>44660</v>
      </c>
      <c r="F21" s="163">
        <v>1</v>
      </c>
      <c r="G21" s="137">
        <f>+E21*F21</f>
        <v>44660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44660</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553</v>
      </c>
      <c r="B34" s="84"/>
      <c r="C34" s="103">
        <f>+SALARIOS!C49*2</f>
        <v>51144</v>
      </c>
      <c r="D34" s="104">
        <f>+SALARIOS!C48</f>
        <v>1.7846558312967005</v>
      </c>
      <c r="E34" s="69">
        <f>+C34*D34</f>
        <v>91274.437835838442</v>
      </c>
      <c r="F34" s="69">
        <v>81.58935601963114</v>
      </c>
      <c r="G34" s="105">
        <f>+E34/F34</f>
        <v>1118.7052121587647</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1118.7052121587647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45890.575733374637</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6883.5863600061957</v>
      </c>
      <c r="H43" s="117"/>
    </row>
    <row r="44" spans="1:8">
      <c r="A44" s="83" t="s">
        <v>513</v>
      </c>
      <c r="B44" s="84"/>
      <c r="C44" s="84"/>
      <c r="D44" s="84"/>
      <c r="E44" s="85"/>
      <c r="F44" s="115">
        <f>+SALARIOS!C46</f>
        <v>0.05</v>
      </c>
      <c r="G44" s="116">
        <f>+F44*H40</f>
        <v>2294.5287866687318</v>
      </c>
      <c r="H44" s="117"/>
    </row>
    <row r="45" spans="1:8" ht="15.75" thickBot="1">
      <c r="A45" s="89" t="s">
        <v>514</v>
      </c>
      <c r="B45" s="90"/>
      <c r="C45" s="90"/>
      <c r="D45" s="90"/>
      <c r="E45" s="91"/>
      <c r="F45" s="118">
        <f>+SALARIOS!C47</f>
        <v>0.05</v>
      </c>
      <c r="G45" s="119">
        <f>+F45*H40</f>
        <v>2294.5287866687318</v>
      </c>
      <c r="H45" s="80"/>
    </row>
    <row r="46" spans="1:8" ht="15.75" thickBot="1">
      <c r="A46" s="61"/>
      <c r="B46" s="61"/>
      <c r="C46" s="61"/>
      <c r="D46" s="61"/>
      <c r="E46" s="61"/>
      <c r="F46" s="61"/>
      <c r="G46" s="81" t="s">
        <v>491</v>
      </c>
      <c r="H46" s="120">
        <f>SUM(G43:G45)</f>
        <v>11472.643933343659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57363</v>
      </c>
    </row>
  </sheetData>
  <mergeCells count="1">
    <mergeCell ref="A3:C4"/>
  </mergeCell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8"/>
  <sheetViews>
    <sheetView workbookViewId="0">
      <selection activeCell="H48" sqref="H4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1046</v>
      </c>
      <c r="H7" s="61"/>
    </row>
    <row r="8" spans="1:8">
      <c r="A8" s="60" t="s">
        <v>1047</v>
      </c>
      <c r="B8" s="62"/>
      <c r="C8" s="61"/>
      <c r="D8" s="62"/>
      <c r="E8" s="62"/>
      <c r="F8" s="62"/>
      <c r="G8" s="62" t="s">
        <v>1049</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11185.997214826475</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11185.997214826475</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1058</v>
      </c>
      <c r="B21" s="84"/>
      <c r="C21" s="85"/>
      <c r="D21" s="141" t="s">
        <v>17</v>
      </c>
      <c r="E21" s="139">
        <f>'EQUIPOS '!D14</f>
        <v>44660</v>
      </c>
      <c r="F21" s="163">
        <v>1</v>
      </c>
      <c r="G21" s="137">
        <f>+E21*F21</f>
        <v>44660</v>
      </c>
      <c r="H21" s="59"/>
    </row>
    <row r="22" spans="1:8">
      <c r="A22" s="127" t="s">
        <v>1059</v>
      </c>
      <c r="B22" s="84"/>
      <c r="C22" s="85"/>
      <c r="D22" s="68" t="s">
        <v>2</v>
      </c>
      <c r="E22" s="142">
        <f>+MATERIALES!D21</f>
        <v>272886</v>
      </c>
      <c r="F22" s="69">
        <v>1</v>
      </c>
      <c r="G22" s="69">
        <f>+E22*F22</f>
        <v>272886</v>
      </c>
      <c r="H22" s="59"/>
    </row>
    <row r="23" spans="1:8">
      <c r="A23" s="128" t="s">
        <v>1866</v>
      </c>
      <c r="B23" s="129"/>
      <c r="C23" s="130"/>
      <c r="D23" s="131" t="s">
        <v>2</v>
      </c>
      <c r="E23" s="132">
        <v>60000</v>
      </c>
      <c r="F23" s="315">
        <v>1</v>
      </c>
      <c r="G23" s="69">
        <f>+E23*F23</f>
        <v>60000</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377546</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659</v>
      </c>
      <c r="B34" s="84"/>
      <c r="C34" s="103">
        <f>+SALARIOS!C49*3</f>
        <v>76716</v>
      </c>
      <c r="D34" s="104">
        <f>+SALARIOS!C48</f>
        <v>1.7846558312967005</v>
      </c>
      <c r="E34" s="69">
        <f>+C34*D34</f>
        <v>136911.65675375768</v>
      </c>
      <c r="F34" s="69">
        <v>2.1978259406268705</v>
      </c>
      <c r="G34" s="105">
        <f>+E34/F34</f>
        <v>62294.130860384386</v>
      </c>
      <c r="H34" s="72"/>
    </row>
    <row r="35" spans="1:8">
      <c r="A35" s="83" t="s">
        <v>624</v>
      </c>
      <c r="B35" s="84"/>
      <c r="C35" s="103">
        <f>+SALARIOS!C50</f>
        <v>41660</v>
      </c>
      <c r="D35" s="104">
        <f>+SALARIOS!C48</f>
        <v>1.7846558312967005</v>
      </c>
      <c r="E35" s="69">
        <f>+C35*D35</f>
        <v>74348.76193182054</v>
      </c>
      <c r="F35" s="69">
        <v>1.5</v>
      </c>
      <c r="G35" s="105">
        <f>+E35/F35</f>
        <v>49565.841287880357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111859.97214826474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500591.96936309122</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75088.795404463686</v>
      </c>
      <c r="H43" s="117"/>
    </row>
    <row r="44" spans="1:8">
      <c r="A44" s="83" t="s">
        <v>513</v>
      </c>
      <c r="B44" s="84"/>
      <c r="C44" s="84"/>
      <c r="D44" s="84"/>
      <c r="E44" s="85"/>
      <c r="F44" s="115">
        <f>+SALARIOS!C46</f>
        <v>0.05</v>
      </c>
      <c r="G44" s="116">
        <f>+F44*H40</f>
        <v>25029.598468154563</v>
      </c>
      <c r="H44" s="117"/>
    </row>
    <row r="45" spans="1:8" ht="15.75" thickBot="1">
      <c r="A45" s="89" t="s">
        <v>514</v>
      </c>
      <c r="B45" s="90"/>
      <c r="C45" s="90"/>
      <c r="D45" s="90"/>
      <c r="E45" s="91"/>
      <c r="F45" s="118">
        <f>+SALARIOS!C47</f>
        <v>0.05</v>
      </c>
      <c r="G45" s="119">
        <f>+F45*H40</f>
        <v>25029.598468154563</v>
      </c>
      <c r="H45" s="80"/>
    </row>
    <row r="46" spans="1:8" ht="15.75" thickBot="1">
      <c r="A46" s="61"/>
      <c r="B46" s="61"/>
      <c r="C46" s="61"/>
      <c r="D46" s="61"/>
      <c r="E46" s="61"/>
      <c r="F46" s="61"/>
      <c r="G46" s="81" t="s">
        <v>491</v>
      </c>
      <c r="H46" s="120">
        <f>SUM(G43:G45)</f>
        <v>125147.99234077282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625740</v>
      </c>
    </row>
  </sheetData>
  <mergeCells count="1">
    <mergeCell ref="A3:C4"/>
  </mergeCell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8"/>
  <sheetViews>
    <sheetView workbookViewId="0">
      <selection activeCell="J39" sqref="J3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1050</v>
      </c>
      <c r="H7" s="61"/>
    </row>
    <row r="8" spans="1:8">
      <c r="A8" s="60" t="s">
        <v>1051</v>
      </c>
      <c r="B8" s="62"/>
      <c r="C8" s="61"/>
      <c r="D8" s="62"/>
      <c r="E8" s="62"/>
      <c r="F8" s="62"/>
      <c r="G8" s="62" t="s">
        <v>1049</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42869.424233804566</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42869.424233804566</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1058</v>
      </c>
      <c r="B21" s="84"/>
      <c r="C21" s="85"/>
      <c r="D21" s="141" t="s">
        <v>17</v>
      </c>
      <c r="E21" s="139">
        <f>'EQUIPOS '!D14</f>
        <v>44660</v>
      </c>
      <c r="F21" s="163">
        <v>1</v>
      </c>
      <c r="G21" s="137">
        <f>+E21*F21</f>
        <v>44660</v>
      </c>
      <c r="H21" s="59"/>
    </row>
    <row r="22" spans="1:8">
      <c r="A22" s="127" t="s">
        <v>1059</v>
      </c>
      <c r="B22" s="84"/>
      <c r="C22" s="85"/>
      <c r="D22" s="68" t="s">
        <v>2</v>
      </c>
      <c r="E22" s="142">
        <f>+MATERIALES!D21</f>
        <v>272886</v>
      </c>
      <c r="F22" s="69">
        <v>1</v>
      </c>
      <c r="G22" s="69">
        <f>+E22*F22</f>
        <v>272886</v>
      </c>
      <c r="H22" s="59"/>
    </row>
    <row r="23" spans="1:8">
      <c r="A23" s="128" t="s">
        <v>1866</v>
      </c>
      <c r="B23" s="129"/>
      <c r="C23" s="130"/>
      <c r="D23" s="131" t="s">
        <v>2</v>
      </c>
      <c r="E23" s="132">
        <v>60000</v>
      </c>
      <c r="F23" s="315">
        <v>1</v>
      </c>
      <c r="G23" s="69">
        <f>+E23*F23</f>
        <v>60000</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377546</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659</v>
      </c>
      <c r="B34" s="84"/>
      <c r="C34" s="103">
        <f>+SALARIOS!C49*3</f>
        <v>76716</v>
      </c>
      <c r="D34" s="104">
        <f>+SALARIOS!C48</f>
        <v>1.7846558312967005</v>
      </c>
      <c r="E34" s="69">
        <f>+C34*D34</f>
        <v>136911.65675375768</v>
      </c>
      <c r="F34" s="69">
        <v>0.44417364500616985</v>
      </c>
      <c r="G34" s="105">
        <f>+E34/F34</f>
        <v>308239.0373518354</v>
      </c>
      <c r="H34" s="72"/>
    </row>
    <row r="35" spans="1:8">
      <c r="A35" s="83" t="s">
        <v>624</v>
      </c>
      <c r="B35" s="84"/>
      <c r="C35" s="103">
        <f>+SALARIOS!C50</f>
        <v>41660</v>
      </c>
      <c r="D35" s="104">
        <f>+SALARIOS!C48</f>
        <v>1.7846558312967005</v>
      </c>
      <c r="E35" s="69">
        <f>+C35*D35</f>
        <v>74348.76193182054</v>
      </c>
      <c r="F35" s="69">
        <v>0.6172316251533676</v>
      </c>
      <c r="G35" s="105">
        <f>+E35/F35</f>
        <v>120455.20498621018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428694.24233804562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849109.66657185019</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127366.44998577752</v>
      </c>
      <c r="H43" s="117"/>
    </row>
    <row r="44" spans="1:8">
      <c r="A44" s="83" t="s">
        <v>513</v>
      </c>
      <c r="B44" s="84"/>
      <c r="C44" s="84"/>
      <c r="D44" s="84"/>
      <c r="E44" s="85"/>
      <c r="F44" s="115">
        <f>+SALARIOS!C46</f>
        <v>0.05</v>
      </c>
      <c r="G44" s="116">
        <f>+F44*H40</f>
        <v>42455.483328592512</v>
      </c>
      <c r="H44" s="117"/>
    </row>
    <row r="45" spans="1:8" ht="15.75" thickBot="1">
      <c r="A45" s="89" t="s">
        <v>514</v>
      </c>
      <c r="B45" s="90"/>
      <c r="C45" s="90"/>
      <c r="D45" s="90"/>
      <c r="E45" s="91"/>
      <c r="F45" s="118">
        <f>+SALARIOS!C47</f>
        <v>0.05</v>
      </c>
      <c r="G45" s="119">
        <f>+F45*H40</f>
        <v>42455.483328592512</v>
      </c>
      <c r="H45" s="80"/>
    </row>
    <row r="46" spans="1:8" ht="15.75" thickBot="1">
      <c r="A46" s="61"/>
      <c r="B46" s="61"/>
      <c r="C46" s="61"/>
      <c r="D46" s="61"/>
      <c r="E46" s="61"/>
      <c r="F46" s="61"/>
      <c r="G46" s="81" t="s">
        <v>491</v>
      </c>
      <c r="H46" s="120">
        <f>SUM(G43:G45)</f>
        <v>212277.41664296255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1061387</v>
      </c>
    </row>
  </sheetData>
  <mergeCells count="1">
    <mergeCell ref="A3:C4"/>
  </mergeCell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8"/>
  <sheetViews>
    <sheetView topLeftCell="A4" workbookViewId="0">
      <selection activeCell="J34" sqref="J3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1052</v>
      </c>
      <c r="H7" s="61"/>
    </row>
    <row r="8" spans="1:8">
      <c r="A8" s="60" t="s">
        <v>1053</v>
      </c>
      <c r="B8" s="62"/>
      <c r="C8" s="61"/>
      <c r="D8" s="62"/>
      <c r="E8" s="62"/>
      <c r="F8" s="62"/>
      <c r="G8" s="62" t="s">
        <v>1049</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56719.504822936608</v>
      </c>
      <c r="H12" s="72"/>
    </row>
    <row r="13" spans="1:8">
      <c r="D13" s="167"/>
      <c r="E13" s="167"/>
      <c r="F13" s="167"/>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56719.504822936608</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1058</v>
      </c>
      <c r="B21" s="84"/>
      <c r="C21" s="85"/>
      <c r="D21" s="141" t="s">
        <v>17</v>
      </c>
      <c r="E21" s="139">
        <f>'EQUIPOS '!D14</f>
        <v>44660</v>
      </c>
      <c r="F21" s="163">
        <v>1</v>
      </c>
      <c r="G21" s="137">
        <f>+E21*F21</f>
        <v>44660</v>
      </c>
      <c r="H21" s="59"/>
    </row>
    <row r="22" spans="1:8">
      <c r="A22" s="127" t="s">
        <v>1059</v>
      </c>
      <c r="B22" s="84"/>
      <c r="C22" s="85"/>
      <c r="D22" s="68" t="s">
        <v>2</v>
      </c>
      <c r="E22" s="142">
        <f>+MATERIALES!D21</f>
        <v>272886</v>
      </c>
      <c r="F22" s="69">
        <v>1</v>
      </c>
      <c r="G22" s="69">
        <f>+E22*F22</f>
        <v>272886</v>
      </c>
      <c r="H22" s="59"/>
    </row>
    <row r="23" spans="1:8">
      <c r="A23" s="128" t="s">
        <v>1866</v>
      </c>
      <c r="B23" s="129"/>
      <c r="C23" s="130"/>
      <c r="D23" s="131" t="s">
        <v>2</v>
      </c>
      <c r="E23" s="132">
        <v>60000</v>
      </c>
      <c r="F23" s="315">
        <v>1</v>
      </c>
      <c r="G23" s="69">
        <f>+E23*F23</f>
        <v>60000</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377546</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656</v>
      </c>
      <c r="B34" s="84"/>
      <c r="C34" s="103">
        <f>+SALARIOS!C49*4</f>
        <v>102288</v>
      </c>
      <c r="D34" s="104">
        <f>+SALARIOS!C48</f>
        <v>1.7846558312967005</v>
      </c>
      <c r="E34" s="69">
        <f>+C34*D34</f>
        <v>182548.87567167688</v>
      </c>
      <c r="F34" s="69">
        <v>0.40998527355613412</v>
      </c>
      <c r="G34" s="105">
        <f>+E34/F34</f>
        <v>445257.15299060068</v>
      </c>
      <c r="H34" s="72"/>
    </row>
    <row r="35" spans="1:8">
      <c r="A35" s="83" t="s">
        <v>624</v>
      </c>
      <c r="B35" s="84"/>
      <c r="C35" s="103">
        <f>+SALARIOS!C50</f>
        <v>41660</v>
      </c>
      <c r="D35" s="104">
        <f>+SALARIOS!C48</f>
        <v>1.7846558312967005</v>
      </c>
      <c r="E35" s="69">
        <f>+C35*D35</f>
        <v>74348.76193182054</v>
      </c>
      <c r="F35" s="69">
        <v>0.60972646597055769</v>
      </c>
      <c r="G35" s="105">
        <f>+E35/F35</f>
        <v>121937.89523876543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567195.04822936608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1001460.5530523027</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150219.08295784538</v>
      </c>
      <c r="H43" s="117"/>
    </row>
    <row r="44" spans="1:8">
      <c r="A44" s="83" t="s">
        <v>513</v>
      </c>
      <c r="B44" s="84"/>
      <c r="C44" s="84"/>
      <c r="D44" s="84"/>
      <c r="E44" s="85"/>
      <c r="F44" s="115">
        <f>+SALARIOS!C46</f>
        <v>0.05</v>
      </c>
      <c r="G44" s="116">
        <f>+F44*H40</f>
        <v>50073.027652615136</v>
      </c>
      <c r="H44" s="117"/>
    </row>
    <row r="45" spans="1:8" ht="15.75" thickBot="1">
      <c r="A45" s="89" t="s">
        <v>514</v>
      </c>
      <c r="B45" s="90"/>
      <c r="C45" s="90"/>
      <c r="D45" s="90"/>
      <c r="E45" s="91"/>
      <c r="F45" s="118">
        <f>+SALARIOS!C47</f>
        <v>0.05</v>
      </c>
      <c r="G45" s="119">
        <f>+F45*H40</f>
        <v>50073.027652615136</v>
      </c>
      <c r="H45" s="80"/>
    </row>
    <row r="46" spans="1:8" ht="15.75" thickBot="1">
      <c r="A46" s="61"/>
      <c r="B46" s="61"/>
      <c r="C46" s="61"/>
      <c r="D46" s="61"/>
      <c r="E46" s="61"/>
      <c r="F46" s="61"/>
      <c r="G46" s="81" t="s">
        <v>491</v>
      </c>
      <c r="H46" s="120">
        <f>SUM(G43:G45)</f>
        <v>250365.13826307564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1251826</v>
      </c>
    </row>
  </sheetData>
  <mergeCells count="1">
    <mergeCell ref="A3:C4"/>
  </mergeCell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295" t="s">
        <v>520</v>
      </c>
      <c r="B5" s="296"/>
      <c r="C5" s="297"/>
      <c r="D5" s="301"/>
      <c r="E5" s="302"/>
      <c r="F5" s="302"/>
      <c r="G5" s="302"/>
      <c r="H5" s="303"/>
    </row>
    <row r="6" spans="1:8">
      <c r="A6" s="60"/>
      <c r="B6" s="61"/>
      <c r="C6" s="61"/>
      <c r="D6" s="61"/>
      <c r="E6" s="61"/>
      <c r="F6" s="61"/>
      <c r="G6" s="61"/>
      <c r="H6" s="61"/>
    </row>
    <row r="7" spans="1:8">
      <c r="A7" s="60" t="s">
        <v>959</v>
      </c>
      <c r="B7" s="62"/>
      <c r="C7" s="61"/>
      <c r="D7" s="16"/>
      <c r="E7" s="62"/>
      <c r="F7" s="16"/>
      <c r="G7" s="62" t="s">
        <v>1054</v>
      </c>
      <c r="H7" s="61"/>
    </row>
    <row r="8" spans="1:8">
      <c r="A8" s="60" t="s">
        <v>1055</v>
      </c>
      <c r="B8" s="62"/>
      <c r="C8" s="61"/>
      <c r="D8" s="62"/>
      <c r="E8" s="62"/>
      <c r="F8" s="62"/>
      <c r="G8" s="62" t="s">
        <v>1049</v>
      </c>
      <c r="H8" s="61"/>
    </row>
    <row r="9" spans="1:8">
      <c r="A9" s="62"/>
      <c r="B9" s="62"/>
      <c r="C9" s="61"/>
      <c r="D9" s="62"/>
      <c r="E9" s="62"/>
      <c r="F9" s="62"/>
      <c r="G9" s="62"/>
      <c r="H9" s="61"/>
    </row>
    <row r="10" spans="1:8" ht="15.75" thickBot="1">
      <c r="A10" s="63" t="s">
        <v>484</v>
      </c>
      <c r="B10" s="63"/>
      <c r="C10" s="61"/>
      <c r="D10" s="61"/>
      <c r="E10" s="61"/>
      <c r="F10" s="61"/>
      <c r="G10" s="61"/>
      <c r="H10" s="61"/>
    </row>
    <row r="11" spans="1:8">
      <c r="A11" s="298" t="s">
        <v>485</v>
      </c>
      <c r="B11" s="299"/>
      <c r="C11" s="300"/>
      <c r="D11" s="300" t="s">
        <v>486</v>
      </c>
      <c r="E11" s="65" t="s">
        <v>487</v>
      </c>
      <c r="F11" s="300" t="s">
        <v>488</v>
      </c>
      <c r="G11" s="299" t="s">
        <v>489</v>
      </c>
      <c r="H11" s="67"/>
    </row>
    <row r="12" spans="1:8">
      <c r="A12" s="175" t="s">
        <v>1327</v>
      </c>
      <c r="B12" s="176"/>
      <c r="C12" s="174"/>
      <c r="D12" s="174"/>
      <c r="E12" s="173"/>
      <c r="F12" s="69"/>
      <c r="G12" s="173">
        <f>H38*10%</f>
        <v>147629.93172288875</v>
      </c>
      <c r="H12" s="72"/>
    </row>
    <row r="13" spans="1:8">
      <c r="A13" s="175"/>
      <c r="B13" s="176"/>
      <c r="C13" s="174"/>
      <c r="D13" s="174"/>
      <c r="E13" s="173"/>
      <c r="F13" s="69"/>
      <c r="G13" s="173"/>
      <c r="H13" s="72"/>
    </row>
    <row r="14" spans="1:8">
      <c r="A14" s="304"/>
      <c r="B14" s="305"/>
      <c r="C14" s="306"/>
      <c r="D14" s="73"/>
      <c r="E14" s="74"/>
      <c r="F14" s="69"/>
      <c r="G14" s="71"/>
      <c r="H14" s="72"/>
    </row>
    <row r="15" spans="1:8">
      <c r="A15" s="304"/>
      <c r="B15" s="305"/>
      <c r="C15" s="306"/>
      <c r="D15" s="73"/>
      <c r="E15" s="74"/>
      <c r="F15" s="69"/>
      <c r="G15" s="71"/>
      <c r="H15" s="72"/>
    </row>
    <row r="16" spans="1:8">
      <c r="A16" s="304"/>
      <c r="B16" s="305"/>
      <c r="C16" s="306"/>
      <c r="D16" s="73"/>
      <c r="E16" s="74"/>
      <c r="F16" s="69"/>
      <c r="G16" s="71"/>
      <c r="H16" s="72"/>
    </row>
    <row r="17" spans="1:8" ht="15.75" thickBot="1">
      <c r="A17" s="307"/>
      <c r="B17" s="308"/>
      <c r="C17" s="309"/>
      <c r="D17" s="76"/>
      <c r="E17" s="77"/>
      <c r="F17" s="78"/>
      <c r="G17" s="79"/>
      <c r="H17" s="80"/>
    </row>
    <row r="18" spans="1:8" ht="15.75" thickBot="1">
      <c r="A18" s="61"/>
      <c r="B18" s="61"/>
      <c r="C18" s="61"/>
      <c r="D18" s="61"/>
      <c r="E18" s="61"/>
      <c r="F18" s="61"/>
      <c r="G18" s="81" t="s">
        <v>491</v>
      </c>
      <c r="H18" s="82">
        <f>SUM(G12:G17)</f>
        <v>147629.93172288875</v>
      </c>
    </row>
    <row r="19" spans="1:8" ht="15.75" thickBot="1">
      <c r="A19" s="63" t="s">
        <v>492</v>
      </c>
      <c r="B19" s="63"/>
      <c r="C19" s="61"/>
      <c r="D19" s="61"/>
      <c r="E19" s="61"/>
      <c r="F19" s="61"/>
      <c r="G19" s="61"/>
      <c r="H19" s="61"/>
    </row>
    <row r="20" spans="1:8">
      <c r="A20" s="310" t="s">
        <v>485</v>
      </c>
      <c r="B20" s="311"/>
      <c r="C20" s="312"/>
      <c r="D20" s="312" t="s">
        <v>493</v>
      </c>
      <c r="E20" s="312" t="s">
        <v>494</v>
      </c>
      <c r="F20" s="312" t="s">
        <v>495</v>
      </c>
      <c r="G20" s="311" t="s">
        <v>489</v>
      </c>
      <c r="H20" s="67"/>
    </row>
    <row r="21" spans="1:8">
      <c r="A21" s="127" t="s">
        <v>1058</v>
      </c>
      <c r="B21" s="84"/>
      <c r="C21" s="85"/>
      <c r="D21" s="141" t="s">
        <v>17</v>
      </c>
      <c r="E21" s="139">
        <f>'EQUIPOS '!D14</f>
        <v>44660</v>
      </c>
      <c r="F21" s="163">
        <v>2</v>
      </c>
      <c r="G21" s="137">
        <f>+E21*F21</f>
        <v>89320</v>
      </c>
      <c r="H21" s="59"/>
    </row>
    <row r="22" spans="1:8">
      <c r="A22" s="127" t="s">
        <v>1059</v>
      </c>
      <c r="B22" s="84"/>
      <c r="C22" s="85"/>
      <c r="D22" s="68" t="s">
        <v>2</v>
      </c>
      <c r="E22" s="142">
        <f>+MATERIALES!D21</f>
        <v>272886</v>
      </c>
      <c r="F22" s="69">
        <v>1</v>
      </c>
      <c r="G22" s="69">
        <f>+E22*F22</f>
        <v>272886</v>
      </c>
      <c r="H22" s="59"/>
    </row>
    <row r="23" spans="1:8">
      <c r="A23" s="128" t="s">
        <v>1866</v>
      </c>
      <c r="B23" s="129"/>
      <c r="C23" s="130"/>
      <c r="D23" s="131" t="s">
        <v>2</v>
      </c>
      <c r="E23" s="132">
        <v>60000</v>
      </c>
      <c r="F23" s="315">
        <v>1</v>
      </c>
      <c r="G23" s="69">
        <f>+E23*F23</f>
        <v>60000</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422206</v>
      </c>
    </row>
    <row r="26" spans="1:8" ht="15.75" thickBot="1">
      <c r="A26" s="92" t="s">
        <v>496</v>
      </c>
      <c r="B26" s="92"/>
      <c r="C26" s="90"/>
      <c r="D26" s="61"/>
      <c r="E26" s="61"/>
      <c r="F26" s="61"/>
      <c r="G26" s="61"/>
      <c r="H26" s="61"/>
    </row>
    <row r="27" spans="1:8">
      <c r="A27" s="298" t="s">
        <v>497</v>
      </c>
      <c r="B27" s="300"/>
      <c r="C27" s="93" t="s">
        <v>498</v>
      </c>
      <c r="D27" s="300" t="s">
        <v>499</v>
      </c>
      <c r="E27" s="300" t="s">
        <v>500</v>
      </c>
      <c r="F27" s="30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298" t="s">
        <v>503</v>
      </c>
      <c r="B33" s="300"/>
      <c r="C33" s="300" t="s">
        <v>504</v>
      </c>
      <c r="D33" s="300" t="s">
        <v>505</v>
      </c>
      <c r="E33" s="124" t="s">
        <v>506</v>
      </c>
      <c r="F33" s="102" t="s">
        <v>488</v>
      </c>
      <c r="G33" s="299" t="s">
        <v>489</v>
      </c>
      <c r="H33" s="67"/>
    </row>
    <row r="34" spans="1:8">
      <c r="A34" s="83" t="s">
        <v>667</v>
      </c>
      <c r="B34" s="84"/>
      <c r="C34" s="103">
        <f>+SALARIOS!C49*5</f>
        <v>127860</v>
      </c>
      <c r="D34" s="104">
        <f>+SALARIOS!C48</f>
        <v>1.7846558312967005</v>
      </c>
      <c r="E34" s="69">
        <f>+C34*D34</f>
        <v>228186.09458959612</v>
      </c>
      <c r="F34" s="69">
        <v>0.20045330042357118</v>
      </c>
      <c r="G34" s="105">
        <f>+E34/F34</f>
        <v>1138350.3993569759</v>
      </c>
      <c r="H34" s="72"/>
    </row>
    <row r="35" spans="1:8">
      <c r="A35" s="83" t="s">
        <v>624</v>
      </c>
      <c r="B35" s="84"/>
      <c r="C35" s="103">
        <f>+SALARIOS!C50</f>
        <v>41660</v>
      </c>
      <c r="D35" s="334">
        <f>+SALARIOS!C48</f>
        <v>1.7846558312967005</v>
      </c>
      <c r="E35" s="69">
        <f>+C35*D35</f>
        <v>74348.76193182054</v>
      </c>
      <c r="F35" s="69">
        <v>0.22</v>
      </c>
      <c r="G35" s="105">
        <f>+E35/F35</f>
        <v>337948.91787191154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1476299.3172288875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2046135.2489517762</v>
      </c>
    </row>
    <row r="41" spans="1:8" ht="15.75" thickBot="1">
      <c r="A41" s="63" t="s">
        <v>509</v>
      </c>
      <c r="B41" s="63"/>
      <c r="C41" s="61"/>
      <c r="D41" s="61"/>
      <c r="E41" s="61"/>
      <c r="F41" s="61"/>
      <c r="G41" s="61"/>
      <c r="H41" s="61"/>
    </row>
    <row r="42" spans="1:8">
      <c r="A42" s="233" t="s">
        <v>485</v>
      </c>
      <c r="B42" s="311"/>
      <c r="C42" s="311"/>
      <c r="D42" s="311"/>
      <c r="E42" s="312"/>
      <c r="F42" s="312" t="s">
        <v>510</v>
      </c>
      <c r="G42" s="311" t="s">
        <v>511</v>
      </c>
      <c r="H42" s="67"/>
    </row>
    <row r="43" spans="1:8">
      <c r="A43" s="83" t="s">
        <v>512</v>
      </c>
      <c r="B43" s="84"/>
      <c r="C43" s="84"/>
      <c r="D43" s="84"/>
      <c r="E43" s="85"/>
      <c r="F43" s="115">
        <f>+SALARIOS!C45</f>
        <v>0.15</v>
      </c>
      <c r="G43" s="116">
        <f>++F43*H40</f>
        <v>306920.28734276642</v>
      </c>
      <c r="H43" s="117"/>
    </row>
    <row r="44" spans="1:8">
      <c r="A44" s="83" t="s">
        <v>513</v>
      </c>
      <c r="B44" s="84"/>
      <c r="C44" s="84"/>
      <c r="D44" s="84"/>
      <c r="E44" s="85"/>
      <c r="F44" s="115">
        <f>+SALARIOS!C46</f>
        <v>0.05</v>
      </c>
      <c r="G44" s="116">
        <f>+F44*H40</f>
        <v>102306.76244758882</v>
      </c>
      <c r="H44" s="117"/>
    </row>
    <row r="45" spans="1:8" ht="15.75" thickBot="1">
      <c r="A45" s="89" t="s">
        <v>514</v>
      </c>
      <c r="B45" s="90"/>
      <c r="C45" s="90"/>
      <c r="D45" s="90"/>
      <c r="E45" s="91"/>
      <c r="F45" s="118">
        <f>+SALARIOS!C47</f>
        <v>0.05</v>
      </c>
      <c r="G45" s="119">
        <f>+F45*H40</f>
        <v>102306.76244758882</v>
      </c>
      <c r="H45" s="80"/>
    </row>
    <row r="46" spans="1:8" ht="15.75" thickBot="1">
      <c r="A46" s="61"/>
      <c r="B46" s="61"/>
      <c r="C46" s="61"/>
      <c r="D46" s="61"/>
      <c r="E46" s="61"/>
      <c r="F46" s="61"/>
      <c r="G46" s="81" t="s">
        <v>491</v>
      </c>
      <c r="H46" s="120">
        <f>SUM(G43:G45)</f>
        <v>511533.8122379441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2557669</v>
      </c>
    </row>
  </sheetData>
  <mergeCells count="1">
    <mergeCell ref="A3:C4"/>
  </mergeCell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1"/>
  <sheetViews>
    <sheetView topLeftCell="A37" workbookViewId="0">
      <selection activeCell="G56" sqref="G55:G5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821" t="s">
        <v>520</v>
      </c>
      <c r="B5" s="822"/>
      <c r="C5" s="823"/>
      <c r="D5" s="827"/>
      <c r="E5" s="828"/>
      <c r="F5" s="828"/>
      <c r="G5" s="828"/>
      <c r="H5" s="829"/>
    </row>
    <row r="6" spans="1:8">
      <c r="A6" s="60"/>
      <c r="B6" s="61"/>
      <c r="C6" s="61"/>
      <c r="D6" s="61"/>
      <c r="E6" s="61"/>
      <c r="F6" s="61"/>
      <c r="G6" s="61"/>
      <c r="H6" s="61"/>
    </row>
    <row r="7" spans="1:8">
      <c r="A7" s="60" t="s">
        <v>959</v>
      </c>
      <c r="B7" s="62"/>
      <c r="C7" s="61"/>
      <c r="D7" s="16"/>
      <c r="E7" s="62"/>
      <c r="F7" s="16"/>
      <c r="G7" s="62" t="s">
        <v>1933</v>
      </c>
      <c r="H7" s="61"/>
    </row>
    <row r="8" spans="1:8">
      <c r="A8" s="60" t="s">
        <v>1985</v>
      </c>
      <c r="B8" s="62"/>
      <c r="C8" s="61"/>
      <c r="D8" s="62"/>
      <c r="E8" s="62"/>
      <c r="F8" s="62"/>
      <c r="G8" s="62" t="s">
        <v>1967</v>
      </c>
      <c r="H8" s="61"/>
    </row>
    <row r="9" spans="1:8">
      <c r="A9" s="62"/>
      <c r="B9" s="62"/>
      <c r="C9" s="61"/>
      <c r="D9" s="62"/>
      <c r="E9" s="62"/>
      <c r="F9" s="62"/>
      <c r="G9" s="62"/>
      <c r="H9" s="61"/>
    </row>
    <row r="10" spans="1:8" ht="15.75" thickBot="1">
      <c r="A10" s="63" t="s">
        <v>484</v>
      </c>
      <c r="B10" s="63"/>
      <c r="C10" s="61"/>
      <c r="D10" s="61"/>
      <c r="E10" s="61"/>
      <c r="F10" s="61"/>
      <c r="G10" s="61"/>
      <c r="H10" s="61"/>
    </row>
    <row r="11" spans="1:8">
      <c r="A11" s="824" t="s">
        <v>485</v>
      </c>
      <c r="B11" s="825"/>
      <c r="C11" s="826"/>
      <c r="D11" s="826" t="s">
        <v>486</v>
      </c>
      <c r="E11" s="65" t="s">
        <v>487</v>
      </c>
      <c r="F11" s="826" t="s">
        <v>488</v>
      </c>
      <c r="G11" s="825" t="s">
        <v>489</v>
      </c>
      <c r="H11" s="67"/>
    </row>
    <row r="12" spans="1:8">
      <c r="A12" s="175" t="s">
        <v>1327</v>
      </c>
      <c r="B12" s="176"/>
      <c r="C12" s="174"/>
      <c r="D12" s="174"/>
      <c r="E12" s="173"/>
      <c r="F12" s="69"/>
      <c r="G12" s="173">
        <f>H38*10%</f>
        <v>630</v>
      </c>
      <c r="H12" s="72"/>
    </row>
    <row r="13" spans="1:8">
      <c r="A13" s="175"/>
      <c r="B13" s="176"/>
      <c r="C13" s="174"/>
      <c r="D13" s="174"/>
      <c r="E13" s="173"/>
      <c r="F13" s="69"/>
      <c r="G13" s="173"/>
      <c r="H13" s="72"/>
    </row>
    <row r="14" spans="1:8">
      <c r="A14" s="830"/>
      <c r="B14" s="831"/>
      <c r="C14" s="832"/>
      <c r="D14" s="73"/>
      <c r="E14" s="74"/>
      <c r="F14" s="69"/>
      <c r="G14" s="71"/>
      <c r="H14" s="72"/>
    </row>
    <row r="15" spans="1:8">
      <c r="A15" s="830"/>
      <c r="B15" s="831"/>
      <c r="C15" s="832"/>
      <c r="D15" s="73"/>
      <c r="E15" s="74"/>
      <c r="F15" s="69"/>
      <c r="G15" s="71"/>
      <c r="H15" s="72"/>
    </row>
    <row r="16" spans="1:8">
      <c r="A16" s="830"/>
      <c r="B16" s="831"/>
      <c r="C16" s="832"/>
      <c r="D16" s="73"/>
      <c r="E16" s="74"/>
      <c r="F16" s="69"/>
      <c r="G16" s="71"/>
      <c r="H16" s="72"/>
    </row>
    <row r="17" spans="1:8" ht="15.75" thickBot="1">
      <c r="A17" s="833"/>
      <c r="B17" s="834"/>
      <c r="C17" s="835"/>
      <c r="D17" s="76"/>
      <c r="E17" s="77"/>
      <c r="F17" s="78"/>
      <c r="G17" s="79"/>
      <c r="H17" s="80"/>
    </row>
    <row r="18" spans="1:8" ht="15.75" thickBot="1">
      <c r="A18" s="61"/>
      <c r="B18" s="61"/>
      <c r="C18" s="61"/>
      <c r="D18" s="61"/>
      <c r="E18" s="61"/>
      <c r="F18" s="61"/>
      <c r="G18" s="81" t="s">
        <v>491</v>
      </c>
      <c r="H18" s="82">
        <f>SUM(G12:G17)</f>
        <v>630</v>
      </c>
    </row>
    <row r="19" spans="1:8" ht="15.75" thickBot="1">
      <c r="A19" s="63" t="s">
        <v>492</v>
      </c>
      <c r="B19" s="63"/>
      <c r="C19" s="61"/>
      <c r="D19" s="61"/>
      <c r="E19" s="61"/>
      <c r="F19" s="61"/>
      <c r="G19" s="61"/>
      <c r="H19" s="61"/>
    </row>
    <row r="20" spans="1:8">
      <c r="A20" s="836" t="s">
        <v>485</v>
      </c>
      <c r="B20" s="837"/>
      <c r="C20" s="838"/>
      <c r="D20" s="838" t="s">
        <v>493</v>
      </c>
      <c r="E20" s="838" t="s">
        <v>494</v>
      </c>
      <c r="F20" s="838" t="s">
        <v>495</v>
      </c>
      <c r="G20" s="837" t="s">
        <v>489</v>
      </c>
      <c r="H20" s="67"/>
    </row>
    <row r="21" spans="1:8">
      <c r="A21" s="127" t="s">
        <v>1934</v>
      </c>
      <c r="B21" s="84"/>
      <c r="C21" s="85"/>
      <c r="D21" s="141" t="s">
        <v>1</v>
      </c>
      <c r="E21" s="139">
        <f>MATERIALES!D28</f>
        <v>1200</v>
      </c>
      <c r="F21" s="163">
        <v>3.3040000000000007</v>
      </c>
      <c r="G21" s="137">
        <f>+E21*F21</f>
        <v>3964.8000000000006</v>
      </c>
      <c r="H21" s="59"/>
    </row>
    <row r="22" spans="1:8">
      <c r="A22" s="127" t="s">
        <v>1966</v>
      </c>
      <c r="B22" s="84"/>
      <c r="C22" s="85"/>
      <c r="D22" s="68" t="s">
        <v>1</v>
      </c>
      <c r="E22" s="142">
        <f>MATERIALES!D56</f>
        <v>4166.666666666667</v>
      </c>
      <c r="F22" s="69">
        <v>0.4</v>
      </c>
      <c r="G22" s="69">
        <f>+E22*F22</f>
        <v>1666.666666666667</v>
      </c>
      <c r="H22" s="59"/>
    </row>
    <row r="23" spans="1:8">
      <c r="A23" s="128" t="s">
        <v>1835</v>
      </c>
      <c r="B23" s="129"/>
      <c r="C23" s="130"/>
      <c r="D23" s="131" t="s">
        <v>234</v>
      </c>
      <c r="E23" s="132">
        <f>MATERIALES!D64</f>
        <v>1575</v>
      </c>
      <c r="F23" s="133">
        <v>0.46095238095238095</v>
      </c>
      <c r="G23" s="69">
        <f>+E23*F23</f>
        <v>726</v>
      </c>
      <c r="H23" s="59"/>
    </row>
    <row r="24" spans="1:8" ht="15.75" thickBot="1">
      <c r="A24" s="89"/>
      <c r="B24" s="90"/>
      <c r="C24" s="91"/>
      <c r="D24" s="76"/>
      <c r="E24" s="77"/>
      <c r="F24" s="78"/>
      <c r="G24" s="69"/>
      <c r="H24" s="80"/>
    </row>
    <row r="25" spans="1:8" ht="15.75" thickBot="1">
      <c r="A25" s="61"/>
      <c r="B25" s="61"/>
      <c r="C25" s="61"/>
      <c r="D25" s="61"/>
      <c r="E25" s="61"/>
      <c r="F25" s="61"/>
      <c r="G25" s="81" t="s">
        <v>491</v>
      </c>
      <c r="H25" s="82">
        <f>SUM(G21:G24)</f>
        <v>6357.4666666666672</v>
      </c>
    </row>
    <row r="26" spans="1:8" ht="15.75" thickBot="1">
      <c r="A26" s="92" t="s">
        <v>496</v>
      </c>
      <c r="B26" s="92"/>
      <c r="C26" s="90"/>
      <c r="D26" s="61"/>
      <c r="E26" s="61"/>
      <c r="F26" s="61"/>
      <c r="G26" s="61"/>
      <c r="H26" s="61"/>
    </row>
    <row r="27" spans="1:8">
      <c r="A27" s="824" t="s">
        <v>497</v>
      </c>
      <c r="B27" s="826"/>
      <c r="C27" s="93" t="s">
        <v>498</v>
      </c>
      <c r="D27" s="826" t="s">
        <v>499</v>
      </c>
      <c r="E27" s="826" t="s">
        <v>500</v>
      </c>
      <c r="F27" s="82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824" t="s">
        <v>503</v>
      </c>
      <c r="B33" s="826"/>
      <c r="C33" s="826" t="s">
        <v>504</v>
      </c>
      <c r="D33" s="826" t="s">
        <v>505</v>
      </c>
      <c r="E33" s="124" t="s">
        <v>506</v>
      </c>
      <c r="F33" s="102" t="s">
        <v>488</v>
      </c>
      <c r="G33" s="825" t="s">
        <v>489</v>
      </c>
      <c r="H33" s="67"/>
    </row>
    <row r="34" spans="1:8">
      <c r="A34" s="83" t="s">
        <v>697</v>
      </c>
      <c r="B34" s="84"/>
      <c r="C34" s="103">
        <f>+SALARIOS!C49</f>
        <v>25572</v>
      </c>
      <c r="D34" s="104">
        <f>+SALARIOS!C48</f>
        <v>1.7846558312967005</v>
      </c>
      <c r="E34" s="69">
        <f>+C34*D34</f>
        <v>45637.218917919221</v>
      </c>
      <c r="F34" s="69">
        <v>5.6588941321201812E-2</v>
      </c>
      <c r="G34" s="105">
        <f>+E34*F34</f>
        <v>2582.5619034089718</v>
      </c>
      <c r="H34" s="72"/>
    </row>
    <row r="35" spans="1:8">
      <c r="A35" s="83" t="s">
        <v>624</v>
      </c>
      <c r="B35" s="84"/>
      <c r="C35" s="103">
        <f>+SALARIOS!C50</f>
        <v>41660</v>
      </c>
      <c r="D35" s="334">
        <f>+SALARIOS!C48</f>
        <v>1.7846558312967005</v>
      </c>
      <c r="E35" s="69">
        <f>+C35*D35</f>
        <v>74348.76193182054</v>
      </c>
      <c r="F35" s="69">
        <v>0.05</v>
      </c>
      <c r="G35" s="105">
        <f>+E35*F35</f>
        <v>3717.4380965910273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6299.9999999999991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13287.466666666667</v>
      </c>
    </row>
    <row r="41" spans="1:8" ht="15.75" thickBot="1">
      <c r="A41" s="63" t="s">
        <v>509</v>
      </c>
      <c r="B41" s="63"/>
      <c r="C41" s="61"/>
      <c r="D41" s="61"/>
      <c r="E41" s="61"/>
      <c r="F41" s="61"/>
      <c r="G41" s="61"/>
      <c r="H41" s="61"/>
    </row>
    <row r="42" spans="1:8">
      <c r="A42" s="233" t="s">
        <v>485</v>
      </c>
      <c r="B42" s="837"/>
      <c r="C42" s="837"/>
      <c r="D42" s="837"/>
      <c r="E42" s="838"/>
      <c r="F42" s="838" t="s">
        <v>510</v>
      </c>
      <c r="G42" s="837" t="s">
        <v>511</v>
      </c>
      <c r="H42" s="67"/>
    </row>
    <row r="43" spans="1:8">
      <c r="A43" s="83" t="s">
        <v>512</v>
      </c>
      <c r="B43" s="84"/>
      <c r="C43" s="84"/>
      <c r="D43" s="84"/>
      <c r="E43" s="85"/>
      <c r="F43" s="115">
        <f>+SALARIOS!C45</f>
        <v>0.15</v>
      </c>
      <c r="G43" s="116">
        <f>++F43*H40</f>
        <v>1993.12</v>
      </c>
      <c r="H43" s="117"/>
    </row>
    <row r="44" spans="1:8">
      <c r="A44" s="83" t="s">
        <v>513</v>
      </c>
      <c r="B44" s="84"/>
      <c r="C44" s="84"/>
      <c r="D44" s="84"/>
      <c r="E44" s="85"/>
      <c r="F44" s="115">
        <f>+SALARIOS!C46</f>
        <v>0.05</v>
      </c>
      <c r="G44" s="116">
        <f>+F44*H40</f>
        <v>664.37333333333345</v>
      </c>
      <c r="H44" s="117"/>
    </row>
    <row r="45" spans="1:8" ht="15.75" thickBot="1">
      <c r="A45" s="89" t="s">
        <v>514</v>
      </c>
      <c r="B45" s="90"/>
      <c r="C45" s="90"/>
      <c r="D45" s="90"/>
      <c r="E45" s="91"/>
      <c r="F45" s="118">
        <f>+SALARIOS!C47</f>
        <v>0.05</v>
      </c>
      <c r="G45" s="119">
        <f>+F45*H40</f>
        <v>664.37333333333345</v>
      </c>
      <c r="H45" s="80"/>
    </row>
    <row r="46" spans="1:8" ht="15.75" thickBot="1">
      <c r="A46" s="61"/>
      <c r="B46" s="61"/>
      <c r="C46" s="61"/>
      <c r="D46" s="61"/>
      <c r="E46" s="61"/>
      <c r="F46" s="61"/>
      <c r="G46" s="81" t="s">
        <v>491</v>
      </c>
      <c r="H46" s="120">
        <f>SUM(G43:G45)</f>
        <v>3321.8666666666668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16609</v>
      </c>
    </row>
    <row r="51" spans="1:1">
      <c r="A51" s="61" t="s">
        <v>1986</v>
      </c>
    </row>
  </sheetData>
  <mergeCells count="1">
    <mergeCell ref="A3:C4"/>
  </mergeCells>
  <pageMargins left="0.7" right="0.7" top="0.75" bottom="0.75" header="0.3" footer="0.3"/>
  <pageSetup paperSize="9"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2"/>
  <sheetViews>
    <sheetView topLeftCell="A25" zoomScaleNormal="100"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162" t="s">
        <v>520</v>
      </c>
      <c r="B5" s="1163"/>
      <c r="C5" s="1164"/>
      <c r="D5" s="1150"/>
      <c r="E5" s="1151"/>
      <c r="F5" s="1151"/>
      <c r="G5" s="1151"/>
      <c r="H5" s="1152"/>
    </row>
    <row r="6" spans="1:8">
      <c r="A6" s="60"/>
      <c r="B6" s="61"/>
      <c r="C6" s="61"/>
      <c r="D6" s="61"/>
      <c r="E6" s="61"/>
      <c r="F6" s="61"/>
      <c r="G6" s="61"/>
      <c r="H6" s="61"/>
    </row>
    <row r="7" spans="1:8">
      <c r="A7" s="60" t="s">
        <v>959</v>
      </c>
      <c r="B7" s="62"/>
      <c r="C7" s="61"/>
      <c r="D7" s="16"/>
      <c r="E7" s="62"/>
      <c r="F7" s="16"/>
      <c r="G7" s="62" t="s">
        <v>1969</v>
      </c>
      <c r="H7" s="61"/>
    </row>
    <row r="8" spans="1:8">
      <c r="A8" s="60" t="s">
        <v>1968</v>
      </c>
      <c r="B8" s="62"/>
      <c r="C8" s="61"/>
      <c r="D8" s="62"/>
      <c r="E8" s="62"/>
      <c r="F8" s="62"/>
      <c r="G8" s="62" t="s">
        <v>1967</v>
      </c>
      <c r="H8" s="61"/>
    </row>
    <row r="9" spans="1:8">
      <c r="A9" s="62"/>
      <c r="B9" s="62"/>
      <c r="C9" s="61"/>
      <c r="D9" s="62"/>
      <c r="E9" s="62"/>
      <c r="F9" s="62"/>
      <c r="G9" s="62"/>
      <c r="H9" s="61"/>
    </row>
    <row r="10" spans="1:8" ht="15.75" thickBot="1">
      <c r="A10" s="63" t="s">
        <v>484</v>
      </c>
      <c r="B10" s="63"/>
      <c r="C10" s="61"/>
      <c r="D10" s="61"/>
      <c r="E10" s="61"/>
      <c r="F10" s="61"/>
      <c r="G10" s="61"/>
      <c r="H10" s="61"/>
    </row>
    <row r="11" spans="1:8">
      <c r="A11" s="1153" t="s">
        <v>485</v>
      </c>
      <c r="B11" s="1154"/>
      <c r="C11" s="1155"/>
      <c r="D11" s="1155" t="s">
        <v>486</v>
      </c>
      <c r="E11" s="65" t="s">
        <v>487</v>
      </c>
      <c r="F11" s="1155" t="s">
        <v>488</v>
      </c>
      <c r="G11" s="1154" t="s">
        <v>489</v>
      </c>
      <c r="H11" s="67"/>
    </row>
    <row r="12" spans="1:8">
      <c r="A12" s="175" t="s">
        <v>1327</v>
      </c>
      <c r="B12" s="176"/>
      <c r="C12" s="174"/>
      <c r="D12" s="174"/>
      <c r="E12" s="173"/>
      <c r="F12" s="69"/>
      <c r="G12" s="173">
        <f>H38*10%</f>
        <v>645.5671231666181</v>
      </c>
      <c r="H12" s="72"/>
    </row>
    <row r="13" spans="1:8">
      <c r="A13" s="175"/>
      <c r="B13" s="176"/>
      <c r="C13" s="174"/>
      <c r="D13" s="174"/>
      <c r="E13" s="173"/>
      <c r="F13" s="69"/>
      <c r="G13" s="173"/>
      <c r="H13" s="72"/>
    </row>
    <row r="14" spans="1:8">
      <c r="A14" s="1156"/>
      <c r="B14" s="1157"/>
      <c r="C14" s="1158"/>
      <c r="D14" s="73"/>
      <c r="E14" s="74"/>
      <c r="F14" s="69"/>
      <c r="G14" s="71"/>
      <c r="H14" s="72"/>
    </row>
    <row r="15" spans="1:8">
      <c r="A15" s="1156"/>
      <c r="B15" s="1157"/>
      <c r="C15" s="1158"/>
      <c r="D15" s="73"/>
      <c r="E15" s="74"/>
      <c r="F15" s="69"/>
      <c r="G15" s="71"/>
      <c r="H15" s="72"/>
    </row>
    <row r="16" spans="1:8">
      <c r="A16" s="1156"/>
      <c r="B16" s="1157"/>
      <c r="C16" s="1158"/>
      <c r="D16" s="73"/>
      <c r="E16" s="74"/>
      <c r="F16" s="69"/>
      <c r="G16" s="71"/>
      <c r="H16" s="72"/>
    </row>
    <row r="17" spans="1:8" ht="15.75" thickBot="1">
      <c r="A17" s="1159"/>
      <c r="B17" s="1160"/>
      <c r="C17" s="1161"/>
      <c r="D17" s="76"/>
      <c r="E17" s="77"/>
      <c r="F17" s="78"/>
      <c r="G17" s="79"/>
      <c r="H17" s="80"/>
    </row>
    <row r="18" spans="1:8" ht="15.75" thickBot="1">
      <c r="A18" s="61"/>
      <c r="B18" s="61"/>
      <c r="C18" s="61"/>
      <c r="D18" s="61"/>
      <c r="E18" s="61"/>
      <c r="F18" s="61"/>
      <c r="G18" s="81" t="s">
        <v>491</v>
      </c>
      <c r="H18" s="82">
        <f>SUM(G12:G17)</f>
        <v>645.5671231666181</v>
      </c>
    </row>
    <row r="19" spans="1:8" ht="15.75" thickBot="1">
      <c r="A19" s="63" t="s">
        <v>492</v>
      </c>
      <c r="B19" s="63"/>
      <c r="C19" s="61"/>
      <c r="D19" s="61"/>
      <c r="E19" s="61"/>
      <c r="F19" s="61"/>
      <c r="G19" s="61"/>
      <c r="H19" s="61"/>
    </row>
    <row r="20" spans="1:8">
      <c r="A20" s="1165" t="s">
        <v>485</v>
      </c>
      <c r="B20" s="1166"/>
      <c r="C20" s="1167"/>
      <c r="D20" s="1167" t="s">
        <v>493</v>
      </c>
      <c r="E20" s="1167" t="s">
        <v>494</v>
      </c>
      <c r="F20" s="1167" t="s">
        <v>495</v>
      </c>
      <c r="G20" s="452" t="s">
        <v>489</v>
      </c>
      <c r="H20" s="684"/>
    </row>
    <row r="21" spans="1:8">
      <c r="A21" s="83" t="s">
        <v>1970</v>
      </c>
      <c r="B21" s="84"/>
      <c r="C21" s="85"/>
      <c r="D21" s="141" t="s">
        <v>1971</v>
      </c>
      <c r="E21" s="139">
        <v>75000</v>
      </c>
      <c r="F21" s="163">
        <v>0.1</v>
      </c>
      <c r="G21" s="685">
        <f>+E21*F21</f>
        <v>7500</v>
      </c>
      <c r="H21" s="59"/>
    </row>
    <row r="22" spans="1:8">
      <c r="A22" s="83" t="s">
        <v>1972</v>
      </c>
      <c r="B22" s="84"/>
      <c r="C22" s="85"/>
      <c r="D22" s="68" t="s">
        <v>1</v>
      </c>
      <c r="E22" s="142">
        <v>12500</v>
      </c>
      <c r="F22" s="69">
        <v>0.21000000000000002</v>
      </c>
      <c r="G22" s="105">
        <f>+E22*F22</f>
        <v>2625.0000000000005</v>
      </c>
      <c r="H22" s="59"/>
    </row>
    <row r="23" spans="1:8">
      <c r="A23" s="128" t="s">
        <v>1966</v>
      </c>
      <c r="B23" s="129"/>
      <c r="C23" s="130"/>
      <c r="D23" s="68" t="s">
        <v>1</v>
      </c>
      <c r="E23" s="86">
        <f>MATERIALES!D56</f>
        <v>4166.666666666667</v>
      </c>
      <c r="F23" s="70">
        <v>0.4</v>
      </c>
      <c r="G23" s="105">
        <f>+E23*F23</f>
        <v>1666.666666666667</v>
      </c>
      <c r="H23" s="59"/>
    </row>
    <row r="24" spans="1:8" ht="15.75" thickBot="1">
      <c r="A24" s="89" t="s">
        <v>1835</v>
      </c>
      <c r="B24" s="90"/>
      <c r="C24" s="91"/>
      <c r="D24" s="754" t="s">
        <v>234</v>
      </c>
      <c r="E24" s="755">
        <f>MATERIALES!D64</f>
        <v>1575</v>
      </c>
      <c r="F24" s="756">
        <v>0.46095238095238095</v>
      </c>
      <c r="G24" s="453">
        <f>+E24*F24</f>
        <v>726</v>
      </c>
      <c r="H24" s="451"/>
    </row>
    <row r="25" spans="1:8" ht="15.75" thickBot="1">
      <c r="A25" s="61"/>
      <c r="B25" s="61"/>
      <c r="C25" s="61"/>
      <c r="D25" s="61"/>
      <c r="E25" s="61"/>
      <c r="F25" s="61"/>
      <c r="G25" s="81" t="s">
        <v>491</v>
      </c>
      <c r="H25" s="82">
        <f>SUM(G21:G24)</f>
        <v>12517.666666666668</v>
      </c>
    </row>
    <row r="26" spans="1:8" ht="15.75" thickBot="1">
      <c r="A26" s="92" t="s">
        <v>496</v>
      </c>
      <c r="B26" s="92"/>
      <c r="C26" s="90"/>
      <c r="D26" s="61"/>
      <c r="E26" s="61"/>
      <c r="F26" s="61"/>
      <c r="G26" s="61"/>
      <c r="H26" s="61"/>
    </row>
    <row r="27" spans="1:8">
      <c r="A27" s="1153" t="s">
        <v>497</v>
      </c>
      <c r="B27" s="1155"/>
      <c r="C27" s="93" t="s">
        <v>498</v>
      </c>
      <c r="D27" s="1155" t="s">
        <v>499</v>
      </c>
      <c r="E27" s="1155" t="s">
        <v>500</v>
      </c>
      <c r="F27" s="115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153" t="s">
        <v>503</v>
      </c>
      <c r="B33" s="1155"/>
      <c r="C33" s="1155" t="s">
        <v>504</v>
      </c>
      <c r="D33" s="1155" t="s">
        <v>505</v>
      </c>
      <c r="E33" s="124" t="s">
        <v>506</v>
      </c>
      <c r="F33" s="102" t="s">
        <v>488</v>
      </c>
      <c r="G33" s="1154" t="s">
        <v>489</v>
      </c>
      <c r="H33" s="67"/>
    </row>
    <row r="34" spans="1:8">
      <c r="A34" s="83" t="s">
        <v>697</v>
      </c>
      <c r="B34" s="84"/>
      <c r="C34" s="103">
        <f>+SALARIOS!C49</f>
        <v>25572</v>
      </c>
      <c r="D34" s="104">
        <f>+SALARIOS!C48</f>
        <v>1.7846558312967005</v>
      </c>
      <c r="E34" s="69">
        <f>+C34*D34</f>
        <v>45637.218917919221</v>
      </c>
      <c r="F34" s="69">
        <v>0.06</v>
      </c>
      <c r="G34" s="105">
        <f>+E34*F34</f>
        <v>2738.2331350751533</v>
      </c>
      <c r="H34" s="72"/>
    </row>
    <row r="35" spans="1:8">
      <c r="A35" s="83" t="s">
        <v>624</v>
      </c>
      <c r="B35" s="84"/>
      <c r="C35" s="103">
        <f>+SALARIOS!C50</f>
        <v>41660</v>
      </c>
      <c r="D35" s="334">
        <f>+SALARIOS!C48</f>
        <v>1.7846558312967005</v>
      </c>
      <c r="E35" s="69">
        <f>+C35*D35</f>
        <v>74348.76193182054</v>
      </c>
      <c r="F35" s="69">
        <v>0.05</v>
      </c>
      <c r="G35" s="105">
        <f>+E35*F35</f>
        <v>3717.4380965910273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6455.6712316661806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19618.905021499468</v>
      </c>
    </row>
    <row r="41" spans="1:8" ht="15.75" thickBot="1">
      <c r="A41" s="63" t="s">
        <v>509</v>
      </c>
      <c r="B41" s="63"/>
      <c r="C41" s="61"/>
      <c r="D41" s="61"/>
      <c r="E41" s="61"/>
      <c r="F41" s="61"/>
      <c r="G41" s="61"/>
      <c r="H41" s="61"/>
    </row>
    <row r="42" spans="1:8">
      <c r="A42" s="233" t="s">
        <v>485</v>
      </c>
      <c r="B42" s="1166"/>
      <c r="C42" s="1166"/>
      <c r="D42" s="1166"/>
      <c r="E42" s="1167"/>
      <c r="F42" s="1167" t="s">
        <v>510</v>
      </c>
      <c r="G42" s="1166" t="s">
        <v>511</v>
      </c>
      <c r="H42" s="67"/>
    </row>
    <row r="43" spans="1:8">
      <c r="A43" s="83" t="s">
        <v>512</v>
      </c>
      <c r="B43" s="84"/>
      <c r="C43" s="84"/>
      <c r="D43" s="84"/>
      <c r="E43" s="85"/>
      <c r="F43" s="115">
        <f>+SALARIOS!C45</f>
        <v>0.15</v>
      </c>
      <c r="G43" s="116">
        <f>++F43*H40</f>
        <v>2942.8357532249202</v>
      </c>
      <c r="H43" s="117"/>
    </row>
    <row r="44" spans="1:8">
      <c r="A44" s="83" t="s">
        <v>513</v>
      </c>
      <c r="B44" s="84"/>
      <c r="C44" s="84"/>
      <c r="D44" s="84"/>
      <c r="E44" s="85"/>
      <c r="F44" s="115">
        <f>+SALARIOS!C46</f>
        <v>0.05</v>
      </c>
      <c r="G44" s="116">
        <f>+F44*H40</f>
        <v>980.94525107497338</v>
      </c>
      <c r="H44" s="117"/>
    </row>
    <row r="45" spans="1:8" ht="15.75" thickBot="1">
      <c r="A45" s="89" t="s">
        <v>514</v>
      </c>
      <c r="B45" s="90"/>
      <c r="C45" s="90"/>
      <c r="D45" s="90"/>
      <c r="E45" s="91"/>
      <c r="F45" s="118">
        <f>+SALARIOS!C47</f>
        <v>0.05</v>
      </c>
      <c r="G45" s="119">
        <f>+F45*H40</f>
        <v>980.94525107497338</v>
      </c>
      <c r="H45" s="80"/>
    </row>
    <row r="46" spans="1:8" ht="15.75" thickBot="1">
      <c r="A46" s="61"/>
      <c r="B46" s="61"/>
      <c r="C46" s="61"/>
      <c r="D46" s="61"/>
      <c r="E46" s="61"/>
      <c r="F46" s="61"/>
      <c r="G46" s="81" t="s">
        <v>491</v>
      </c>
      <c r="H46" s="120">
        <f>SUM(G43:G45)</f>
        <v>4904.7262553748669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24524</v>
      </c>
    </row>
    <row r="51" spans="1:1">
      <c r="A51" s="61" t="s">
        <v>1987</v>
      </c>
    </row>
    <row r="52" spans="1:1">
      <c r="A52" s="61" t="s">
        <v>1988</v>
      </c>
    </row>
  </sheetData>
  <mergeCells count="1">
    <mergeCell ref="A3:C4"/>
  </mergeCells>
  <pageMargins left="0.7" right="0.7" top="0.75" bottom="0.75" header="0.3" footer="0.3"/>
  <pageSetup paperSize="9" scale="95"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2"/>
  <sheetViews>
    <sheetView topLeftCell="A4" zoomScaleNormal="100" workbookViewId="0">
      <selection activeCell="H40" sqref="H4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162" t="s">
        <v>520</v>
      </c>
      <c r="B5" s="1163"/>
      <c r="C5" s="1164"/>
      <c r="D5" s="1150"/>
      <c r="E5" s="1151"/>
      <c r="F5" s="1151"/>
      <c r="G5" s="1151"/>
      <c r="H5" s="1152"/>
    </row>
    <row r="6" spans="1:8">
      <c r="A6" s="60"/>
      <c r="B6" s="61"/>
      <c r="C6" s="61"/>
      <c r="D6" s="61"/>
      <c r="E6" s="61"/>
      <c r="F6" s="61"/>
      <c r="G6" s="61"/>
      <c r="H6" s="61"/>
    </row>
    <row r="7" spans="1:8">
      <c r="A7" s="60" t="s">
        <v>959</v>
      </c>
      <c r="B7" s="62"/>
      <c r="C7" s="61"/>
      <c r="D7" s="16"/>
      <c r="E7" s="62"/>
      <c r="F7" s="16"/>
      <c r="G7" s="62" t="s">
        <v>1974</v>
      </c>
      <c r="H7" s="61"/>
    </row>
    <row r="8" spans="1:8">
      <c r="A8" s="60" t="s">
        <v>1973</v>
      </c>
      <c r="B8" s="62"/>
      <c r="C8" s="61"/>
      <c r="D8" s="62"/>
      <c r="E8" s="62"/>
      <c r="F8" s="62"/>
      <c r="G8" s="62" t="s">
        <v>1967</v>
      </c>
      <c r="H8" s="61"/>
    </row>
    <row r="9" spans="1:8">
      <c r="A9" s="62"/>
      <c r="B9" s="62"/>
      <c r="C9" s="61"/>
      <c r="D9" s="62"/>
      <c r="E9" s="62"/>
      <c r="F9" s="62"/>
      <c r="G9" s="62"/>
      <c r="H9" s="61"/>
    </row>
    <row r="10" spans="1:8" ht="15.75" thickBot="1">
      <c r="A10" s="63" t="s">
        <v>484</v>
      </c>
      <c r="B10" s="63"/>
      <c r="C10" s="61"/>
      <c r="D10" s="61"/>
      <c r="E10" s="61"/>
      <c r="F10" s="61"/>
      <c r="G10" s="61"/>
      <c r="H10" s="61"/>
    </row>
    <row r="11" spans="1:8">
      <c r="A11" s="1153" t="s">
        <v>485</v>
      </c>
      <c r="B11" s="1154"/>
      <c r="C11" s="1155"/>
      <c r="D11" s="1155" t="s">
        <v>486</v>
      </c>
      <c r="E11" s="65" t="s">
        <v>487</v>
      </c>
      <c r="F11" s="1155" t="s">
        <v>488</v>
      </c>
      <c r="G11" s="1154" t="s">
        <v>489</v>
      </c>
      <c r="H11" s="67"/>
    </row>
    <row r="12" spans="1:8">
      <c r="A12" s="175" t="s">
        <v>1327</v>
      </c>
      <c r="B12" s="176"/>
      <c r="C12" s="174"/>
      <c r="D12" s="174"/>
      <c r="E12" s="173"/>
      <c r="F12" s="69"/>
      <c r="G12" s="173">
        <f>H38*10%</f>
        <v>856.82754185219619</v>
      </c>
      <c r="H12" s="72"/>
    </row>
    <row r="13" spans="1:8">
      <c r="A13" s="175"/>
      <c r="B13" s="176"/>
      <c r="C13" s="174"/>
      <c r="D13" s="174"/>
      <c r="E13" s="173"/>
      <c r="F13" s="69"/>
      <c r="G13" s="173"/>
      <c r="H13" s="72"/>
    </row>
    <row r="14" spans="1:8">
      <c r="A14" s="1156"/>
      <c r="B14" s="1157"/>
      <c r="C14" s="1158"/>
      <c r="D14" s="73"/>
      <c r="E14" s="74"/>
      <c r="F14" s="69"/>
      <c r="G14" s="71"/>
      <c r="H14" s="72"/>
    </row>
    <row r="15" spans="1:8">
      <c r="A15" s="1156"/>
      <c r="B15" s="1157"/>
      <c r="C15" s="1158"/>
      <c r="D15" s="73"/>
      <c r="E15" s="74"/>
      <c r="F15" s="69"/>
      <c r="G15" s="71"/>
      <c r="H15" s="72"/>
    </row>
    <row r="16" spans="1:8">
      <c r="A16" s="1156"/>
      <c r="B16" s="1157"/>
      <c r="C16" s="1158"/>
      <c r="D16" s="73"/>
      <c r="E16" s="74"/>
      <c r="F16" s="69"/>
      <c r="G16" s="71"/>
      <c r="H16" s="72"/>
    </row>
    <row r="17" spans="1:8" ht="15.75" thickBot="1">
      <c r="A17" s="1159"/>
      <c r="B17" s="1160"/>
      <c r="C17" s="1161"/>
      <c r="D17" s="76"/>
      <c r="E17" s="77"/>
      <c r="F17" s="78"/>
      <c r="G17" s="79"/>
      <c r="H17" s="80"/>
    </row>
    <row r="18" spans="1:8" ht="15.75" thickBot="1">
      <c r="A18" s="61"/>
      <c r="B18" s="61"/>
      <c r="C18" s="61"/>
      <c r="D18" s="61"/>
      <c r="E18" s="61"/>
      <c r="F18" s="61"/>
      <c r="G18" s="81" t="s">
        <v>491</v>
      </c>
      <c r="H18" s="82">
        <f>SUM(G12:G17)</f>
        <v>856.82754185219619</v>
      </c>
    </row>
    <row r="19" spans="1:8" ht="15.75" thickBot="1">
      <c r="A19" s="63" t="s">
        <v>492</v>
      </c>
      <c r="B19" s="63"/>
      <c r="C19" s="61"/>
      <c r="D19" s="61"/>
      <c r="E19" s="61"/>
      <c r="F19" s="61"/>
      <c r="G19" s="61"/>
      <c r="H19" s="61"/>
    </row>
    <row r="20" spans="1:8">
      <c r="A20" s="1165" t="s">
        <v>485</v>
      </c>
      <c r="B20" s="1166"/>
      <c r="C20" s="1167"/>
      <c r="D20" s="1167" t="s">
        <v>493</v>
      </c>
      <c r="E20" s="1167" t="s">
        <v>494</v>
      </c>
      <c r="F20" s="1167" t="s">
        <v>495</v>
      </c>
      <c r="G20" s="452" t="s">
        <v>489</v>
      </c>
      <c r="H20" s="684"/>
    </row>
    <row r="21" spans="1:8">
      <c r="A21" s="83" t="s">
        <v>1970</v>
      </c>
      <c r="B21" s="84"/>
      <c r="C21" s="85"/>
      <c r="D21" s="141" t="s">
        <v>1971</v>
      </c>
      <c r="E21" s="139">
        <v>75000</v>
      </c>
      <c r="F21" s="163">
        <v>0.1</v>
      </c>
      <c r="G21" s="685">
        <f>+E21*F21</f>
        <v>7500</v>
      </c>
      <c r="H21" s="59"/>
    </row>
    <row r="22" spans="1:8">
      <c r="A22" s="83" t="s">
        <v>1972</v>
      </c>
      <c r="B22" s="84"/>
      <c r="C22" s="85"/>
      <c r="D22" s="68" t="s">
        <v>1</v>
      </c>
      <c r="E22" s="142">
        <v>12500</v>
      </c>
      <c r="F22" s="69">
        <v>0.21000000000000002</v>
      </c>
      <c r="G22" s="105">
        <f>+E22*F22</f>
        <v>2625.0000000000005</v>
      </c>
      <c r="H22" s="59"/>
    </row>
    <row r="23" spans="1:8">
      <c r="A23" s="128" t="s">
        <v>1966</v>
      </c>
      <c r="B23" s="129"/>
      <c r="C23" s="130"/>
      <c r="D23" s="68" t="s">
        <v>1</v>
      </c>
      <c r="E23" s="86">
        <f>MATERIALES!D56</f>
        <v>4166.666666666667</v>
      </c>
      <c r="F23" s="70">
        <v>0.4</v>
      </c>
      <c r="G23" s="105">
        <f>+E23*F23</f>
        <v>1666.666666666667</v>
      </c>
      <c r="H23" s="59"/>
    </row>
    <row r="24" spans="1:8" ht="15.75" thickBot="1">
      <c r="A24" s="89" t="s">
        <v>1835</v>
      </c>
      <c r="B24" s="90"/>
      <c r="C24" s="91"/>
      <c r="D24" s="754" t="s">
        <v>234</v>
      </c>
      <c r="E24" s="755">
        <f>MATERIALES!D64</f>
        <v>1575</v>
      </c>
      <c r="F24" s="756">
        <v>0.46095238095238095</v>
      </c>
      <c r="G24" s="453">
        <f>+E24*F24</f>
        <v>726</v>
      </c>
      <c r="H24" s="451"/>
    </row>
    <row r="25" spans="1:8" ht="15.75" thickBot="1">
      <c r="A25" s="61"/>
      <c r="B25" s="61"/>
      <c r="C25" s="61"/>
      <c r="D25" s="61"/>
      <c r="E25" s="61"/>
      <c r="F25" s="61"/>
      <c r="G25" s="81" t="s">
        <v>491</v>
      </c>
      <c r="H25" s="82">
        <f>SUM(G21:G24)</f>
        <v>12517.666666666668</v>
      </c>
    </row>
    <row r="26" spans="1:8" ht="15.75" thickBot="1">
      <c r="A26" s="92" t="s">
        <v>496</v>
      </c>
      <c r="B26" s="92"/>
      <c r="C26" s="90"/>
      <c r="D26" s="61"/>
      <c r="E26" s="61"/>
      <c r="F26" s="61"/>
      <c r="G26" s="61"/>
      <c r="H26" s="61"/>
    </row>
    <row r="27" spans="1:8">
      <c r="A27" s="1153" t="s">
        <v>497</v>
      </c>
      <c r="B27" s="1155"/>
      <c r="C27" s="93" t="s">
        <v>498</v>
      </c>
      <c r="D27" s="1155" t="s">
        <v>499</v>
      </c>
      <c r="E27" s="1155" t="s">
        <v>500</v>
      </c>
      <c r="F27" s="115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153" t="s">
        <v>503</v>
      </c>
      <c r="B33" s="1155"/>
      <c r="C33" s="1155" t="s">
        <v>504</v>
      </c>
      <c r="D33" s="1155" t="s">
        <v>505</v>
      </c>
      <c r="E33" s="124" t="s">
        <v>506</v>
      </c>
      <c r="F33" s="102" t="s">
        <v>488</v>
      </c>
      <c r="G33" s="1154" t="s">
        <v>489</v>
      </c>
      <c r="H33" s="67"/>
    </row>
    <row r="34" spans="1:8">
      <c r="A34" s="83" t="s">
        <v>697</v>
      </c>
      <c r="B34" s="84"/>
      <c r="C34" s="103">
        <f>+SALARIOS!C49</f>
        <v>25572</v>
      </c>
      <c r="D34" s="104">
        <f>+SALARIOS!C48</f>
        <v>1.7846558312967005</v>
      </c>
      <c r="E34" s="69">
        <f>+C34*D34</f>
        <v>45637.218917919221</v>
      </c>
      <c r="F34" s="69">
        <v>0.09</v>
      </c>
      <c r="G34" s="105">
        <f>+E34*F34</f>
        <v>4107.3497026127297</v>
      </c>
      <c r="H34" s="72"/>
    </row>
    <row r="35" spans="1:8">
      <c r="A35" s="83" t="s">
        <v>624</v>
      </c>
      <c r="B35" s="84"/>
      <c r="C35" s="103">
        <f>+SALARIOS!C50</f>
        <v>41660</v>
      </c>
      <c r="D35" s="334">
        <f>+SALARIOS!C48</f>
        <v>1.7846558312967005</v>
      </c>
      <c r="E35" s="69">
        <f>+C35*D35</f>
        <v>74348.76193182054</v>
      </c>
      <c r="F35" s="69">
        <v>0.06</v>
      </c>
      <c r="G35" s="105">
        <f>+E35*F35</f>
        <v>4460.9257159092322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8568.2754185219619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21942.769627040827</v>
      </c>
    </row>
    <row r="41" spans="1:8" ht="15.75" thickBot="1">
      <c r="A41" s="63" t="s">
        <v>509</v>
      </c>
      <c r="B41" s="63"/>
      <c r="C41" s="61"/>
      <c r="D41" s="61"/>
      <c r="E41" s="61"/>
      <c r="F41" s="61"/>
      <c r="G41" s="61"/>
      <c r="H41" s="61"/>
    </row>
    <row r="42" spans="1:8">
      <c r="A42" s="233" t="s">
        <v>485</v>
      </c>
      <c r="B42" s="1166"/>
      <c r="C42" s="1166"/>
      <c r="D42" s="1166"/>
      <c r="E42" s="1167"/>
      <c r="F42" s="1167" t="s">
        <v>510</v>
      </c>
      <c r="G42" s="1166" t="s">
        <v>511</v>
      </c>
      <c r="H42" s="67"/>
    </row>
    <row r="43" spans="1:8">
      <c r="A43" s="83" t="s">
        <v>512</v>
      </c>
      <c r="B43" s="84"/>
      <c r="C43" s="84"/>
      <c r="D43" s="84"/>
      <c r="E43" s="85"/>
      <c r="F43" s="115">
        <f>+SALARIOS!C45</f>
        <v>0.15</v>
      </c>
      <c r="G43" s="116">
        <f>++F43*H40</f>
        <v>3291.4154440561238</v>
      </c>
      <c r="H43" s="117"/>
    </row>
    <row r="44" spans="1:8">
      <c r="A44" s="83" t="s">
        <v>513</v>
      </c>
      <c r="B44" s="84"/>
      <c r="C44" s="84"/>
      <c r="D44" s="84"/>
      <c r="E44" s="85"/>
      <c r="F44" s="115">
        <f>+SALARIOS!C46</f>
        <v>0.05</v>
      </c>
      <c r="G44" s="116">
        <f>+F44*H40</f>
        <v>1097.1384813520415</v>
      </c>
      <c r="H44" s="117"/>
    </row>
    <row r="45" spans="1:8" ht="15.75" thickBot="1">
      <c r="A45" s="89" t="s">
        <v>514</v>
      </c>
      <c r="B45" s="90"/>
      <c r="C45" s="90"/>
      <c r="D45" s="90"/>
      <c r="E45" s="91"/>
      <c r="F45" s="118">
        <f>+SALARIOS!C47</f>
        <v>0.05</v>
      </c>
      <c r="G45" s="119">
        <f>+F45*H40</f>
        <v>1097.1384813520415</v>
      </c>
      <c r="H45" s="80"/>
    </row>
    <row r="46" spans="1:8" ht="15.75" thickBot="1">
      <c r="A46" s="61"/>
      <c r="B46" s="61"/>
      <c r="C46" s="61"/>
      <c r="D46" s="61"/>
      <c r="E46" s="61"/>
      <c r="F46" s="61"/>
      <c r="G46" s="81" t="s">
        <v>491</v>
      </c>
      <c r="H46" s="120">
        <f>SUM(G43:G45)</f>
        <v>5485.6924067602067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27428</v>
      </c>
    </row>
    <row r="51" spans="1:1">
      <c r="A51" s="61" t="s">
        <v>1987</v>
      </c>
    </row>
    <row r="52" spans="1:1">
      <c r="A52" s="61" t="s">
        <v>1988</v>
      </c>
    </row>
  </sheetData>
  <mergeCells count="1">
    <mergeCell ref="A3:C4"/>
  </mergeCells>
  <pageMargins left="0.7" right="0.7" top="0.75" bottom="0.75" header="0.3" footer="0.3"/>
  <pageSetup paperSize="9" scale="95"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8"/>
  <sheetViews>
    <sheetView topLeftCell="A31" workbookViewId="0">
      <selection activeCell="A52" sqref="A5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162" t="s">
        <v>520</v>
      </c>
      <c r="B5" s="1163"/>
      <c r="C5" s="1164"/>
      <c r="D5" s="1150"/>
      <c r="E5" s="1151"/>
      <c r="F5" s="1151"/>
      <c r="G5" s="1151"/>
      <c r="H5" s="1152"/>
    </row>
    <row r="6" spans="1:8">
      <c r="A6" s="60"/>
      <c r="B6" s="61"/>
      <c r="C6" s="61"/>
      <c r="D6" s="61"/>
      <c r="E6" s="61"/>
      <c r="F6" s="61"/>
      <c r="G6" s="61"/>
      <c r="H6" s="61"/>
    </row>
    <row r="7" spans="1:8">
      <c r="A7" s="60" t="s">
        <v>959</v>
      </c>
      <c r="B7" s="62"/>
      <c r="C7" s="61"/>
      <c r="D7" s="16"/>
      <c r="E7" s="62"/>
      <c r="F7" s="16"/>
      <c r="G7" s="62" t="s">
        <v>1975</v>
      </c>
      <c r="H7" s="61"/>
    </row>
    <row r="8" spans="1:8">
      <c r="A8" s="60" t="s">
        <v>1976</v>
      </c>
      <c r="B8" s="62"/>
      <c r="C8" s="61"/>
      <c r="D8" s="62"/>
      <c r="E8" s="62"/>
      <c r="F8" s="62"/>
      <c r="G8" s="62" t="s">
        <v>1967</v>
      </c>
      <c r="H8" s="61"/>
    </row>
    <row r="9" spans="1:8">
      <c r="A9" s="62"/>
      <c r="B9" s="62"/>
      <c r="C9" s="61"/>
      <c r="D9" s="62"/>
      <c r="E9" s="62"/>
      <c r="F9" s="62"/>
      <c r="G9" s="62"/>
      <c r="H9" s="61"/>
    </row>
    <row r="10" spans="1:8" ht="15.75" thickBot="1">
      <c r="A10" s="63" t="s">
        <v>484</v>
      </c>
      <c r="B10" s="63"/>
      <c r="C10" s="61"/>
      <c r="D10" s="61"/>
      <c r="E10" s="61"/>
      <c r="F10" s="61"/>
      <c r="G10" s="61"/>
      <c r="H10" s="61"/>
    </row>
    <row r="11" spans="1:8">
      <c r="A11" s="1153" t="s">
        <v>485</v>
      </c>
      <c r="B11" s="1154"/>
      <c r="C11" s="1155"/>
      <c r="D11" s="1155" t="s">
        <v>486</v>
      </c>
      <c r="E11" s="65" t="s">
        <v>487</v>
      </c>
      <c r="F11" s="1155" t="s">
        <v>488</v>
      </c>
      <c r="G11" s="1154" t="s">
        <v>489</v>
      </c>
      <c r="H11" s="67"/>
    </row>
    <row r="12" spans="1:8">
      <c r="A12" s="175" t="s">
        <v>1327</v>
      </c>
      <c r="B12" s="176"/>
      <c r="C12" s="174"/>
      <c r="D12" s="174"/>
      <c r="E12" s="173"/>
      <c r="F12" s="69"/>
      <c r="G12" s="173">
        <f>H38*10%</f>
        <v>1222.5000000000002</v>
      </c>
      <c r="H12" s="72"/>
    </row>
    <row r="13" spans="1:8">
      <c r="A13" s="175" t="s">
        <v>1977</v>
      </c>
      <c r="B13" s="176"/>
      <c r="C13" s="174"/>
      <c r="D13" s="174" t="s">
        <v>6</v>
      </c>
      <c r="E13" s="173">
        <f>+'EQUIPOS '!D3</f>
        <v>87000</v>
      </c>
      <c r="F13" s="69">
        <v>35</v>
      </c>
      <c r="G13" s="173">
        <f>E13/F13</f>
        <v>2485.7142857142858</v>
      </c>
      <c r="H13" s="72"/>
    </row>
    <row r="14" spans="1:8">
      <c r="A14" s="1156"/>
      <c r="B14" s="1157"/>
      <c r="C14" s="1158"/>
      <c r="D14" s="73"/>
      <c r="E14" s="74"/>
      <c r="F14" s="69"/>
      <c r="G14" s="71"/>
      <c r="H14" s="72"/>
    </row>
    <row r="15" spans="1:8">
      <c r="A15" s="1156"/>
      <c r="B15" s="1157"/>
      <c r="C15" s="1158"/>
      <c r="D15" s="73"/>
      <c r="E15" s="74"/>
      <c r="F15" s="69"/>
      <c r="G15" s="71"/>
      <c r="H15" s="72"/>
    </row>
    <row r="16" spans="1:8">
      <c r="A16" s="1156"/>
      <c r="B16" s="1157"/>
      <c r="C16" s="1158"/>
      <c r="D16" s="73"/>
      <c r="E16" s="74"/>
      <c r="F16" s="69"/>
      <c r="G16" s="71"/>
      <c r="H16" s="72"/>
    </row>
    <row r="17" spans="1:8" ht="15.75" thickBot="1">
      <c r="A17" s="1159"/>
      <c r="B17" s="1160"/>
      <c r="C17" s="1161"/>
      <c r="D17" s="76"/>
      <c r="E17" s="77"/>
      <c r="F17" s="78"/>
      <c r="G17" s="79"/>
      <c r="H17" s="80"/>
    </row>
    <row r="18" spans="1:8" ht="15.75" thickBot="1">
      <c r="A18" s="61"/>
      <c r="B18" s="61"/>
      <c r="C18" s="61"/>
      <c r="D18" s="61"/>
      <c r="E18" s="61"/>
      <c r="F18" s="61"/>
      <c r="G18" s="81" t="s">
        <v>491</v>
      </c>
      <c r="H18" s="82">
        <f>SUM(G12:G17)</f>
        <v>3708.2142857142862</v>
      </c>
    </row>
    <row r="19" spans="1:8" ht="15.75" thickBot="1">
      <c r="A19" s="63" t="s">
        <v>492</v>
      </c>
      <c r="B19" s="63"/>
      <c r="C19" s="61"/>
      <c r="D19" s="61"/>
      <c r="E19" s="61"/>
      <c r="F19" s="61"/>
      <c r="G19" s="61"/>
      <c r="H19" s="61"/>
    </row>
    <row r="20" spans="1:8">
      <c r="A20" s="1165" t="s">
        <v>485</v>
      </c>
      <c r="B20" s="1166"/>
      <c r="C20" s="1167"/>
      <c r="D20" s="1167" t="s">
        <v>493</v>
      </c>
      <c r="E20" s="1167" t="s">
        <v>494</v>
      </c>
      <c r="F20" s="1167" t="s">
        <v>495</v>
      </c>
      <c r="G20" s="452" t="s">
        <v>489</v>
      </c>
      <c r="H20" s="684"/>
    </row>
    <row r="21" spans="1:8">
      <c r="A21" s="83" t="s">
        <v>1978</v>
      </c>
      <c r="B21" s="84"/>
      <c r="C21" s="85"/>
      <c r="D21" s="141" t="s">
        <v>1971</v>
      </c>
      <c r="E21" s="139">
        <v>165000</v>
      </c>
      <c r="F21" s="163">
        <v>5.2499999999999991E-2</v>
      </c>
      <c r="G21" s="685">
        <f>+E21*F21</f>
        <v>8662.4999999999982</v>
      </c>
      <c r="H21" s="59"/>
    </row>
    <row r="22" spans="1:8">
      <c r="A22" s="83" t="s">
        <v>1979</v>
      </c>
      <c r="B22" s="84"/>
      <c r="C22" s="85"/>
      <c r="D22" s="68" t="s">
        <v>1980</v>
      </c>
      <c r="E22" s="142">
        <v>30900</v>
      </c>
      <c r="F22" s="69">
        <v>0.22000000000000003</v>
      </c>
      <c r="G22" s="105">
        <f>+E22*F22</f>
        <v>6798.0000000000009</v>
      </c>
      <c r="H22" s="59"/>
    </row>
    <row r="23" spans="1:8">
      <c r="A23" s="128" t="s">
        <v>1966</v>
      </c>
      <c r="B23" s="129"/>
      <c r="C23" s="130"/>
      <c r="D23" s="68" t="s">
        <v>1</v>
      </c>
      <c r="E23" s="86">
        <f>MATERIALES!D56</f>
        <v>4166.666666666667</v>
      </c>
      <c r="F23" s="69">
        <v>0.4</v>
      </c>
      <c r="G23" s="105">
        <f>+E23*F23</f>
        <v>1666.666666666667</v>
      </c>
      <c r="H23" s="59"/>
    </row>
    <row r="24" spans="1:8" ht="15.75" thickBot="1">
      <c r="A24" s="89"/>
      <c r="B24" s="90"/>
      <c r="C24" s="91"/>
      <c r="D24" s="754"/>
      <c r="E24" s="755"/>
      <c r="F24" s="756"/>
      <c r="G24" s="453"/>
      <c r="H24" s="451"/>
    </row>
    <row r="25" spans="1:8" ht="15.75" thickBot="1">
      <c r="A25" s="61"/>
      <c r="B25" s="61"/>
      <c r="C25" s="61"/>
      <c r="D25" s="61"/>
      <c r="E25" s="61"/>
      <c r="F25" s="61"/>
      <c r="G25" s="81" t="s">
        <v>491</v>
      </c>
      <c r="H25" s="82">
        <f>SUM(G21:G24)</f>
        <v>17127.166666666668</v>
      </c>
    </row>
    <row r="26" spans="1:8" ht="15.75" thickBot="1">
      <c r="A26" s="92" t="s">
        <v>496</v>
      </c>
      <c r="B26" s="92"/>
      <c r="C26" s="90"/>
      <c r="D26" s="61"/>
      <c r="E26" s="61"/>
      <c r="F26" s="61"/>
      <c r="G26" s="61"/>
      <c r="H26" s="61"/>
    </row>
    <row r="27" spans="1:8">
      <c r="A27" s="1153" t="s">
        <v>497</v>
      </c>
      <c r="B27" s="1155"/>
      <c r="C27" s="93" t="s">
        <v>498</v>
      </c>
      <c r="D27" s="1155" t="s">
        <v>499</v>
      </c>
      <c r="E27" s="1155" t="s">
        <v>500</v>
      </c>
      <c r="F27" s="1155"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153" t="s">
        <v>503</v>
      </c>
      <c r="B33" s="1155"/>
      <c r="C33" s="1155" t="s">
        <v>504</v>
      </c>
      <c r="D33" s="1155" t="s">
        <v>505</v>
      </c>
      <c r="E33" s="124" t="s">
        <v>506</v>
      </c>
      <c r="F33" s="102" t="s">
        <v>488</v>
      </c>
      <c r="G33" s="1154" t="s">
        <v>489</v>
      </c>
      <c r="H33" s="67"/>
    </row>
    <row r="34" spans="1:8">
      <c r="A34" s="83" t="s">
        <v>697</v>
      </c>
      <c r="B34" s="84"/>
      <c r="C34" s="103">
        <f>+SALARIOS!C49</f>
        <v>25572</v>
      </c>
      <c r="D34" s="104">
        <f>+SALARIOS!C48</f>
        <v>1.7846558312967005</v>
      </c>
      <c r="E34" s="69">
        <f>+C34*D34</f>
        <v>45637.218917919221</v>
      </c>
      <c r="F34" s="69">
        <v>0.1424276096159709</v>
      </c>
      <c r="G34" s="105">
        <f>+E34*F34</f>
        <v>6500.0000000000009</v>
      </c>
      <c r="H34" s="72"/>
    </row>
    <row r="35" spans="1:8">
      <c r="A35" s="83" t="s">
        <v>624</v>
      </c>
      <c r="B35" s="84"/>
      <c r="C35" s="103">
        <f>+SALARIOS!C50</f>
        <v>41660</v>
      </c>
      <c r="D35" s="334">
        <f>+SALARIOS!C48</f>
        <v>1.7846558312967005</v>
      </c>
      <c r="E35" s="69">
        <f>+C35*D35</f>
        <v>74348.76193182054</v>
      </c>
      <c r="F35" s="69">
        <v>7.7001954723199734E-2</v>
      </c>
      <c r="G35" s="105">
        <f>+E35*F35</f>
        <v>5725.0000000000009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12225.000000000002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33060.380952380954</v>
      </c>
    </row>
    <row r="41" spans="1:8" ht="15.75" thickBot="1">
      <c r="A41" s="63" t="s">
        <v>509</v>
      </c>
      <c r="B41" s="63"/>
      <c r="C41" s="61"/>
      <c r="D41" s="61"/>
      <c r="E41" s="61"/>
      <c r="F41" s="61"/>
      <c r="G41" s="61"/>
      <c r="H41" s="61"/>
    </row>
    <row r="42" spans="1:8">
      <c r="A42" s="233" t="s">
        <v>485</v>
      </c>
      <c r="B42" s="1166"/>
      <c r="C42" s="1166"/>
      <c r="D42" s="1166"/>
      <c r="E42" s="1167"/>
      <c r="F42" s="1167" t="s">
        <v>510</v>
      </c>
      <c r="G42" s="1166" t="s">
        <v>511</v>
      </c>
      <c r="H42" s="67"/>
    </row>
    <row r="43" spans="1:8">
      <c r="A43" s="83" t="s">
        <v>512</v>
      </c>
      <c r="B43" s="84"/>
      <c r="C43" s="84"/>
      <c r="D43" s="84"/>
      <c r="E43" s="85"/>
      <c r="F43" s="115">
        <f>+SALARIOS!C45</f>
        <v>0.15</v>
      </c>
      <c r="G43" s="116">
        <f>++F43*H40</f>
        <v>4959.0571428571429</v>
      </c>
      <c r="H43" s="117"/>
    </row>
    <row r="44" spans="1:8">
      <c r="A44" s="83" t="s">
        <v>513</v>
      </c>
      <c r="B44" s="84"/>
      <c r="C44" s="84"/>
      <c r="D44" s="84"/>
      <c r="E44" s="85"/>
      <c r="F44" s="115">
        <f>+SALARIOS!C46</f>
        <v>0.05</v>
      </c>
      <c r="G44" s="116">
        <f>+F44*H40</f>
        <v>1653.0190476190478</v>
      </c>
      <c r="H44" s="117"/>
    </row>
    <row r="45" spans="1:8" ht="15.75" thickBot="1">
      <c r="A45" s="89" t="s">
        <v>514</v>
      </c>
      <c r="B45" s="90"/>
      <c r="C45" s="90"/>
      <c r="D45" s="90"/>
      <c r="E45" s="91"/>
      <c r="F45" s="118">
        <f>+SALARIOS!C47</f>
        <v>0.05</v>
      </c>
      <c r="G45" s="119">
        <f>+F45*H40</f>
        <v>1653.0190476190478</v>
      </c>
      <c r="H45" s="80"/>
    </row>
    <row r="46" spans="1:8" ht="15.75" thickBot="1">
      <c r="A46" s="61"/>
      <c r="B46" s="61"/>
      <c r="C46" s="61"/>
      <c r="D46" s="61"/>
      <c r="E46" s="61"/>
      <c r="F46" s="61"/>
      <c r="G46" s="81" t="s">
        <v>491</v>
      </c>
      <c r="H46" s="120">
        <f>SUM(G43:G45)</f>
        <v>8265.0952380952385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41325</v>
      </c>
    </row>
  </sheetData>
  <mergeCells count="1">
    <mergeCell ref="A3:C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48"/>
  <sheetViews>
    <sheetView topLeftCell="A30" workbookViewId="0">
      <selection activeCell="G12" sqref="G1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575</v>
      </c>
      <c r="B7" s="62"/>
      <c r="C7" s="61"/>
      <c r="D7" s="16"/>
      <c r="E7" s="62"/>
      <c r="F7" s="16"/>
      <c r="G7" s="62" t="s">
        <v>571</v>
      </c>
      <c r="H7" s="61"/>
    </row>
    <row r="8" spans="1:8">
      <c r="A8" s="60" t="s">
        <v>572</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1" t="s">
        <v>486</v>
      </c>
      <c r="E11" s="65" t="s">
        <v>487</v>
      </c>
      <c r="F11" s="151" t="s">
        <v>488</v>
      </c>
      <c r="G11" s="150" t="s">
        <v>489</v>
      </c>
      <c r="H11" s="67"/>
    </row>
    <row r="12" spans="1:8">
      <c r="A12" s="1463" t="s">
        <v>1327</v>
      </c>
      <c r="B12" s="1464"/>
      <c r="C12" s="1465"/>
      <c r="D12" s="68"/>
      <c r="E12" s="86"/>
      <c r="F12" s="161"/>
      <c r="G12" s="71">
        <f>H38*10%</f>
        <v>3650.9775134335378</v>
      </c>
      <c r="H12" s="72"/>
    </row>
    <row r="13" spans="1:8">
      <c r="A13" s="168" t="s">
        <v>63</v>
      </c>
      <c r="B13" s="165"/>
      <c r="C13" s="166"/>
      <c r="D13" s="68" t="s">
        <v>17</v>
      </c>
      <c r="E13" s="86">
        <f>+'EQUIPOS '!D9</f>
        <v>84100</v>
      </c>
      <c r="F13" s="161">
        <v>3</v>
      </c>
      <c r="G13" s="71">
        <f>+E13/F13</f>
        <v>28033.333333333332</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31684.310846766872</v>
      </c>
    </row>
    <row r="19" spans="1:8" ht="15.75" thickBot="1">
      <c r="A19" s="63" t="s">
        <v>492</v>
      </c>
      <c r="B19" s="63"/>
      <c r="C19" s="61"/>
      <c r="D19" s="61"/>
      <c r="E19" s="61"/>
      <c r="F19" s="61"/>
      <c r="G19" s="61"/>
      <c r="H19" s="61"/>
    </row>
    <row r="20" spans="1:8">
      <c r="A20" s="1472" t="s">
        <v>485</v>
      </c>
      <c r="B20" s="1473"/>
      <c r="C20" s="1474"/>
      <c r="D20" s="153" t="s">
        <v>493</v>
      </c>
      <c r="E20" s="153" t="s">
        <v>494</v>
      </c>
      <c r="F20" s="153" t="s">
        <v>495</v>
      </c>
      <c r="G20" s="152"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1" t="s">
        <v>499</v>
      </c>
      <c r="E27" s="151" t="s">
        <v>500</v>
      </c>
      <c r="F27" s="151"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1" t="s">
        <v>504</v>
      </c>
      <c r="D33" s="151" t="s">
        <v>505</v>
      </c>
      <c r="E33" s="124" t="s">
        <v>506</v>
      </c>
      <c r="F33" s="102" t="s">
        <v>488</v>
      </c>
      <c r="G33" s="150" t="s">
        <v>489</v>
      </c>
      <c r="H33" s="67"/>
    </row>
    <row r="34" spans="1:8">
      <c r="A34" s="83" t="s">
        <v>554</v>
      </c>
      <c r="B34" s="84"/>
      <c r="C34" s="103">
        <f>+SALARIOS!C49*2</f>
        <v>51144</v>
      </c>
      <c r="D34" s="104">
        <f>+SALARIOS!C48</f>
        <v>1.7846558312967005</v>
      </c>
      <c r="E34" s="69">
        <f>(C34*D34)</f>
        <v>91274.437835838442</v>
      </c>
      <c r="F34" s="69">
        <v>2.5</v>
      </c>
      <c r="G34" s="105">
        <f>E34/F34</f>
        <v>36509.775134335374</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36509.775134335374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68194.085981102253</v>
      </c>
    </row>
    <row r="41" spans="1:8" ht="15.75" thickBot="1">
      <c r="A41" s="63" t="s">
        <v>509</v>
      </c>
      <c r="B41" s="63"/>
      <c r="C41" s="61"/>
      <c r="D41" s="61"/>
      <c r="E41" s="61"/>
      <c r="F41" s="61"/>
      <c r="G41" s="61"/>
      <c r="H41" s="61"/>
    </row>
    <row r="42" spans="1:8">
      <c r="A42" s="110" t="s">
        <v>485</v>
      </c>
      <c r="B42" s="111"/>
      <c r="C42" s="111"/>
      <c r="D42" s="111"/>
      <c r="E42" s="112"/>
      <c r="F42" s="153" t="s">
        <v>510</v>
      </c>
      <c r="G42" s="152" t="s">
        <v>511</v>
      </c>
      <c r="H42" s="67"/>
    </row>
    <row r="43" spans="1:8">
      <c r="A43" s="83" t="s">
        <v>512</v>
      </c>
      <c r="B43" s="84"/>
      <c r="C43" s="84"/>
      <c r="D43" s="84"/>
      <c r="E43" s="85"/>
      <c r="F43" s="115">
        <f>(SALARIOS!C45)</f>
        <v>0.15</v>
      </c>
      <c r="G43" s="116">
        <f>++F43*H40</f>
        <v>10229.112897165338</v>
      </c>
      <c r="H43" s="117"/>
    </row>
    <row r="44" spans="1:8">
      <c r="A44" s="83" t="s">
        <v>513</v>
      </c>
      <c r="B44" s="84"/>
      <c r="C44" s="84"/>
      <c r="D44" s="84"/>
      <c r="E44" s="85"/>
      <c r="F44" s="115">
        <f>(SALARIOS!C46)</f>
        <v>0.05</v>
      </c>
      <c r="G44" s="116">
        <f>+F44*H40</f>
        <v>3409.7042990551126</v>
      </c>
      <c r="H44" s="117"/>
    </row>
    <row r="45" spans="1:8" ht="15.75" thickBot="1">
      <c r="A45" s="89" t="s">
        <v>514</v>
      </c>
      <c r="B45" s="90"/>
      <c r="C45" s="90"/>
      <c r="D45" s="90"/>
      <c r="E45" s="91"/>
      <c r="F45" s="118">
        <f>(SALARIOS!C47)</f>
        <v>0.05</v>
      </c>
      <c r="G45" s="119">
        <f>+F45*H40</f>
        <v>3409.7042990551126</v>
      </c>
      <c r="H45" s="80"/>
    </row>
    <row r="46" spans="1:8" ht="15.75" thickBot="1">
      <c r="A46" s="61"/>
      <c r="B46" s="61"/>
      <c r="C46" s="61"/>
      <c r="D46" s="61"/>
      <c r="E46" s="61"/>
      <c r="F46" s="61"/>
      <c r="G46" s="81" t="s">
        <v>491</v>
      </c>
      <c r="H46" s="120">
        <f>SUM(G43:G45)</f>
        <v>17048.521495275563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85243</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7"/>
  <sheetViews>
    <sheetView topLeftCell="A19"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28" t="s">
        <v>520</v>
      </c>
      <c r="B5" s="329"/>
      <c r="C5" s="330"/>
      <c r="D5" s="316"/>
      <c r="E5" s="317"/>
      <c r="F5" s="317"/>
      <c r="G5" s="317"/>
      <c r="H5" s="318"/>
    </row>
    <row r="6" spans="1:8">
      <c r="A6" s="60"/>
      <c r="B6" s="61"/>
      <c r="C6" s="61"/>
      <c r="D6" s="61"/>
      <c r="E6" s="61"/>
      <c r="F6" s="61"/>
      <c r="G6" s="61"/>
      <c r="H6" s="61"/>
    </row>
    <row r="7" spans="1:8">
      <c r="A7" s="60" t="s">
        <v>1124</v>
      </c>
      <c r="B7" s="62"/>
      <c r="C7" s="61"/>
      <c r="D7" s="16"/>
      <c r="E7" s="62"/>
      <c r="F7" s="16"/>
      <c r="G7" s="62" t="s">
        <v>1123</v>
      </c>
      <c r="H7" s="61"/>
    </row>
    <row r="8" spans="1:8">
      <c r="A8" s="60" t="s">
        <v>1125</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19" t="s">
        <v>485</v>
      </c>
      <c r="B11" s="320"/>
      <c r="C11" s="321"/>
      <c r="D11" s="321" t="s">
        <v>486</v>
      </c>
      <c r="E11" s="65" t="s">
        <v>487</v>
      </c>
      <c r="F11" s="321" t="s">
        <v>488</v>
      </c>
      <c r="G11" s="320" t="s">
        <v>489</v>
      </c>
      <c r="H11" s="67"/>
    </row>
    <row r="12" spans="1:8">
      <c r="A12" s="175" t="s">
        <v>1327</v>
      </c>
      <c r="B12" s="176"/>
      <c r="C12" s="174"/>
      <c r="D12" s="174"/>
      <c r="E12" s="173"/>
      <c r="F12" s="69"/>
      <c r="G12" s="173">
        <f>H37*10%</f>
        <v>774.10310225638568</v>
      </c>
      <c r="H12" s="72"/>
    </row>
    <row r="13" spans="1:8">
      <c r="A13" s="322"/>
      <c r="B13" s="323"/>
      <c r="C13" s="324"/>
      <c r="D13" s="73"/>
      <c r="E13" s="74"/>
      <c r="F13" s="69"/>
      <c r="G13" s="71"/>
      <c r="H13" s="72"/>
    </row>
    <row r="14" spans="1:8">
      <c r="A14" s="322"/>
      <c r="B14" s="323"/>
      <c r="C14" s="324"/>
      <c r="D14" s="73"/>
      <c r="E14" s="74"/>
      <c r="F14" s="69"/>
      <c r="G14" s="71"/>
      <c r="H14" s="72"/>
    </row>
    <row r="15" spans="1:8">
      <c r="A15" s="322"/>
      <c r="B15" s="323"/>
      <c r="C15" s="324"/>
      <c r="D15" s="73"/>
      <c r="E15" s="74"/>
      <c r="F15" s="69"/>
      <c r="G15" s="71"/>
      <c r="H15" s="72"/>
    </row>
    <row r="16" spans="1:8" ht="15.75" thickBot="1">
      <c r="A16" s="325"/>
      <c r="B16" s="326"/>
      <c r="C16" s="327"/>
      <c r="D16" s="76"/>
      <c r="E16" s="77"/>
      <c r="F16" s="78"/>
      <c r="G16" s="79"/>
      <c r="H16" s="80"/>
    </row>
    <row r="17" spans="1:8" ht="15.75" thickBot="1">
      <c r="A17" s="61"/>
      <c r="B17" s="61"/>
      <c r="C17" s="61"/>
      <c r="D17" s="61"/>
      <c r="E17" s="61"/>
      <c r="F17" s="61"/>
      <c r="G17" s="81" t="s">
        <v>491</v>
      </c>
      <c r="H17" s="82">
        <f>SUM(G12:G16)</f>
        <v>774.10310225638568</v>
      </c>
    </row>
    <row r="18" spans="1:8" ht="15.75" thickBot="1">
      <c r="A18" s="63" t="s">
        <v>492</v>
      </c>
      <c r="B18" s="63"/>
      <c r="C18" s="61"/>
      <c r="D18" s="61"/>
      <c r="E18" s="61"/>
      <c r="F18" s="61"/>
      <c r="G18" s="61"/>
      <c r="H18" s="61"/>
    </row>
    <row r="19" spans="1:8">
      <c r="A19" s="331" t="s">
        <v>485</v>
      </c>
      <c r="B19" s="332"/>
      <c r="C19" s="333"/>
      <c r="D19" s="333" t="s">
        <v>493</v>
      </c>
      <c r="E19" s="333" t="s">
        <v>494</v>
      </c>
      <c r="F19" s="333" t="s">
        <v>495</v>
      </c>
      <c r="G19" s="332" t="s">
        <v>489</v>
      </c>
      <c r="H19" s="67"/>
    </row>
    <row r="20" spans="1:8">
      <c r="A20" s="127"/>
      <c r="B20" s="84"/>
      <c r="C20" s="85"/>
      <c r="D20" s="141"/>
      <c r="E20" s="139"/>
      <c r="F20" s="163"/>
      <c r="G20" s="137"/>
      <c r="H20" s="59"/>
    </row>
    <row r="21" spans="1:8">
      <c r="A21" s="127"/>
      <c r="B21" s="84"/>
      <c r="C21" s="85"/>
      <c r="D21" s="68"/>
      <c r="E21" s="142"/>
      <c r="F21" s="69"/>
      <c r="G21" s="69"/>
      <c r="H21" s="59"/>
    </row>
    <row r="22" spans="1:8">
      <c r="A22" s="128"/>
      <c r="B22" s="129"/>
      <c r="C22" s="130"/>
      <c r="D22" s="131"/>
      <c r="E22" s="132"/>
      <c r="F22" s="315"/>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319" t="s">
        <v>497</v>
      </c>
      <c r="B26" s="321"/>
      <c r="C26" s="93" t="s">
        <v>498</v>
      </c>
      <c r="D26" s="321" t="s">
        <v>499</v>
      </c>
      <c r="E26" s="321" t="s">
        <v>500</v>
      </c>
      <c r="F26" s="321"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19" t="s">
        <v>503</v>
      </c>
      <c r="B32" s="321"/>
      <c r="C32" s="321" t="s">
        <v>504</v>
      </c>
      <c r="D32" s="321" t="s">
        <v>505</v>
      </c>
      <c r="E32" s="124" t="s">
        <v>506</v>
      </c>
      <c r="F32" s="102" t="s">
        <v>488</v>
      </c>
      <c r="G32" s="320" t="s">
        <v>489</v>
      </c>
      <c r="H32" s="67"/>
    </row>
    <row r="33" spans="1:8">
      <c r="A33" s="83" t="s">
        <v>624</v>
      </c>
      <c r="B33" s="84"/>
      <c r="C33" s="103">
        <f>+SALARIOS!C50</f>
        <v>41660</v>
      </c>
      <c r="D33" s="104">
        <f>+SALARIOS!C48</f>
        <v>1.7846558312967005</v>
      </c>
      <c r="E33" s="69">
        <f>+C33*D33</f>
        <v>74348.76193182054</v>
      </c>
      <c r="F33" s="69">
        <v>15.5</v>
      </c>
      <c r="G33" s="105">
        <f>+E33/F33</f>
        <v>4796.6943181819706</v>
      </c>
      <c r="H33" s="72"/>
    </row>
    <row r="34" spans="1:8">
      <c r="A34" s="83" t="s">
        <v>1132</v>
      </c>
      <c r="B34" s="84"/>
      <c r="C34" s="103">
        <f>SALARIOS!C49</f>
        <v>25572</v>
      </c>
      <c r="D34" s="401">
        <f>SALARIOS!C48</f>
        <v>1.7846558312967005</v>
      </c>
      <c r="E34" s="69">
        <f>+C34*D34</f>
        <v>45637.218917919221</v>
      </c>
      <c r="F34" s="69">
        <v>15.5</v>
      </c>
      <c r="G34" s="105">
        <f>+E34/F34</f>
        <v>2944.3367043818853</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7741.0310225638559</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8515.1341248202407</v>
      </c>
    </row>
    <row r="40" spans="1:8" ht="15.75" thickBot="1">
      <c r="A40" s="63" t="s">
        <v>509</v>
      </c>
      <c r="B40" s="63"/>
      <c r="C40" s="61"/>
      <c r="D40" s="61"/>
      <c r="E40" s="61"/>
      <c r="F40" s="61"/>
      <c r="G40" s="61"/>
      <c r="H40" s="61"/>
    </row>
    <row r="41" spans="1:8">
      <c r="A41" s="233" t="s">
        <v>485</v>
      </c>
      <c r="B41" s="332"/>
      <c r="C41" s="332"/>
      <c r="D41" s="332"/>
      <c r="E41" s="333"/>
      <c r="F41" s="333" t="s">
        <v>510</v>
      </c>
      <c r="G41" s="332" t="s">
        <v>511</v>
      </c>
      <c r="H41" s="67"/>
    </row>
    <row r="42" spans="1:8">
      <c r="A42" s="83" t="s">
        <v>512</v>
      </c>
      <c r="B42" s="84"/>
      <c r="C42" s="84"/>
      <c r="D42" s="84"/>
      <c r="E42" s="85"/>
      <c r="F42" s="115">
        <f>+SALARIOS!C45</f>
        <v>0.15</v>
      </c>
      <c r="G42" s="116">
        <f>++F42*H39</f>
        <v>1277.2701187230361</v>
      </c>
      <c r="H42" s="117"/>
    </row>
    <row r="43" spans="1:8">
      <c r="A43" s="83" t="s">
        <v>513</v>
      </c>
      <c r="B43" s="84"/>
      <c r="C43" s="84"/>
      <c r="D43" s="84"/>
      <c r="E43" s="85"/>
      <c r="F43" s="115">
        <f>+SALARIOS!C46</f>
        <v>0.05</v>
      </c>
      <c r="G43" s="116">
        <f>+F43*H39</f>
        <v>425.75670624101207</v>
      </c>
      <c r="H43" s="117"/>
    </row>
    <row r="44" spans="1:8" ht="15.75" thickBot="1">
      <c r="A44" s="89" t="s">
        <v>514</v>
      </c>
      <c r="B44" s="90"/>
      <c r="C44" s="90"/>
      <c r="D44" s="90"/>
      <c r="E44" s="91"/>
      <c r="F44" s="118">
        <f>+SALARIOS!C47</f>
        <v>0.05</v>
      </c>
      <c r="G44" s="119">
        <f>+F44*H39</f>
        <v>425.75670624101207</v>
      </c>
      <c r="H44" s="80"/>
    </row>
    <row r="45" spans="1:8" ht="15.75" thickBot="1">
      <c r="A45" s="61"/>
      <c r="B45" s="61"/>
      <c r="C45" s="61"/>
      <c r="D45" s="61"/>
      <c r="E45" s="61"/>
      <c r="F45" s="61"/>
      <c r="G45" s="81" t="s">
        <v>491</v>
      </c>
      <c r="H45" s="120">
        <f>SUM(G42:G44)</f>
        <v>2128.7835312050602</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10644</v>
      </c>
    </row>
  </sheetData>
  <mergeCells count="1">
    <mergeCell ref="A3:C4"/>
  </mergeCells>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7"/>
  <sheetViews>
    <sheetView workbookViewId="0">
      <selection activeCell="G13" sqref="G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1126</v>
      </c>
      <c r="H7" s="61"/>
    </row>
    <row r="8" spans="1:8">
      <c r="A8" s="60" t="s">
        <v>1127</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176"/>
      <c r="C12" s="174"/>
      <c r="D12" s="174"/>
      <c r="E12" s="173"/>
      <c r="F12" s="69"/>
      <c r="G12" s="173">
        <f>H37*10%</f>
        <v>774.10310225638568</v>
      </c>
      <c r="H12" s="72"/>
    </row>
    <row r="13" spans="1:8">
      <c r="A13" s="344"/>
      <c r="B13" s="345"/>
      <c r="C13" s="346"/>
      <c r="D13" s="73"/>
      <c r="E13" s="74"/>
      <c r="F13" s="69"/>
      <c r="G13" s="71"/>
      <c r="H13" s="72"/>
    </row>
    <row r="14" spans="1:8">
      <c r="A14" s="344"/>
      <c r="B14" s="345"/>
      <c r="C14" s="346"/>
      <c r="D14" s="73"/>
      <c r="E14" s="74"/>
      <c r="F14" s="69"/>
      <c r="G14" s="71"/>
      <c r="H14" s="72"/>
    </row>
    <row r="15" spans="1:8">
      <c r="A15" s="344"/>
      <c r="B15" s="345"/>
      <c r="C15" s="346"/>
      <c r="D15" s="73"/>
      <c r="E15" s="74"/>
      <c r="F15" s="69"/>
      <c r="G15" s="71"/>
      <c r="H15" s="72"/>
    </row>
    <row r="16" spans="1:8" ht="15.75" thickBot="1">
      <c r="A16" s="347"/>
      <c r="B16" s="348"/>
      <c r="C16" s="349"/>
      <c r="D16" s="76"/>
      <c r="E16" s="77"/>
      <c r="F16" s="78"/>
      <c r="G16" s="79"/>
      <c r="H16" s="80"/>
    </row>
    <row r="17" spans="1:8" ht="15.75" thickBot="1">
      <c r="A17" s="61"/>
      <c r="B17" s="61"/>
      <c r="C17" s="61"/>
      <c r="D17" s="61"/>
      <c r="E17" s="61"/>
      <c r="F17" s="61"/>
      <c r="G17" s="81" t="s">
        <v>491</v>
      </c>
      <c r="H17" s="82">
        <f>SUM(G12:G16)</f>
        <v>774.10310225638568</v>
      </c>
    </row>
    <row r="18" spans="1:8" ht="15.75" thickBot="1">
      <c r="A18" s="63" t="s">
        <v>492</v>
      </c>
      <c r="B18" s="63"/>
      <c r="C18" s="61"/>
      <c r="D18" s="61"/>
      <c r="E18" s="61"/>
      <c r="F18" s="61"/>
      <c r="G18" s="61"/>
      <c r="H18" s="61"/>
    </row>
    <row r="19" spans="1:8">
      <c r="A19" s="350" t="s">
        <v>485</v>
      </c>
      <c r="B19" s="351"/>
      <c r="C19" s="352"/>
      <c r="D19" s="352" t="s">
        <v>493</v>
      </c>
      <c r="E19" s="352" t="s">
        <v>494</v>
      </c>
      <c r="F19" s="352" t="s">
        <v>495</v>
      </c>
      <c r="G19" s="351" t="s">
        <v>489</v>
      </c>
      <c r="H19" s="67"/>
    </row>
    <row r="20" spans="1:8">
      <c r="A20" s="127"/>
      <c r="B20" s="84"/>
      <c r="C20" s="85"/>
      <c r="D20" s="141"/>
      <c r="E20" s="139"/>
      <c r="F20" s="163"/>
      <c r="G20" s="137"/>
      <c r="H20" s="59"/>
    </row>
    <row r="21" spans="1:8">
      <c r="A21" s="127"/>
      <c r="B21" s="84"/>
      <c r="C21" s="85"/>
      <c r="D21" s="68"/>
      <c r="E21" s="142"/>
      <c r="F21" s="69"/>
      <c r="G21" s="69"/>
      <c r="H21" s="59"/>
    </row>
    <row r="22" spans="1:8">
      <c r="A22" s="128"/>
      <c r="B22" s="129"/>
      <c r="C22" s="130"/>
      <c r="D22" s="131"/>
      <c r="E22" s="132"/>
      <c r="F22" s="315"/>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338" t="s">
        <v>497</v>
      </c>
      <c r="B26" s="340"/>
      <c r="C26" s="93" t="s">
        <v>498</v>
      </c>
      <c r="D26" s="340" t="s">
        <v>499</v>
      </c>
      <c r="E26" s="340" t="s">
        <v>500</v>
      </c>
      <c r="F26" s="34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38" t="s">
        <v>503</v>
      </c>
      <c r="B32" s="340"/>
      <c r="C32" s="340" t="s">
        <v>504</v>
      </c>
      <c r="D32" s="340" t="s">
        <v>505</v>
      </c>
      <c r="E32" s="124" t="s">
        <v>506</v>
      </c>
      <c r="F32" s="102" t="s">
        <v>488</v>
      </c>
      <c r="G32" s="339" t="s">
        <v>489</v>
      </c>
      <c r="H32" s="67"/>
    </row>
    <row r="33" spans="1:8">
      <c r="A33" s="83" t="s">
        <v>624</v>
      </c>
      <c r="B33" s="84"/>
      <c r="C33" s="103">
        <f>+SALARIOS!C50</f>
        <v>41660</v>
      </c>
      <c r="D33" s="104">
        <f>+SALARIOS!C48</f>
        <v>1.7846558312967005</v>
      </c>
      <c r="E33" s="69">
        <f>+C33*D33</f>
        <v>74348.76193182054</v>
      </c>
      <c r="F33" s="69">
        <v>15.5</v>
      </c>
      <c r="G33" s="105">
        <f>+E33/F33</f>
        <v>4796.6943181819706</v>
      </c>
      <c r="H33" s="72"/>
    </row>
    <row r="34" spans="1:8">
      <c r="A34" s="83" t="s">
        <v>1132</v>
      </c>
      <c r="B34" s="84"/>
      <c r="C34" s="103">
        <f>SALARIOS!C49</f>
        <v>25572</v>
      </c>
      <c r="D34" s="401">
        <f>SALARIOS!C48</f>
        <v>1.7846558312967005</v>
      </c>
      <c r="E34" s="69">
        <f>+C34*D34</f>
        <v>45637.218917919221</v>
      </c>
      <c r="F34" s="69">
        <v>15.5</v>
      </c>
      <c r="G34" s="105">
        <f>+E34/F34</f>
        <v>2944.3367043818853</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7741.0310225638559</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8515.1341248202407</v>
      </c>
    </row>
    <row r="40" spans="1:8" ht="15.75" thickBot="1">
      <c r="A40" s="63" t="s">
        <v>509</v>
      </c>
      <c r="B40" s="63"/>
      <c r="C40" s="61"/>
      <c r="D40" s="61"/>
      <c r="E40" s="61"/>
      <c r="F40" s="61"/>
      <c r="G40" s="61"/>
      <c r="H40" s="61"/>
    </row>
    <row r="41" spans="1:8">
      <c r="A41" s="233" t="s">
        <v>485</v>
      </c>
      <c r="B41" s="351"/>
      <c r="C41" s="351"/>
      <c r="D41" s="351"/>
      <c r="E41" s="352"/>
      <c r="F41" s="352" t="s">
        <v>510</v>
      </c>
      <c r="G41" s="351" t="s">
        <v>511</v>
      </c>
      <c r="H41" s="67"/>
    </row>
    <row r="42" spans="1:8">
      <c r="A42" s="83" t="s">
        <v>512</v>
      </c>
      <c r="B42" s="84"/>
      <c r="C42" s="84"/>
      <c r="D42" s="84"/>
      <c r="E42" s="85"/>
      <c r="F42" s="115">
        <f>+SALARIOS!C45</f>
        <v>0.15</v>
      </c>
      <c r="G42" s="116">
        <f>++F42*H39</f>
        <v>1277.2701187230361</v>
      </c>
      <c r="H42" s="117"/>
    </row>
    <row r="43" spans="1:8">
      <c r="A43" s="83" t="s">
        <v>513</v>
      </c>
      <c r="B43" s="84"/>
      <c r="C43" s="84"/>
      <c r="D43" s="84"/>
      <c r="E43" s="85"/>
      <c r="F43" s="115">
        <f>+SALARIOS!C46</f>
        <v>0.05</v>
      </c>
      <c r="G43" s="116">
        <f>+F43*H39</f>
        <v>425.75670624101207</v>
      </c>
      <c r="H43" s="117"/>
    </row>
    <row r="44" spans="1:8" ht="15.75" thickBot="1">
      <c r="A44" s="89" t="s">
        <v>514</v>
      </c>
      <c r="B44" s="90"/>
      <c r="C44" s="90"/>
      <c r="D44" s="90"/>
      <c r="E44" s="91"/>
      <c r="F44" s="118">
        <f>+SALARIOS!C47</f>
        <v>0.05</v>
      </c>
      <c r="G44" s="119">
        <f>+F44*H39</f>
        <v>425.75670624101207</v>
      </c>
      <c r="H44" s="80"/>
    </row>
    <row r="45" spans="1:8" ht="15.75" thickBot="1">
      <c r="A45" s="61"/>
      <c r="B45" s="61"/>
      <c r="C45" s="61"/>
      <c r="D45" s="61"/>
      <c r="E45" s="61"/>
      <c r="F45" s="61"/>
      <c r="G45" s="81" t="s">
        <v>491</v>
      </c>
      <c r="H45" s="120">
        <f>SUM(G42:G44)</f>
        <v>2128.7835312050602</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10644</v>
      </c>
    </row>
  </sheetData>
  <mergeCells count="1">
    <mergeCell ref="A3:C4"/>
  </mergeCells>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10" workbookViewId="0">
      <selection activeCell="G35" sqref="G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1128</v>
      </c>
      <c r="H7" s="61"/>
    </row>
    <row r="8" spans="1:8">
      <c r="A8" s="60" t="s">
        <v>1129</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234" t="s">
        <v>1327</v>
      </c>
      <c r="B12" s="353"/>
      <c r="C12" s="354"/>
      <c r="D12" s="68"/>
      <c r="E12" s="86"/>
      <c r="F12" s="161"/>
      <c r="G12" s="71">
        <f>H38*10%</f>
        <v>892.54216004586488</v>
      </c>
      <c r="H12" s="72"/>
    </row>
    <row r="13" spans="1:8">
      <c r="A13" s="175"/>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892.54216004586488</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8.33</v>
      </c>
      <c r="G34" s="105">
        <f>E34/F34</f>
        <v>8925.4216004586488</v>
      </c>
      <c r="H34" s="72"/>
    </row>
    <row r="35" spans="1:8">
      <c r="A35" s="83"/>
      <c r="B35" s="84"/>
      <c r="C35" s="103"/>
      <c r="D35" s="33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8925.4216004586488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9817.9637605045136</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1472.6945640756769</v>
      </c>
      <c r="H43" s="117"/>
    </row>
    <row r="44" spans="1:8">
      <c r="A44" s="83" t="s">
        <v>513</v>
      </c>
      <c r="B44" s="84"/>
      <c r="C44" s="84"/>
      <c r="D44" s="84"/>
      <c r="E44" s="85"/>
      <c r="F44" s="115">
        <f>+SALARIOS!C46</f>
        <v>0.05</v>
      </c>
      <c r="G44" s="116">
        <f>+F44*H40</f>
        <v>490.89818802522569</v>
      </c>
      <c r="H44" s="117"/>
    </row>
    <row r="45" spans="1:8" ht="15.75" thickBot="1">
      <c r="A45" s="89" t="s">
        <v>514</v>
      </c>
      <c r="B45" s="90"/>
      <c r="C45" s="90"/>
      <c r="D45" s="90"/>
      <c r="E45" s="91"/>
      <c r="F45" s="118">
        <f>+SALARIOS!C47</f>
        <v>0.05</v>
      </c>
      <c r="G45" s="119">
        <f>+F45*H40</f>
        <v>490.89818802522569</v>
      </c>
      <c r="H45" s="80"/>
    </row>
    <row r="46" spans="1:8" ht="15.75" thickBot="1">
      <c r="A46" s="61"/>
      <c r="B46" s="61"/>
      <c r="C46" s="61"/>
      <c r="D46" s="61"/>
      <c r="E46" s="61"/>
      <c r="F46" s="61"/>
      <c r="G46" s="81" t="s">
        <v>491</v>
      </c>
      <c r="H46" s="120">
        <f>SUM(G43:G45)</f>
        <v>2454.4909401261284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12272</v>
      </c>
    </row>
  </sheetData>
  <mergeCells count="1">
    <mergeCell ref="A3:C4"/>
  </mergeCells>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31"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1130</v>
      </c>
      <c r="H7" s="61"/>
    </row>
    <row r="8" spans="1:8">
      <c r="A8" s="60" t="s">
        <v>1131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2051.0424076878594</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2051.0424076878594</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5.85</v>
      </c>
      <c r="G34" s="105">
        <f>+E34/F34</f>
        <v>12709.190073815478</v>
      </c>
      <c r="H34" s="72"/>
    </row>
    <row r="35" spans="1:8">
      <c r="A35" s="83" t="s">
        <v>1132</v>
      </c>
      <c r="B35" s="84"/>
      <c r="C35" s="103">
        <f>+SALARIOS!C49*1</f>
        <v>25572</v>
      </c>
      <c r="D35" s="334">
        <f>+SALARIOS!C48</f>
        <v>1.7846558312967005</v>
      </c>
      <c r="E35" s="69">
        <f>+C35*D35</f>
        <v>45637.218917919221</v>
      </c>
      <c r="F35" s="69">
        <v>5.85</v>
      </c>
      <c r="G35" s="105">
        <f>+E35/F35</f>
        <v>7801.2340030631149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20510.424076878593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22561.466484566452</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3384.2199726849676</v>
      </c>
      <c r="H43" s="117"/>
    </row>
    <row r="44" spans="1:8">
      <c r="A44" s="83" t="s">
        <v>513</v>
      </c>
      <c r="B44" s="84"/>
      <c r="C44" s="84"/>
      <c r="D44" s="84"/>
      <c r="E44" s="85"/>
      <c r="F44" s="115">
        <f>+SALARIOS!C46</f>
        <v>0.05</v>
      </c>
      <c r="G44" s="116">
        <f>+F44*H40</f>
        <v>1128.0733242283227</v>
      </c>
      <c r="H44" s="117"/>
    </row>
    <row r="45" spans="1:8" ht="15.75" thickBot="1">
      <c r="A45" s="89" t="s">
        <v>514</v>
      </c>
      <c r="B45" s="90"/>
      <c r="C45" s="90"/>
      <c r="D45" s="90"/>
      <c r="E45" s="91"/>
      <c r="F45" s="118">
        <f>+SALARIOS!C47</f>
        <v>0.05</v>
      </c>
      <c r="G45" s="119">
        <f>+F45*H40</f>
        <v>1128.0733242283227</v>
      </c>
      <c r="H45" s="80"/>
    </row>
    <row r="46" spans="1:8" ht="15.75" thickBot="1">
      <c r="A46" s="61"/>
      <c r="B46" s="61"/>
      <c r="C46" s="61"/>
      <c r="D46" s="61"/>
      <c r="E46" s="61"/>
      <c r="F46" s="61"/>
      <c r="G46" s="81" t="s">
        <v>491</v>
      </c>
      <c r="H46" s="120">
        <f>SUM(G43:G45)</f>
        <v>5640.366621141613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28202</v>
      </c>
    </row>
  </sheetData>
  <mergeCells count="1">
    <mergeCell ref="A3:C4"/>
  </mergeCells>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28"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1133</v>
      </c>
      <c r="H7" s="61"/>
    </row>
    <row r="8" spans="1:8">
      <c r="A8" s="60" t="s">
        <v>1134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5127.6060192196492</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5127.6060192196492</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2.34</v>
      </c>
      <c r="G34" s="105">
        <f>+E34/F34</f>
        <v>31772.975184538693</v>
      </c>
      <c r="H34" s="72"/>
    </row>
    <row r="35" spans="1:8">
      <c r="A35" s="83" t="s">
        <v>1132</v>
      </c>
      <c r="B35" s="84"/>
      <c r="C35" s="103">
        <f>+SALARIOS!C49*1</f>
        <v>25572</v>
      </c>
      <c r="D35" s="334">
        <f>+SALARIOS!C48</f>
        <v>1.7846558312967005</v>
      </c>
      <c r="E35" s="69">
        <f>+C35*D35</f>
        <v>45637.218917919221</v>
      </c>
      <c r="F35" s="69">
        <v>2.34</v>
      </c>
      <c r="G35" s="105">
        <f>+E35/F35</f>
        <v>19503.085007657788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51276.060192196484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56403.66621141613</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8460.5499317124195</v>
      </c>
      <c r="H43" s="117"/>
    </row>
    <row r="44" spans="1:8">
      <c r="A44" s="83" t="s">
        <v>513</v>
      </c>
      <c r="B44" s="84"/>
      <c r="C44" s="84"/>
      <c r="D44" s="84"/>
      <c r="E44" s="85"/>
      <c r="F44" s="115">
        <f>+SALARIOS!C46</f>
        <v>0.05</v>
      </c>
      <c r="G44" s="116">
        <f>+F44*H40</f>
        <v>2820.1833105708065</v>
      </c>
      <c r="H44" s="117"/>
    </row>
    <row r="45" spans="1:8" ht="15.75" thickBot="1">
      <c r="A45" s="89" t="s">
        <v>514</v>
      </c>
      <c r="B45" s="90"/>
      <c r="C45" s="90"/>
      <c r="D45" s="90"/>
      <c r="E45" s="91"/>
      <c r="F45" s="118">
        <f>+SALARIOS!C47</f>
        <v>0.05</v>
      </c>
      <c r="G45" s="119">
        <f>+F45*H40</f>
        <v>2820.1833105708065</v>
      </c>
      <c r="H45" s="80"/>
    </row>
    <row r="46" spans="1:8" ht="15.75" thickBot="1">
      <c r="A46" s="61"/>
      <c r="B46" s="61"/>
      <c r="C46" s="61"/>
      <c r="D46" s="61"/>
      <c r="E46" s="61"/>
      <c r="F46" s="61"/>
      <c r="G46" s="81" t="s">
        <v>491</v>
      </c>
      <c r="H46" s="120">
        <f>SUM(G43:G45)</f>
        <v>14100.916552854032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70505</v>
      </c>
    </row>
  </sheetData>
  <mergeCells count="1">
    <mergeCell ref="A3:C4"/>
  </mergeCell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25"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1135</v>
      </c>
      <c r="H7" s="61"/>
    </row>
    <row r="8" spans="1:8">
      <c r="A8" s="60" t="s">
        <v>1136</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10907.816440885434</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10907.816440885434</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1.1000000000000001</v>
      </c>
      <c r="G34" s="105">
        <f>+E34/F34</f>
        <v>67589.783574382309</v>
      </c>
      <c r="H34" s="72"/>
    </row>
    <row r="35" spans="1:8">
      <c r="A35" s="83" t="s">
        <v>1132</v>
      </c>
      <c r="B35" s="84"/>
      <c r="C35" s="103">
        <f>+SALARIOS!C49*1</f>
        <v>25572</v>
      </c>
      <c r="D35" s="334">
        <f>+SALARIOS!C48</f>
        <v>1.7846558312967005</v>
      </c>
      <c r="E35" s="69">
        <f>+C35*D35</f>
        <v>45637.218917919221</v>
      </c>
      <c r="F35" s="69">
        <v>1.1000000000000001</v>
      </c>
      <c r="G35" s="105">
        <f>+E35/F35</f>
        <v>41488.380834472016</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109078.16440885433</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119985.98084973976</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17997.897127460965</v>
      </c>
      <c r="H43" s="117"/>
    </row>
    <row r="44" spans="1:8">
      <c r="A44" s="83" t="s">
        <v>513</v>
      </c>
      <c r="B44" s="84"/>
      <c r="C44" s="84"/>
      <c r="D44" s="84"/>
      <c r="E44" s="85"/>
      <c r="F44" s="115">
        <f>+SALARIOS!C46</f>
        <v>0.05</v>
      </c>
      <c r="G44" s="116">
        <f>+F44*H40</f>
        <v>5999.2990424869886</v>
      </c>
      <c r="H44" s="117"/>
    </row>
    <row r="45" spans="1:8" ht="15.75" thickBot="1">
      <c r="A45" s="89" t="s">
        <v>514</v>
      </c>
      <c r="B45" s="90"/>
      <c r="C45" s="90"/>
      <c r="D45" s="90"/>
      <c r="E45" s="91"/>
      <c r="F45" s="118">
        <f>+SALARIOS!C47</f>
        <v>0.05</v>
      </c>
      <c r="G45" s="119">
        <f>+F45*H40</f>
        <v>5999.2990424869886</v>
      </c>
      <c r="H45" s="80"/>
    </row>
    <row r="46" spans="1:8" ht="15.75" thickBot="1">
      <c r="A46" s="61"/>
      <c r="B46" s="61"/>
      <c r="C46" s="61"/>
      <c r="D46" s="61"/>
      <c r="E46" s="61"/>
      <c r="F46" s="61"/>
      <c r="G46" s="81" t="s">
        <v>491</v>
      </c>
      <c r="H46" s="120">
        <f>SUM(G43:G45)</f>
        <v>29996.495212434944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149982</v>
      </c>
    </row>
  </sheetData>
  <mergeCells count="1">
    <mergeCell ref="A3:C4"/>
  </mergeCell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28"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1137</v>
      </c>
      <c r="H7" s="61"/>
    </row>
    <row r="8" spans="1:8">
      <c r="A8" s="60" t="s">
        <v>1138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4723.8575137692824</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4723.8575137692824</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2.54</v>
      </c>
      <c r="G34" s="105">
        <f>+E34/F34</f>
        <v>29271.166114889977</v>
      </c>
      <c r="H34" s="72"/>
    </row>
    <row r="35" spans="1:8">
      <c r="A35" s="83" t="s">
        <v>1132</v>
      </c>
      <c r="B35" s="84"/>
      <c r="C35" s="103">
        <f>+SALARIOS!C49*1</f>
        <v>25572</v>
      </c>
      <c r="D35" s="334">
        <f>+SALARIOS!C48</f>
        <v>1.7846558312967005</v>
      </c>
      <c r="E35" s="69">
        <f>+C35*D35</f>
        <v>45637.218917919221</v>
      </c>
      <c r="F35" s="69">
        <v>2.54</v>
      </c>
      <c r="G35" s="105">
        <f>+E35/F35</f>
        <v>17967.409022802844</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47238.575137692824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51962.432651462106</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7794.3648977193152</v>
      </c>
      <c r="H43" s="117"/>
    </row>
    <row r="44" spans="1:8">
      <c r="A44" s="83" t="s">
        <v>513</v>
      </c>
      <c r="B44" s="84"/>
      <c r="C44" s="84"/>
      <c r="D44" s="84"/>
      <c r="E44" s="85"/>
      <c r="F44" s="115">
        <f>+SALARIOS!C46</f>
        <v>0.05</v>
      </c>
      <c r="G44" s="116">
        <f>+F44*H40</f>
        <v>2598.1216325731057</v>
      </c>
      <c r="H44" s="117"/>
    </row>
    <row r="45" spans="1:8" ht="15.75" thickBot="1">
      <c r="A45" s="89" t="s">
        <v>514</v>
      </c>
      <c r="B45" s="90"/>
      <c r="C45" s="90"/>
      <c r="D45" s="90"/>
      <c r="E45" s="91"/>
      <c r="F45" s="118">
        <f>+SALARIOS!C47</f>
        <v>0.05</v>
      </c>
      <c r="G45" s="119">
        <f>+F45*H40</f>
        <v>2598.1216325731057</v>
      </c>
      <c r="H45" s="80"/>
    </row>
    <row r="46" spans="1:8" ht="15.75" thickBot="1">
      <c r="A46" s="61"/>
      <c r="B46" s="61"/>
      <c r="C46" s="61"/>
      <c r="D46" s="61"/>
      <c r="E46" s="61"/>
      <c r="F46" s="61"/>
      <c r="G46" s="81" t="s">
        <v>491</v>
      </c>
      <c r="H46" s="120">
        <f>SUM(G43:G45)</f>
        <v>12990.608162865527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64953</v>
      </c>
    </row>
  </sheetData>
  <mergeCells count="1">
    <mergeCell ref="A3:C4"/>
  </mergeCells>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28"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1139</v>
      </c>
      <c r="H7" s="61"/>
    </row>
    <row r="8" spans="1:8">
      <c r="A8" s="60" t="s">
        <v>1140</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11649.124354343667</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11649.124354343667</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1.03</v>
      </c>
      <c r="G34" s="105">
        <f>+E34/F34</f>
        <v>72183.264011476247</v>
      </c>
      <c r="H34" s="72"/>
    </row>
    <row r="35" spans="1:8">
      <c r="A35" s="83" t="s">
        <v>1132</v>
      </c>
      <c r="B35" s="84"/>
      <c r="C35" s="103">
        <f>+SALARIOS!C49*1</f>
        <v>25572</v>
      </c>
      <c r="D35" s="334">
        <f>+SALARIOS!C48</f>
        <v>1.7846558312967005</v>
      </c>
      <c r="E35" s="69">
        <f>+C35*D35</f>
        <v>45637.218917919221</v>
      </c>
      <c r="F35" s="69">
        <v>1.03</v>
      </c>
      <c r="G35" s="105">
        <f>+E35/F35</f>
        <v>44307.979531960409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116491.24354343666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128140.36789778034</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19221.05518466705</v>
      </c>
      <c r="H43" s="117"/>
    </row>
    <row r="44" spans="1:8">
      <c r="A44" s="83" t="s">
        <v>513</v>
      </c>
      <c r="B44" s="84"/>
      <c r="C44" s="84"/>
      <c r="D44" s="84"/>
      <c r="E44" s="85"/>
      <c r="F44" s="115">
        <f>+SALARIOS!C46</f>
        <v>0.05</v>
      </c>
      <c r="G44" s="116">
        <f>+F44*H40</f>
        <v>6407.0183948890171</v>
      </c>
      <c r="H44" s="117"/>
    </row>
    <row r="45" spans="1:8" ht="15.75" thickBot="1">
      <c r="A45" s="89" t="s">
        <v>514</v>
      </c>
      <c r="B45" s="90"/>
      <c r="C45" s="90"/>
      <c r="D45" s="90"/>
      <c r="E45" s="91"/>
      <c r="F45" s="118">
        <f>+SALARIOS!C47</f>
        <v>0.05</v>
      </c>
      <c r="G45" s="119">
        <f>+F45*H40</f>
        <v>6407.0183948890171</v>
      </c>
      <c r="H45" s="80"/>
    </row>
    <row r="46" spans="1:8" ht="15.75" thickBot="1">
      <c r="A46" s="61"/>
      <c r="B46" s="61"/>
      <c r="C46" s="61"/>
      <c r="D46" s="61"/>
      <c r="E46" s="61"/>
      <c r="F46" s="61"/>
      <c r="G46" s="81" t="s">
        <v>491</v>
      </c>
      <c r="H46" s="120">
        <f>SUM(G43:G45)</f>
        <v>32035.091974445088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160175</v>
      </c>
    </row>
  </sheetData>
  <mergeCells count="1">
    <mergeCell ref="A3:C4"/>
  </mergeCells>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28" workbookViewId="0">
      <selection activeCell="G13" sqref="G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1141</v>
      </c>
      <c r="H7" s="61"/>
    </row>
    <row r="8" spans="1:8">
      <c r="A8" s="60" t="s">
        <v>1142</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19997.663474956629</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19997.663474956629</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0.6</v>
      </c>
      <c r="G34" s="105">
        <f>+E34/F34</f>
        <v>123914.6032197009</v>
      </c>
      <c r="H34" s="72"/>
    </row>
    <row r="35" spans="1:8">
      <c r="A35" s="83" t="s">
        <v>1132</v>
      </c>
      <c r="B35" s="84"/>
      <c r="C35" s="103">
        <f>+SALARIOS!C49*1</f>
        <v>25572</v>
      </c>
      <c r="D35" s="334">
        <f>+SALARIOS!C48</f>
        <v>1.7846558312967005</v>
      </c>
      <c r="E35" s="69">
        <f>+C35*D35</f>
        <v>45637.218917919221</v>
      </c>
      <c r="F35" s="69">
        <v>0.6</v>
      </c>
      <c r="G35" s="105">
        <f>+E35/F35</f>
        <v>76062.031529865373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199976.63474956626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219974.29822452291</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32996.144733678433</v>
      </c>
      <c r="H43" s="117"/>
    </row>
    <row r="44" spans="1:8">
      <c r="A44" s="83" t="s">
        <v>513</v>
      </c>
      <c r="B44" s="84"/>
      <c r="C44" s="84"/>
      <c r="D44" s="84"/>
      <c r="E44" s="85"/>
      <c r="F44" s="115">
        <f>+SALARIOS!C46</f>
        <v>0.05</v>
      </c>
      <c r="G44" s="116">
        <f>+F44*H40</f>
        <v>10998.714911226147</v>
      </c>
      <c r="H44" s="117"/>
    </row>
    <row r="45" spans="1:8" ht="15.75" thickBot="1">
      <c r="A45" s="89" t="s">
        <v>514</v>
      </c>
      <c r="B45" s="90"/>
      <c r="C45" s="90"/>
      <c r="D45" s="90"/>
      <c r="E45" s="91"/>
      <c r="F45" s="118">
        <f>+SALARIOS!C47</f>
        <v>0.05</v>
      </c>
      <c r="G45" s="119">
        <f>+F45*H40</f>
        <v>10998.714911226147</v>
      </c>
      <c r="H45" s="80"/>
    </row>
    <row r="46" spans="1:8" ht="15.75" thickBot="1">
      <c r="A46" s="61"/>
      <c r="B46" s="61"/>
      <c r="C46" s="61"/>
      <c r="D46" s="61"/>
      <c r="E46" s="61"/>
      <c r="F46" s="61"/>
      <c r="G46" s="81" t="s">
        <v>491</v>
      </c>
      <c r="H46" s="120">
        <f>SUM(G43:G45)</f>
        <v>54993.574556130727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274968</v>
      </c>
    </row>
  </sheetData>
  <mergeCells count="1">
    <mergeCell ref="A3:C4"/>
  </mergeCell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25" workbookViewId="0">
      <selection activeCell="G13" sqref="G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1143</v>
      </c>
      <c r="H7" s="61"/>
    </row>
    <row r="8" spans="1:8">
      <c r="A8" s="60" t="s">
        <v>1144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3</v>
      </c>
      <c r="B12" s="353"/>
      <c r="C12" s="354"/>
      <c r="D12" s="68"/>
      <c r="E12" s="86"/>
      <c r="F12" s="161"/>
      <c r="G12" s="71">
        <f>H38*10%</f>
        <v>24997.079343695787</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24997.079343695787</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0.48</v>
      </c>
      <c r="G34" s="105">
        <f>+E34/F34</f>
        <v>154893.25402462613</v>
      </c>
      <c r="H34" s="72"/>
    </row>
    <row r="35" spans="1:8">
      <c r="A35" s="83" t="s">
        <v>1132</v>
      </c>
      <c r="B35" s="84"/>
      <c r="C35" s="103">
        <f>+SALARIOS!C49*1</f>
        <v>25572</v>
      </c>
      <c r="D35" s="334">
        <f>+SALARIOS!C48</f>
        <v>1.7846558312967005</v>
      </c>
      <c r="E35" s="69">
        <f>+C35*D35</f>
        <v>45637.218917919221</v>
      </c>
      <c r="F35" s="69">
        <v>0.48</v>
      </c>
      <c r="G35" s="105">
        <f>+E35/F35</f>
        <v>95077.539412331709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249970.79343695784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274967.87278065365</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41245.180917098049</v>
      </c>
      <c r="H43" s="117"/>
    </row>
    <row r="44" spans="1:8">
      <c r="A44" s="83" t="s">
        <v>513</v>
      </c>
      <c r="B44" s="84"/>
      <c r="C44" s="84"/>
      <c r="D44" s="84"/>
      <c r="E44" s="85"/>
      <c r="F44" s="115">
        <f>+SALARIOS!C46</f>
        <v>0.05</v>
      </c>
      <c r="G44" s="116">
        <f>+F44*H40</f>
        <v>13748.393639032683</v>
      </c>
      <c r="H44" s="117"/>
    </row>
    <row r="45" spans="1:8" ht="15.75" thickBot="1">
      <c r="A45" s="89" t="s">
        <v>514</v>
      </c>
      <c r="B45" s="90"/>
      <c r="C45" s="90"/>
      <c r="D45" s="90"/>
      <c r="E45" s="91"/>
      <c r="F45" s="118">
        <f>+SALARIOS!C47</f>
        <v>0.05</v>
      </c>
      <c r="G45" s="119">
        <f>+F45*H40</f>
        <v>13748.393639032683</v>
      </c>
      <c r="H45" s="80"/>
    </row>
    <row r="46" spans="1:8" ht="15.75" thickBot="1">
      <c r="A46" s="61"/>
      <c r="B46" s="61"/>
      <c r="C46" s="61"/>
      <c r="D46" s="61"/>
      <c r="E46" s="61"/>
      <c r="F46" s="61"/>
      <c r="G46" s="81" t="s">
        <v>491</v>
      </c>
      <c r="H46" s="120">
        <f>SUM(G43:G45)</f>
        <v>68741.968195163412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343710</v>
      </c>
    </row>
  </sheetData>
  <mergeCells count="1">
    <mergeCell ref="A3:C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48"/>
  <sheetViews>
    <sheetView topLeftCell="A34" workbookViewId="0">
      <selection activeCell="D14" sqref="D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575</v>
      </c>
      <c r="B7" s="62"/>
      <c r="C7" s="61"/>
      <c r="D7" s="16"/>
      <c r="E7" s="62"/>
      <c r="F7" s="16"/>
      <c r="G7" s="62" t="s">
        <v>574</v>
      </c>
      <c r="H7" s="61"/>
    </row>
    <row r="8" spans="1:8">
      <c r="A8" s="60" t="s">
        <v>573</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1" t="s">
        <v>486</v>
      </c>
      <c r="E11" s="65" t="s">
        <v>487</v>
      </c>
      <c r="F11" s="151" t="s">
        <v>488</v>
      </c>
      <c r="G11" s="150" t="s">
        <v>489</v>
      </c>
      <c r="H11" s="67"/>
    </row>
    <row r="12" spans="1:8">
      <c r="A12" s="1463" t="s">
        <v>1327</v>
      </c>
      <c r="B12" s="1464"/>
      <c r="C12" s="1465"/>
      <c r="D12" s="68"/>
      <c r="E12" s="86"/>
      <c r="F12" s="161"/>
      <c r="G12" s="71">
        <f>H38*10%</f>
        <v>6519.6027025598896</v>
      </c>
      <c r="H12" s="72"/>
    </row>
    <row r="13" spans="1:8">
      <c r="A13" s="168" t="s">
        <v>63</v>
      </c>
      <c r="B13" s="165"/>
      <c r="C13" s="166"/>
      <c r="D13" s="68" t="s">
        <v>17</v>
      </c>
      <c r="E13" s="86">
        <f>+'EQUIPOS '!D9</f>
        <v>84100</v>
      </c>
      <c r="F13" s="161">
        <v>2.8</v>
      </c>
      <c r="G13" s="71">
        <f>+E13/F13</f>
        <v>30035.714285714286</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36555.316988274179</v>
      </c>
    </row>
    <row r="19" spans="1:8" ht="15.75" thickBot="1">
      <c r="A19" s="63" t="s">
        <v>492</v>
      </c>
      <c r="B19" s="63"/>
      <c r="C19" s="61"/>
      <c r="D19" s="61"/>
      <c r="E19" s="61"/>
      <c r="F19" s="61"/>
      <c r="G19" s="61"/>
      <c r="H19" s="61"/>
    </row>
    <row r="20" spans="1:8">
      <c r="A20" s="1472" t="s">
        <v>485</v>
      </c>
      <c r="B20" s="1473"/>
      <c r="C20" s="1474"/>
      <c r="D20" s="153" t="s">
        <v>493</v>
      </c>
      <c r="E20" s="153" t="s">
        <v>494</v>
      </c>
      <c r="F20" s="153" t="s">
        <v>495</v>
      </c>
      <c r="G20" s="152"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1" t="s">
        <v>499</v>
      </c>
      <c r="E27" s="151" t="s">
        <v>500</v>
      </c>
      <c r="F27" s="151"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1" t="s">
        <v>504</v>
      </c>
      <c r="D33" s="151" t="s">
        <v>505</v>
      </c>
      <c r="E33" s="124" t="s">
        <v>506</v>
      </c>
      <c r="F33" s="102" t="s">
        <v>488</v>
      </c>
      <c r="G33" s="150" t="s">
        <v>489</v>
      </c>
      <c r="H33" s="67"/>
    </row>
    <row r="34" spans="1:8">
      <c r="A34" s="83" t="s">
        <v>554</v>
      </c>
      <c r="B34" s="84"/>
      <c r="C34" s="103">
        <f>+SALARIOS!C49*2</f>
        <v>51144</v>
      </c>
      <c r="D34" s="104">
        <f>+SALARIOS!C48</f>
        <v>1.7846558312967005</v>
      </c>
      <c r="E34" s="69">
        <f>(C34*D34)</f>
        <v>91274.437835838442</v>
      </c>
      <c r="F34" s="69">
        <v>1.4</v>
      </c>
      <c r="G34" s="105">
        <f>E34/F34</f>
        <v>65196.027025598894</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65196.027025598894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101751.34401387308</v>
      </c>
    </row>
    <row r="41" spans="1:8" ht="15.75" thickBot="1">
      <c r="A41" s="63" t="s">
        <v>509</v>
      </c>
      <c r="B41" s="63"/>
      <c r="C41" s="61"/>
      <c r="D41" s="61"/>
      <c r="E41" s="61"/>
      <c r="F41" s="61"/>
      <c r="G41" s="61"/>
      <c r="H41" s="61"/>
    </row>
    <row r="42" spans="1:8">
      <c r="A42" s="110" t="s">
        <v>485</v>
      </c>
      <c r="B42" s="111"/>
      <c r="C42" s="111"/>
      <c r="D42" s="111"/>
      <c r="E42" s="112"/>
      <c r="F42" s="153" t="s">
        <v>510</v>
      </c>
      <c r="G42" s="152" t="s">
        <v>511</v>
      </c>
      <c r="H42" s="67"/>
    </row>
    <row r="43" spans="1:8">
      <c r="A43" s="83" t="s">
        <v>512</v>
      </c>
      <c r="B43" s="84"/>
      <c r="C43" s="84"/>
      <c r="D43" s="84"/>
      <c r="E43" s="85"/>
      <c r="F43" s="115">
        <f>(SALARIOS!C45)</f>
        <v>0.15</v>
      </c>
      <c r="G43" s="116">
        <f>++F43*H40</f>
        <v>15262.701602080961</v>
      </c>
      <c r="H43" s="117"/>
    </row>
    <row r="44" spans="1:8">
      <c r="A44" s="83" t="s">
        <v>513</v>
      </c>
      <c r="B44" s="84"/>
      <c r="C44" s="84"/>
      <c r="D44" s="84"/>
      <c r="E44" s="85"/>
      <c r="F44" s="115">
        <f>(SALARIOS!C46)</f>
        <v>0.05</v>
      </c>
      <c r="G44" s="116">
        <f>+F44*H40</f>
        <v>5087.5672006936547</v>
      </c>
      <c r="H44" s="117"/>
    </row>
    <row r="45" spans="1:8" ht="15.75" thickBot="1">
      <c r="A45" s="89" t="s">
        <v>514</v>
      </c>
      <c r="B45" s="90"/>
      <c r="C45" s="90"/>
      <c r="D45" s="90"/>
      <c r="E45" s="91"/>
      <c r="F45" s="118">
        <f>(SALARIOS!C47)</f>
        <v>0.05</v>
      </c>
      <c r="G45" s="119">
        <f>+F45*H40</f>
        <v>5087.5672006936547</v>
      </c>
      <c r="H45" s="80"/>
    </row>
    <row r="46" spans="1:8" ht="15.75" thickBot="1">
      <c r="A46" s="61"/>
      <c r="B46" s="61"/>
      <c r="C46" s="61"/>
      <c r="D46" s="61"/>
      <c r="E46" s="61"/>
      <c r="F46" s="61"/>
      <c r="G46" s="81" t="s">
        <v>491</v>
      </c>
      <c r="H46" s="120">
        <f>SUM(G43:G45)</f>
        <v>25437.83600346827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127189</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1145</v>
      </c>
      <c r="H7" s="61"/>
    </row>
    <row r="8" spans="1:8">
      <c r="A8" s="60" t="s">
        <v>1146</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7594.0494208696055</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7594.0494208696055</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1.58</v>
      </c>
      <c r="G34" s="105">
        <f>+E34/F34</f>
        <v>47056.178437861097</v>
      </c>
      <c r="H34" s="72"/>
    </row>
    <row r="35" spans="1:8">
      <c r="A35" s="83" t="s">
        <v>1132</v>
      </c>
      <c r="B35" s="84"/>
      <c r="C35" s="103">
        <f>+SALARIOS!C49*1</f>
        <v>25572</v>
      </c>
      <c r="D35" s="334">
        <f>+SALARIOS!C48</f>
        <v>1.7846558312967005</v>
      </c>
      <c r="E35" s="69">
        <f>+C35*D35</f>
        <v>45637.218917919221</v>
      </c>
      <c r="F35" s="69">
        <v>1.58</v>
      </c>
      <c r="G35" s="105">
        <f>+E35/F35</f>
        <v>28884.31577083495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75940.494208696051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83534.543629565655</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12530.181544434849</v>
      </c>
      <c r="H43" s="117"/>
    </row>
    <row r="44" spans="1:8">
      <c r="A44" s="83" t="s">
        <v>513</v>
      </c>
      <c r="B44" s="84"/>
      <c r="C44" s="84"/>
      <c r="D44" s="84"/>
      <c r="E44" s="85"/>
      <c r="F44" s="115">
        <f>+SALARIOS!C46</f>
        <v>0.05</v>
      </c>
      <c r="G44" s="116">
        <f>+F44*H40</f>
        <v>4176.7271814782825</v>
      </c>
      <c r="H44" s="117"/>
    </row>
    <row r="45" spans="1:8" ht="15.75" thickBot="1">
      <c r="A45" s="89" t="s">
        <v>514</v>
      </c>
      <c r="B45" s="90"/>
      <c r="C45" s="90"/>
      <c r="D45" s="90"/>
      <c r="E45" s="91"/>
      <c r="F45" s="118">
        <f>+SALARIOS!C47</f>
        <v>0.05</v>
      </c>
      <c r="G45" s="119">
        <f>+F45*H40</f>
        <v>4176.7271814782825</v>
      </c>
      <c r="H45" s="80"/>
    </row>
    <row r="46" spans="1:8" ht="15.75" thickBot="1">
      <c r="A46" s="61"/>
      <c r="B46" s="61"/>
      <c r="C46" s="61"/>
      <c r="D46" s="61"/>
      <c r="E46" s="61"/>
      <c r="F46" s="61"/>
      <c r="G46" s="81" t="s">
        <v>491</v>
      </c>
      <c r="H46" s="120">
        <f>SUM(G43:G45)</f>
        <v>20883.635907391414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104418</v>
      </c>
    </row>
  </sheetData>
  <mergeCells count="1">
    <mergeCell ref="A3:C4"/>
  </mergeCells>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topLeftCell="A7" workbookViewId="0">
      <selection activeCell="G13" sqref="G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1147</v>
      </c>
      <c r="H7" s="61"/>
    </row>
    <row r="8" spans="1:8">
      <c r="A8" s="60" t="s">
        <v>1148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11213.643070069136</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11213.643070069136</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1.07</v>
      </c>
      <c r="G34" s="105">
        <f>+E34/F34</f>
        <v>69484.824235346299</v>
      </c>
      <c r="H34" s="72"/>
    </row>
    <row r="35" spans="1:8">
      <c r="A35" s="83" t="s">
        <v>1132</v>
      </c>
      <c r="B35" s="84"/>
      <c r="C35" s="103">
        <f>+SALARIOS!C49*1</f>
        <v>25572</v>
      </c>
      <c r="D35" s="334">
        <f>+SALARIOS!C48</f>
        <v>1.7846558312967005</v>
      </c>
      <c r="E35" s="69">
        <f>+C35*D35</f>
        <v>45637.218917919221</v>
      </c>
      <c r="F35" s="69">
        <v>1.07</v>
      </c>
      <c r="G35" s="105">
        <f>+E35/F35</f>
        <v>42651.606465345067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112136.43070069136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123350.0737707605</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18502.511065614075</v>
      </c>
      <c r="H43" s="117"/>
    </row>
    <row r="44" spans="1:8">
      <c r="A44" s="83" t="s">
        <v>513</v>
      </c>
      <c r="B44" s="84"/>
      <c r="C44" s="84"/>
      <c r="D44" s="84"/>
      <c r="E44" s="85"/>
      <c r="F44" s="115">
        <f>+SALARIOS!C46</f>
        <v>0.05</v>
      </c>
      <c r="G44" s="116">
        <f>+F44*H40</f>
        <v>6167.503688538025</v>
      </c>
      <c r="H44" s="117"/>
    </row>
    <row r="45" spans="1:8" ht="15.75" thickBot="1">
      <c r="A45" s="89" t="s">
        <v>514</v>
      </c>
      <c r="B45" s="90"/>
      <c r="C45" s="90"/>
      <c r="D45" s="90"/>
      <c r="E45" s="91"/>
      <c r="F45" s="118">
        <f>+SALARIOS!C47</f>
        <v>0.05</v>
      </c>
      <c r="G45" s="119">
        <f>+F45*H40</f>
        <v>6167.503688538025</v>
      </c>
      <c r="H45" s="80"/>
    </row>
    <row r="46" spans="1:8" ht="15.75" thickBot="1">
      <c r="A46" s="61"/>
      <c r="B46" s="61"/>
      <c r="C46" s="61"/>
      <c r="D46" s="61"/>
      <c r="E46" s="61"/>
      <c r="F46" s="61"/>
      <c r="G46" s="81" t="s">
        <v>491</v>
      </c>
      <c r="H46" s="120">
        <f>SUM(G43:G45)</f>
        <v>30837.518442690125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154188</v>
      </c>
    </row>
  </sheetData>
  <mergeCells count="1">
    <mergeCell ref="A3:C4"/>
  </mergeCell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1149</v>
      </c>
      <c r="H7" s="61"/>
    </row>
    <row r="8" spans="1:8">
      <c r="A8" s="60" t="s">
        <v>1150</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7271.8776272569557</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7271.8776272569557</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1.65</v>
      </c>
      <c r="G34" s="105">
        <f>+E34/F34</f>
        <v>45059.855716254875</v>
      </c>
      <c r="H34" s="72"/>
    </row>
    <row r="35" spans="1:8">
      <c r="A35" s="83" t="s">
        <v>1132</v>
      </c>
      <c r="B35" s="84"/>
      <c r="C35" s="103">
        <f>+SALARIOS!C49*1</f>
        <v>25572</v>
      </c>
      <c r="D35" s="334">
        <f>+SALARIOS!C48</f>
        <v>1.7846558312967005</v>
      </c>
      <c r="E35" s="69">
        <f>+C35*D35</f>
        <v>45637.218917919221</v>
      </c>
      <c r="F35" s="69">
        <v>1.65</v>
      </c>
      <c r="G35" s="105">
        <f>+E35/F35</f>
        <v>27658.920556314682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72718.77627256955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79990.653899826502</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11998.598084973975</v>
      </c>
      <c r="H43" s="117"/>
    </row>
    <row r="44" spans="1:8">
      <c r="A44" s="83" t="s">
        <v>513</v>
      </c>
      <c r="B44" s="84"/>
      <c r="C44" s="84"/>
      <c r="D44" s="84"/>
      <c r="E44" s="85"/>
      <c r="F44" s="115">
        <f>+SALARIOS!C46</f>
        <v>0.05</v>
      </c>
      <c r="G44" s="116">
        <f>+F44*H40</f>
        <v>3999.5326949913251</v>
      </c>
      <c r="H44" s="117"/>
    </row>
    <row r="45" spans="1:8" ht="15.75" thickBot="1">
      <c r="A45" s="89" t="s">
        <v>514</v>
      </c>
      <c r="B45" s="90"/>
      <c r="C45" s="90"/>
      <c r="D45" s="90"/>
      <c r="E45" s="91"/>
      <c r="F45" s="118">
        <f>+SALARIOS!C47</f>
        <v>0.05</v>
      </c>
      <c r="G45" s="119">
        <f>+F45*H40</f>
        <v>3999.5326949913251</v>
      </c>
      <c r="H45" s="80"/>
    </row>
    <row r="46" spans="1:8" ht="15.75" thickBot="1">
      <c r="A46" s="61"/>
      <c r="B46" s="61"/>
      <c r="C46" s="61"/>
      <c r="D46" s="61"/>
      <c r="E46" s="61"/>
      <c r="F46" s="61"/>
      <c r="G46" s="81" t="s">
        <v>491</v>
      </c>
      <c r="H46" s="120">
        <f>SUM(G43:G45)</f>
        <v>19997.663474956626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99988</v>
      </c>
    </row>
  </sheetData>
  <mergeCells count="1">
    <mergeCell ref="A3:C4"/>
  </mergeCell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1151</v>
      </c>
      <c r="H7" s="61"/>
    </row>
    <row r="8" spans="1:8">
      <c r="A8" s="60" t="s">
        <v>1152</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13634.770551106791</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13634.770551106791</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0.88</v>
      </c>
      <c r="G34" s="105">
        <f>+E34/F34</f>
        <v>84487.229467977886</v>
      </c>
      <c r="H34" s="72"/>
    </row>
    <row r="35" spans="1:8">
      <c r="A35" s="83" t="s">
        <v>1132</v>
      </c>
      <c r="B35" s="84"/>
      <c r="C35" s="103">
        <f>+SALARIOS!C49*1</f>
        <v>25572</v>
      </c>
      <c r="D35" s="334">
        <f>+SALARIOS!C48</f>
        <v>1.7846558312967005</v>
      </c>
      <c r="E35" s="69">
        <f>+C35*D35</f>
        <v>45637.218917919221</v>
      </c>
      <c r="F35" s="69">
        <v>0.88</v>
      </c>
      <c r="G35" s="105">
        <f>+E35/F35</f>
        <v>51860.476043090021</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136347.70551106791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149982.47606217471</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22497.371409326206</v>
      </c>
      <c r="H43" s="117"/>
    </row>
    <row r="44" spans="1:8">
      <c r="A44" s="83" t="s">
        <v>513</v>
      </c>
      <c r="B44" s="84"/>
      <c r="C44" s="84"/>
      <c r="D44" s="84"/>
      <c r="E44" s="85"/>
      <c r="F44" s="115">
        <f>+SALARIOS!C46</f>
        <v>0.05</v>
      </c>
      <c r="G44" s="116">
        <f>+F44*H40</f>
        <v>7499.123803108736</v>
      </c>
      <c r="H44" s="117"/>
    </row>
    <row r="45" spans="1:8" ht="15.75" thickBot="1">
      <c r="A45" s="89" t="s">
        <v>514</v>
      </c>
      <c r="B45" s="90"/>
      <c r="C45" s="90"/>
      <c r="D45" s="90"/>
      <c r="E45" s="91"/>
      <c r="F45" s="118">
        <f>+SALARIOS!C47</f>
        <v>0.05</v>
      </c>
      <c r="G45" s="119">
        <f>+F45*H40</f>
        <v>7499.123803108736</v>
      </c>
      <c r="H45" s="80"/>
    </row>
    <row r="46" spans="1:8" ht="15.75" thickBot="1">
      <c r="A46" s="61"/>
      <c r="B46" s="61"/>
      <c r="C46" s="61"/>
      <c r="D46" s="61"/>
      <c r="E46" s="61"/>
      <c r="F46" s="61"/>
      <c r="G46" s="81" t="s">
        <v>491</v>
      </c>
      <c r="H46" s="120">
        <f>SUM(G43:G45)</f>
        <v>37495.619015543678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187478</v>
      </c>
    </row>
  </sheetData>
  <mergeCells count="1">
    <mergeCell ref="A3:C4"/>
  </mergeCell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A12" sqref="A1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1153</v>
      </c>
      <c r="H7" s="61"/>
    </row>
    <row r="8" spans="1:8">
      <c r="A8" s="60" t="s">
        <v>1154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25528.932095689313</v>
      </c>
      <c r="H12" s="72"/>
    </row>
    <row r="13" spans="1:8">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25528.932095689313</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0.47</v>
      </c>
      <c r="G34" s="105">
        <f>+E34/F34</f>
        <v>158188.85517408626</v>
      </c>
      <c r="H34" s="72"/>
    </row>
    <row r="35" spans="1:8">
      <c r="A35" s="83" t="s">
        <v>1132</v>
      </c>
      <c r="B35" s="84"/>
      <c r="C35" s="103">
        <f>+SALARIOS!C49*1</f>
        <v>25572</v>
      </c>
      <c r="D35" s="334">
        <f>+SALARIOS!C48</f>
        <v>1.7846558312967005</v>
      </c>
      <c r="E35" s="69">
        <f>+C35*D35</f>
        <v>45637.218917919221</v>
      </c>
      <c r="F35" s="69">
        <v>0.47</v>
      </c>
      <c r="G35" s="105">
        <f>+E35/F35</f>
        <v>97100.465782806859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255289.32095689312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280818.25305258244</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42122.737957887366</v>
      </c>
      <c r="H43" s="117"/>
    </row>
    <row r="44" spans="1:8">
      <c r="A44" s="83" t="s">
        <v>513</v>
      </c>
      <c r="B44" s="84"/>
      <c r="C44" s="84"/>
      <c r="D44" s="84"/>
      <c r="E44" s="85"/>
      <c r="F44" s="115">
        <f>+SALARIOS!C46</f>
        <v>0.05</v>
      </c>
      <c r="G44" s="116">
        <f>+F44*H40</f>
        <v>14040.912652629122</v>
      </c>
      <c r="H44" s="117"/>
    </row>
    <row r="45" spans="1:8" ht="15.75" thickBot="1">
      <c r="A45" s="89" t="s">
        <v>514</v>
      </c>
      <c r="B45" s="90"/>
      <c r="C45" s="90"/>
      <c r="D45" s="90"/>
      <c r="E45" s="91"/>
      <c r="F45" s="118">
        <f>+SALARIOS!C47</f>
        <v>0.05</v>
      </c>
      <c r="G45" s="119">
        <f>+F45*H40</f>
        <v>14040.912652629122</v>
      </c>
      <c r="H45" s="80"/>
    </row>
    <row r="46" spans="1:8" ht="15.75" thickBot="1">
      <c r="A46" s="61"/>
      <c r="B46" s="61"/>
      <c r="C46" s="61"/>
      <c r="D46" s="61"/>
      <c r="E46" s="61"/>
      <c r="F46" s="61"/>
      <c r="G46" s="81" t="s">
        <v>491</v>
      </c>
      <c r="H46" s="120">
        <f>SUM(G43:G45)</f>
        <v>70204.56326314561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351023</v>
      </c>
    </row>
  </sheetData>
  <mergeCells count="1">
    <mergeCell ref="A3:C4"/>
  </mergeCell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48"/>
  <sheetViews>
    <sheetView workbookViewId="0">
      <selection activeCell="G13" sqref="G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1124</v>
      </c>
      <c r="B7" s="62"/>
      <c r="C7" s="61"/>
      <c r="D7" s="16"/>
      <c r="E7" s="62"/>
      <c r="F7" s="16"/>
      <c r="G7" s="62" t="s">
        <v>1155</v>
      </c>
      <c r="H7" s="61"/>
    </row>
    <row r="8" spans="1:8">
      <c r="A8" s="60" t="s">
        <v>1156</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353"/>
      <c r="C12" s="354"/>
      <c r="D12" s="68"/>
      <c r="E12" s="86"/>
      <c r="F12" s="161"/>
      <c r="G12" s="71">
        <f>H38*10%</f>
        <v>35289.994367570522</v>
      </c>
      <c r="H12" s="72"/>
    </row>
    <row r="13" spans="1:8">
      <c r="A13" s="175"/>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35289.994367570522</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0.34</v>
      </c>
      <c r="G34" s="105">
        <f>+E34/F34</f>
        <v>218672.82921123688</v>
      </c>
      <c r="H34" s="72"/>
    </row>
    <row r="35" spans="1:8">
      <c r="A35" s="83" t="s">
        <v>1132</v>
      </c>
      <c r="B35" s="84"/>
      <c r="C35" s="103">
        <f>+SALARIOS!C49*1</f>
        <v>25572</v>
      </c>
      <c r="D35" s="334">
        <f>+SALARIOS!C48</f>
        <v>1.7846558312967005</v>
      </c>
      <c r="E35" s="69">
        <f>+C35*D35</f>
        <v>45637.218917919221</v>
      </c>
      <c r="F35" s="69">
        <v>0.34</v>
      </c>
      <c r="G35" s="105">
        <f>+E35/F35</f>
        <v>134227.11446446829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352899.94367570517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388189.93804327567</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58228.49070649135</v>
      </c>
      <c r="H43" s="117"/>
    </row>
    <row r="44" spans="1:8">
      <c r="A44" s="83" t="s">
        <v>513</v>
      </c>
      <c r="B44" s="84"/>
      <c r="C44" s="84"/>
      <c r="D44" s="84"/>
      <c r="E44" s="85"/>
      <c r="F44" s="115">
        <f>+SALARIOS!C46</f>
        <v>0.05</v>
      </c>
      <c r="G44" s="116">
        <f>+F44*H40</f>
        <v>19409.496902163784</v>
      </c>
      <c r="H44" s="117"/>
    </row>
    <row r="45" spans="1:8" ht="15.75" thickBot="1">
      <c r="A45" s="89" t="s">
        <v>514</v>
      </c>
      <c r="B45" s="90"/>
      <c r="C45" s="90"/>
      <c r="D45" s="90"/>
      <c r="E45" s="91"/>
      <c r="F45" s="118">
        <f>+SALARIOS!C47</f>
        <v>0.05</v>
      </c>
      <c r="G45" s="119">
        <f>+F45*H40</f>
        <v>19409.496902163784</v>
      </c>
      <c r="H45" s="80"/>
    </row>
    <row r="46" spans="1:8" ht="15.75" thickBot="1">
      <c r="A46" s="61"/>
      <c r="B46" s="61"/>
      <c r="C46" s="61"/>
      <c r="D46" s="61"/>
      <c r="E46" s="61"/>
      <c r="F46" s="61"/>
      <c r="G46" s="81" t="s">
        <v>491</v>
      </c>
      <c r="H46" s="120">
        <f>SUM(G43:G45)</f>
        <v>97047.484510818918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485237</v>
      </c>
    </row>
  </sheetData>
  <mergeCells count="1">
    <mergeCell ref="A3:C4"/>
  </mergeCell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1077</v>
      </c>
      <c r="B7" s="62"/>
      <c r="C7" s="61"/>
      <c r="D7" s="16"/>
      <c r="E7" s="62"/>
      <c r="F7" s="16"/>
      <c r="G7" s="62" t="s">
        <v>1157</v>
      </c>
      <c r="H7" s="61"/>
    </row>
    <row r="8" spans="1:8">
      <c r="A8" s="60" t="s">
        <v>1698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176"/>
      <c r="C12" s="174"/>
      <c r="D12" s="174"/>
      <c r="E12" s="173"/>
      <c r="F12" s="69"/>
      <c r="G12" s="173">
        <f>H37*10%</f>
        <v>774.10310225638568</v>
      </c>
      <c r="H12" s="72"/>
    </row>
    <row r="13" spans="1:8">
      <c r="A13" s="344"/>
      <c r="B13" s="345"/>
      <c r="C13" s="346"/>
      <c r="D13" s="73"/>
      <c r="E13" s="74"/>
      <c r="F13" s="69"/>
      <c r="G13" s="71"/>
      <c r="H13" s="72"/>
    </row>
    <row r="14" spans="1:8">
      <c r="A14" s="344"/>
      <c r="B14" s="345"/>
      <c r="C14" s="346"/>
      <c r="D14" s="73"/>
      <c r="E14" s="74"/>
      <c r="F14" s="69"/>
      <c r="G14" s="71"/>
      <c r="H14" s="72"/>
    </row>
    <row r="15" spans="1:8">
      <c r="A15" s="344"/>
      <c r="B15" s="345"/>
      <c r="C15" s="346"/>
      <c r="D15" s="73"/>
      <c r="E15" s="74"/>
      <c r="F15" s="69"/>
      <c r="G15" s="71"/>
      <c r="H15" s="72"/>
    </row>
    <row r="16" spans="1:8" ht="15.75" thickBot="1">
      <c r="A16" s="347"/>
      <c r="B16" s="348"/>
      <c r="C16" s="349"/>
      <c r="D16" s="76"/>
      <c r="E16" s="77"/>
      <c r="F16" s="78"/>
      <c r="G16" s="79"/>
      <c r="H16" s="80"/>
    </row>
    <row r="17" spans="1:8" ht="15.75" thickBot="1">
      <c r="A17" s="61"/>
      <c r="B17" s="61"/>
      <c r="C17" s="61"/>
      <c r="D17" s="61"/>
      <c r="E17" s="61"/>
      <c r="F17" s="61"/>
      <c r="G17" s="81" t="s">
        <v>491</v>
      </c>
      <c r="H17" s="82">
        <f>SUM(G12:G16)</f>
        <v>774.10310225638568</v>
      </c>
    </row>
    <row r="18" spans="1:8" ht="15.75" thickBot="1">
      <c r="A18" s="63" t="s">
        <v>492</v>
      </c>
      <c r="B18" s="63"/>
      <c r="C18" s="61"/>
      <c r="D18" s="61"/>
      <c r="E18" s="61"/>
      <c r="F18" s="61"/>
      <c r="G18" s="61"/>
      <c r="H18" s="61"/>
    </row>
    <row r="19" spans="1:8">
      <c r="A19" s="842" t="s">
        <v>485</v>
      </c>
      <c r="B19" s="843"/>
      <c r="C19" s="844"/>
      <c r="D19" s="844" t="s">
        <v>493</v>
      </c>
      <c r="E19" s="844" t="s">
        <v>494</v>
      </c>
      <c r="F19" s="844" t="s">
        <v>495</v>
      </c>
      <c r="G19" s="452" t="s">
        <v>489</v>
      </c>
      <c r="H19" s="684"/>
    </row>
    <row r="20" spans="1:8">
      <c r="A20" s="83" t="s">
        <v>1699</v>
      </c>
      <c r="B20" s="84"/>
      <c r="C20" s="85"/>
      <c r="D20" s="141" t="s">
        <v>61</v>
      </c>
      <c r="E20" s="139">
        <f>MATERIALES!D172</f>
        <v>14760.226666666664</v>
      </c>
      <c r="F20" s="163">
        <v>1</v>
      </c>
      <c r="G20" s="685">
        <f>+E20*F20</f>
        <v>14760.226666666664</v>
      </c>
      <c r="H20" s="59"/>
    </row>
    <row r="21" spans="1:8">
      <c r="A21" s="83" t="s">
        <v>1709</v>
      </c>
      <c r="B21" s="84"/>
      <c r="C21" s="85"/>
      <c r="D21" s="68" t="s">
        <v>61</v>
      </c>
      <c r="E21" s="142">
        <f>MATERIALES!D53</f>
        <v>31988.933333333331</v>
      </c>
      <c r="F21" s="69">
        <v>8.0000000000000002E-3</v>
      </c>
      <c r="G21" s="105">
        <f>+E21*F21</f>
        <v>255.91146666666666</v>
      </c>
      <c r="H21" s="59"/>
    </row>
    <row r="22" spans="1:8">
      <c r="A22" s="128" t="s">
        <v>1158</v>
      </c>
      <c r="B22" s="129"/>
      <c r="C22" s="130"/>
      <c r="D22" s="131" t="s">
        <v>61</v>
      </c>
      <c r="E22" s="132">
        <f>MATERIALES!D42</f>
        <v>24299.293333333335</v>
      </c>
      <c r="F22" s="375">
        <v>8.0000000000000002E-3</v>
      </c>
      <c r="G22" s="686">
        <f>+E22*F22</f>
        <v>194.39434666666668</v>
      </c>
      <c r="H22" s="59"/>
    </row>
    <row r="23" spans="1:8" ht="15.75" thickBot="1">
      <c r="A23" s="89" t="s">
        <v>1710</v>
      </c>
      <c r="B23" s="90"/>
      <c r="C23" s="91"/>
      <c r="D23" s="76" t="s">
        <v>61</v>
      </c>
      <c r="E23" s="77">
        <f>MATERIALES!D26</f>
        <v>802.33333333333337</v>
      </c>
      <c r="F23" s="78">
        <v>0.2</v>
      </c>
      <c r="G23" s="687">
        <f>+E23*F23</f>
        <v>160.4666666666667</v>
      </c>
      <c r="H23" s="451"/>
    </row>
    <row r="24" spans="1:8" ht="15.75" thickBot="1">
      <c r="A24" s="61"/>
      <c r="B24" s="61"/>
      <c r="C24" s="61"/>
      <c r="D24" s="61"/>
      <c r="E24" s="61"/>
      <c r="F24" s="61"/>
      <c r="G24" s="81" t="s">
        <v>491</v>
      </c>
      <c r="H24" s="82">
        <f>SUM(G20:G23)</f>
        <v>15370.999146666663</v>
      </c>
    </row>
    <row r="25" spans="1:8" ht="15.75" thickBot="1">
      <c r="A25" s="92" t="s">
        <v>496</v>
      </c>
      <c r="B25" s="92"/>
      <c r="C25" s="90"/>
      <c r="D25" s="61"/>
      <c r="E25" s="61"/>
      <c r="F25" s="61"/>
      <c r="G25" s="61"/>
      <c r="H25" s="61"/>
    </row>
    <row r="26" spans="1:8">
      <c r="A26" s="338" t="s">
        <v>497</v>
      </c>
      <c r="B26" s="340"/>
      <c r="C26" s="93" t="s">
        <v>498</v>
      </c>
      <c r="D26" s="340" t="s">
        <v>499</v>
      </c>
      <c r="E26" s="340" t="s">
        <v>500</v>
      </c>
      <c r="F26" s="34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38" t="s">
        <v>503</v>
      </c>
      <c r="B32" s="340"/>
      <c r="C32" s="340" t="s">
        <v>504</v>
      </c>
      <c r="D32" s="340" t="s">
        <v>505</v>
      </c>
      <c r="E32" s="124" t="s">
        <v>506</v>
      </c>
      <c r="F32" s="102" t="s">
        <v>488</v>
      </c>
      <c r="G32" s="339" t="s">
        <v>489</v>
      </c>
      <c r="H32" s="67"/>
    </row>
    <row r="33" spans="1:8">
      <c r="A33" s="83" t="s">
        <v>624</v>
      </c>
      <c r="B33" s="84"/>
      <c r="C33" s="103">
        <f>+SALARIOS!C50</f>
        <v>41660</v>
      </c>
      <c r="D33" s="104">
        <f>+SALARIOS!C48</f>
        <v>1.7846558312967005</v>
      </c>
      <c r="E33" s="69">
        <f>+C33*D33</f>
        <v>74348.76193182054</v>
      </c>
      <c r="F33" s="69">
        <v>15.5</v>
      </c>
      <c r="G33" s="105">
        <f>+E33/F33</f>
        <v>4796.6943181819706</v>
      </c>
      <c r="H33" s="72"/>
    </row>
    <row r="34" spans="1:8">
      <c r="A34" s="83" t="s">
        <v>1132</v>
      </c>
      <c r="B34" s="84"/>
      <c r="C34" s="103">
        <f>SALARIOS!C49</f>
        <v>25572</v>
      </c>
      <c r="D34" s="334">
        <f>SALARIOS!C48</f>
        <v>1.7846558312967005</v>
      </c>
      <c r="E34" s="69">
        <f>+C34*D34</f>
        <v>45637.218917919221</v>
      </c>
      <c r="F34" s="69">
        <v>15.5</v>
      </c>
      <c r="G34" s="105">
        <f>+E34/F34</f>
        <v>2944.3367043818853</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7741.0310225638559</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23886.133271486906</v>
      </c>
    </row>
    <row r="40" spans="1:8" ht="15.75" thickBot="1">
      <c r="A40" s="63" t="s">
        <v>509</v>
      </c>
      <c r="B40" s="63"/>
      <c r="C40" s="61"/>
      <c r="D40" s="61"/>
      <c r="E40" s="61"/>
      <c r="F40" s="61"/>
      <c r="G40" s="61"/>
      <c r="H40" s="61"/>
    </row>
    <row r="41" spans="1:8">
      <c r="A41" s="233" t="s">
        <v>485</v>
      </c>
      <c r="B41" s="351"/>
      <c r="C41" s="351"/>
      <c r="D41" s="351"/>
      <c r="E41" s="352"/>
      <c r="F41" s="352" t="s">
        <v>510</v>
      </c>
      <c r="G41" s="351" t="s">
        <v>511</v>
      </c>
      <c r="H41" s="67"/>
    </row>
    <row r="42" spans="1:8">
      <c r="A42" s="83" t="s">
        <v>512</v>
      </c>
      <c r="B42" s="84"/>
      <c r="C42" s="84"/>
      <c r="D42" s="84"/>
      <c r="E42" s="85"/>
      <c r="F42" s="115">
        <f>+SALARIOS!C45</f>
        <v>0.15</v>
      </c>
      <c r="G42" s="116">
        <f>++F42*H39</f>
        <v>3582.9199907230359</v>
      </c>
      <c r="H42" s="117"/>
    </row>
    <row r="43" spans="1:8">
      <c r="A43" s="83" t="s">
        <v>513</v>
      </c>
      <c r="B43" s="84"/>
      <c r="C43" s="84"/>
      <c r="D43" s="84"/>
      <c r="E43" s="85"/>
      <c r="F43" s="115">
        <f>+SALARIOS!C46</f>
        <v>0.05</v>
      </c>
      <c r="G43" s="116">
        <f>+F43*H39</f>
        <v>1194.3066635743453</v>
      </c>
      <c r="H43" s="117"/>
    </row>
    <row r="44" spans="1:8" ht="15.75" thickBot="1">
      <c r="A44" s="89" t="s">
        <v>514</v>
      </c>
      <c r="B44" s="90"/>
      <c r="C44" s="90"/>
      <c r="D44" s="90"/>
      <c r="E44" s="91"/>
      <c r="F44" s="118">
        <f>+SALARIOS!C47</f>
        <v>0.05</v>
      </c>
      <c r="G44" s="119">
        <f>+F44*H39</f>
        <v>1194.3066635743453</v>
      </c>
      <c r="H44" s="80"/>
    </row>
    <row r="45" spans="1:8" ht="15.75" thickBot="1">
      <c r="A45" s="61"/>
      <c r="B45" s="61"/>
      <c r="C45" s="61"/>
      <c r="D45" s="61"/>
      <c r="E45" s="61"/>
      <c r="F45" s="61"/>
      <c r="G45" s="81" t="s">
        <v>491</v>
      </c>
      <c r="H45" s="120">
        <f>SUM(G42:G44)</f>
        <v>5971.5333178717265</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29858</v>
      </c>
    </row>
  </sheetData>
  <mergeCells count="1">
    <mergeCell ref="A3:C4"/>
  </mergeCell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673" t="s">
        <v>520</v>
      </c>
      <c r="B5" s="674"/>
      <c r="C5" s="675"/>
      <c r="D5" s="661"/>
      <c r="E5" s="662"/>
      <c r="F5" s="662"/>
      <c r="G5" s="662"/>
      <c r="H5" s="663"/>
    </row>
    <row r="6" spans="1:8">
      <c r="A6" s="60"/>
      <c r="B6" s="61"/>
      <c r="C6" s="61"/>
      <c r="D6" s="61"/>
      <c r="E6" s="61"/>
      <c r="F6" s="61"/>
      <c r="G6" s="61"/>
      <c r="H6" s="61"/>
    </row>
    <row r="7" spans="1:8">
      <c r="A7" s="60" t="s">
        <v>1077</v>
      </c>
      <c r="B7" s="62"/>
      <c r="C7" s="61"/>
      <c r="D7" s="16"/>
      <c r="E7" s="62"/>
      <c r="F7" s="16"/>
      <c r="G7" s="62" t="s">
        <v>1159</v>
      </c>
      <c r="H7" s="61"/>
    </row>
    <row r="8" spans="1:8">
      <c r="A8" s="60" t="s">
        <v>1701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664" t="s">
        <v>485</v>
      </c>
      <c r="B11" s="665"/>
      <c r="C11" s="666"/>
      <c r="D11" s="666" t="s">
        <v>486</v>
      </c>
      <c r="E11" s="65" t="s">
        <v>487</v>
      </c>
      <c r="F11" s="666" t="s">
        <v>488</v>
      </c>
      <c r="G11" s="665" t="s">
        <v>489</v>
      </c>
      <c r="H11" s="67"/>
    </row>
    <row r="12" spans="1:8">
      <c r="A12" s="175" t="s">
        <v>1327</v>
      </c>
      <c r="B12" s="176"/>
      <c r="C12" s="174"/>
      <c r="D12" s="174"/>
      <c r="E12" s="173"/>
      <c r="F12" s="69"/>
      <c r="G12" s="173">
        <f>H37*10%</f>
        <v>774.10310225638568</v>
      </c>
      <c r="H12" s="72"/>
    </row>
    <row r="13" spans="1:8">
      <c r="A13" s="667"/>
      <c r="B13" s="668"/>
      <c r="C13" s="669"/>
      <c r="D13" s="73"/>
      <c r="E13" s="74"/>
      <c r="F13" s="69"/>
      <c r="G13" s="71"/>
      <c r="H13" s="72"/>
    </row>
    <row r="14" spans="1:8">
      <c r="A14" s="667"/>
      <c r="B14" s="668"/>
      <c r="C14" s="669"/>
      <c r="D14" s="73"/>
      <c r="E14" s="74"/>
      <c r="F14" s="69"/>
      <c r="G14" s="71"/>
      <c r="H14" s="72"/>
    </row>
    <row r="15" spans="1:8">
      <c r="A15" s="667"/>
      <c r="B15" s="668"/>
      <c r="C15" s="669"/>
      <c r="D15" s="73"/>
      <c r="E15" s="74"/>
      <c r="F15" s="69"/>
      <c r="G15" s="71"/>
      <c r="H15" s="72"/>
    </row>
    <row r="16" spans="1:8" ht="15.75" thickBot="1">
      <c r="A16" s="670"/>
      <c r="B16" s="671"/>
      <c r="C16" s="672"/>
      <c r="D16" s="76"/>
      <c r="E16" s="77"/>
      <c r="F16" s="78"/>
      <c r="G16" s="79"/>
      <c r="H16" s="80"/>
    </row>
    <row r="17" spans="1:8" ht="15.75" thickBot="1">
      <c r="A17" s="61"/>
      <c r="B17" s="61"/>
      <c r="C17" s="61"/>
      <c r="D17" s="61"/>
      <c r="E17" s="61"/>
      <c r="F17" s="61"/>
      <c r="G17" s="81" t="s">
        <v>491</v>
      </c>
      <c r="H17" s="82">
        <f>SUM(G12:G16)</f>
        <v>774.10310225638568</v>
      </c>
    </row>
    <row r="18" spans="1:8" ht="15.75" thickBot="1">
      <c r="A18" s="63" t="s">
        <v>492</v>
      </c>
      <c r="B18" s="63"/>
      <c r="C18" s="61"/>
      <c r="D18" s="61"/>
      <c r="E18" s="61"/>
      <c r="F18" s="61"/>
      <c r="G18" s="61"/>
      <c r="H18" s="61"/>
    </row>
    <row r="19" spans="1:8">
      <c r="A19" s="676" t="s">
        <v>485</v>
      </c>
      <c r="B19" s="677"/>
      <c r="C19" s="678"/>
      <c r="D19" s="678" t="s">
        <v>493</v>
      </c>
      <c r="E19" s="678" t="s">
        <v>494</v>
      </c>
      <c r="F19" s="678" t="s">
        <v>495</v>
      </c>
      <c r="G19" s="677" t="s">
        <v>489</v>
      </c>
      <c r="H19" s="67"/>
    </row>
    <row r="20" spans="1:8">
      <c r="A20" s="127" t="s">
        <v>1711</v>
      </c>
      <c r="B20" s="84"/>
      <c r="C20" s="85"/>
      <c r="D20" s="141" t="s">
        <v>61</v>
      </c>
      <c r="E20" s="139">
        <f>MATERIALES!D173</f>
        <v>19415.306666666667</v>
      </c>
      <c r="F20" s="163">
        <v>1</v>
      </c>
      <c r="G20" s="137">
        <f>+E20*F20</f>
        <v>19415.306666666667</v>
      </c>
      <c r="H20" s="59"/>
    </row>
    <row r="21" spans="1:8">
      <c r="A21" s="127" t="s">
        <v>1709</v>
      </c>
      <c r="B21" s="84"/>
      <c r="C21" s="85"/>
      <c r="D21" s="68" t="s">
        <v>61</v>
      </c>
      <c r="E21" s="142">
        <f>MATERIALES!D53</f>
        <v>31988.933333333331</v>
      </c>
      <c r="F21" s="69">
        <v>8.0000000000000002E-3</v>
      </c>
      <c r="G21" s="69">
        <f>+E21*F21</f>
        <v>255.91146666666666</v>
      </c>
      <c r="H21" s="59"/>
    </row>
    <row r="22" spans="1:8">
      <c r="A22" s="128" t="s">
        <v>1158</v>
      </c>
      <c r="B22" s="129"/>
      <c r="C22" s="130"/>
      <c r="D22" s="131" t="s">
        <v>61</v>
      </c>
      <c r="E22" s="132">
        <f>MATERIALES!D42</f>
        <v>24299.293333333335</v>
      </c>
      <c r="F22" s="375">
        <v>8.0000000000000002E-3</v>
      </c>
      <c r="G22" s="138">
        <f>+E22*F22</f>
        <v>194.39434666666668</v>
      </c>
      <c r="H22" s="59"/>
    </row>
    <row r="23" spans="1:8" ht="15.75" thickBot="1">
      <c r="A23" s="89" t="s">
        <v>1710</v>
      </c>
      <c r="B23" s="90"/>
      <c r="C23" s="91"/>
      <c r="D23" s="76" t="s">
        <v>61</v>
      </c>
      <c r="E23" s="77">
        <f>MATERIALES!D26</f>
        <v>802.33333333333337</v>
      </c>
      <c r="F23" s="78">
        <v>0.2</v>
      </c>
      <c r="G23" s="138">
        <f>+E23*F23</f>
        <v>160.4666666666667</v>
      </c>
      <c r="H23" s="80"/>
    </row>
    <row r="24" spans="1:8" ht="15.75" thickBot="1">
      <c r="A24" s="61"/>
      <c r="B24" s="61"/>
      <c r="C24" s="61"/>
      <c r="D24" s="61"/>
      <c r="E24" s="61"/>
      <c r="F24" s="61"/>
      <c r="G24" s="81" t="s">
        <v>491</v>
      </c>
      <c r="H24" s="82">
        <f>SUM(G20:G23)</f>
        <v>20026.079146666671</v>
      </c>
    </row>
    <row r="25" spans="1:8" ht="15.75" thickBot="1">
      <c r="A25" s="92" t="s">
        <v>496</v>
      </c>
      <c r="B25" s="92"/>
      <c r="C25" s="90"/>
      <c r="D25" s="61"/>
      <c r="E25" s="61"/>
      <c r="F25" s="61"/>
      <c r="G25" s="61"/>
      <c r="H25" s="61"/>
    </row>
    <row r="26" spans="1:8">
      <c r="A26" s="664" t="s">
        <v>497</v>
      </c>
      <c r="B26" s="666"/>
      <c r="C26" s="93" t="s">
        <v>498</v>
      </c>
      <c r="D26" s="666" t="s">
        <v>499</v>
      </c>
      <c r="E26" s="666" t="s">
        <v>500</v>
      </c>
      <c r="F26" s="666"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664" t="s">
        <v>503</v>
      </c>
      <c r="B32" s="666"/>
      <c r="C32" s="666" t="s">
        <v>504</v>
      </c>
      <c r="D32" s="666" t="s">
        <v>505</v>
      </c>
      <c r="E32" s="124" t="s">
        <v>506</v>
      </c>
      <c r="F32" s="102" t="s">
        <v>488</v>
      </c>
      <c r="G32" s="665" t="s">
        <v>489</v>
      </c>
      <c r="H32" s="67"/>
    </row>
    <row r="33" spans="1:8">
      <c r="A33" s="83" t="s">
        <v>624</v>
      </c>
      <c r="B33" s="84"/>
      <c r="C33" s="103">
        <f>+SALARIOS!C50</f>
        <v>41660</v>
      </c>
      <c r="D33" s="104">
        <f>+SALARIOS!C48</f>
        <v>1.7846558312967005</v>
      </c>
      <c r="E33" s="69">
        <f>+C33*D33</f>
        <v>74348.76193182054</v>
      </c>
      <c r="F33" s="69">
        <v>15.5</v>
      </c>
      <c r="G33" s="105">
        <f>+E33/F33</f>
        <v>4796.6943181819706</v>
      </c>
      <c r="H33" s="72"/>
    </row>
    <row r="34" spans="1:8">
      <c r="A34" s="83" t="s">
        <v>1132</v>
      </c>
      <c r="B34" s="84"/>
      <c r="C34" s="103">
        <f>SALARIOS!C49</f>
        <v>25572</v>
      </c>
      <c r="D34" s="334">
        <f>SALARIOS!C48</f>
        <v>1.7846558312967005</v>
      </c>
      <c r="E34" s="69">
        <f>+C34*D34</f>
        <v>45637.218917919221</v>
      </c>
      <c r="F34" s="69">
        <v>15.5</v>
      </c>
      <c r="G34" s="105">
        <f>+E34/F34</f>
        <v>2944.3367043818853</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7741.0310225638559</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28541.213271486911</v>
      </c>
    </row>
    <row r="40" spans="1:8" ht="15.75" thickBot="1">
      <c r="A40" s="63" t="s">
        <v>509</v>
      </c>
      <c r="B40" s="63"/>
      <c r="C40" s="61"/>
      <c r="D40" s="61"/>
      <c r="E40" s="61"/>
      <c r="F40" s="61"/>
      <c r="G40" s="61"/>
      <c r="H40" s="61"/>
    </row>
    <row r="41" spans="1:8">
      <c r="A41" s="233" t="s">
        <v>485</v>
      </c>
      <c r="B41" s="677"/>
      <c r="C41" s="677"/>
      <c r="D41" s="677"/>
      <c r="E41" s="678"/>
      <c r="F41" s="678" t="s">
        <v>510</v>
      </c>
      <c r="G41" s="677" t="s">
        <v>511</v>
      </c>
      <c r="H41" s="67"/>
    </row>
    <row r="42" spans="1:8">
      <c r="A42" s="83" t="s">
        <v>512</v>
      </c>
      <c r="B42" s="84"/>
      <c r="C42" s="84"/>
      <c r="D42" s="84"/>
      <c r="E42" s="85"/>
      <c r="F42" s="115">
        <f>+SALARIOS!C45</f>
        <v>0.15</v>
      </c>
      <c r="G42" s="116">
        <f>++F42*H39</f>
        <v>4281.1819907230365</v>
      </c>
      <c r="H42" s="117"/>
    </row>
    <row r="43" spans="1:8">
      <c r="A43" s="83" t="s">
        <v>513</v>
      </c>
      <c r="B43" s="84"/>
      <c r="C43" s="84"/>
      <c r="D43" s="84"/>
      <c r="E43" s="85"/>
      <c r="F43" s="115">
        <f>+SALARIOS!C46</f>
        <v>0.05</v>
      </c>
      <c r="G43" s="116">
        <f>+F43*H39</f>
        <v>1427.0606635743457</v>
      </c>
      <c r="H43" s="117"/>
    </row>
    <row r="44" spans="1:8" ht="15.75" thickBot="1">
      <c r="A44" s="89" t="s">
        <v>514</v>
      </c>
      <c r="B44" s="90"/>
      <c r="C44" s="90"/>
      <c r="D44" s="90"/>
      <c r="E44" s="91"/>
      <c r="F44" s="118">
        <f>+SALARIOS!C47</f>
        <v>0.05</v>
      </c>
      <c r="G44" s="119">
        <f>+F44*H39</f>
        <v>1427.0606635743457</v>
      </c>
      <c r="H44" s="80"/>
    </row>
    <row r="45" spans="1:8" ht="15.75" thickBot="1">
      <c r="A45" s="61"/>
      <c r="B45" s="61"/>
      <c r="C45" s="61"/>
      <c r="D45" s="61"/>
      <c r="E45" s="61"/>
      <c r="F45" s="61"/>
      <c r="G45" s="81" t="s">
        <v>491</v>
      </c>
      <c r="H45" s="120">
        <f>SUM(G42:G44)</f>
        <v>7135.3033178717287</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35677</v>
      </c>
    </row>
  </sheetData>
  <mergeCells count="1">
    <mergeCell ref="A3:C4"/>
  </mergeCells>
  <pageMargins left="0.7" right="0.7" top="0.75" bottom="0.75" header="0.3" footer="0.3"/>
  <pageSetup paperSize="9" scale="95" orientation="portrait"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673" t="s">
        <v>520</v>
      </c>
      <c r="B5" s="674"/>
      <c r="C5" s="675"/>
      <c r="D5" s="661"/>
      <c r="E5" s="662"/>
      <c r="F5" s="662"/>
      <c r="G5" s="662"/>
      <c r="H5" s="663"/>
    </row>
    <row r="6" spans="1:8">
      <c r="A6" s="60"/>
      <c r="B6" s="61"/>
      <c r="C6" s="61"/>
      <c r="D6" s="61"/>
      <c r="E6" s="61"/>
      <c r="F6" s="61"/>
      <c r="G6" s="61"/>
      <c r="H6" s="61"/>
    </row>
    <row r="7" spans="1:8">
      <c r="A7" s="60" t="s">
        <v>1077</v>
      </c>
      <c r="B7" s="62"/>
      <c r="C7" s="61"/>
      <c r="D7" s="16"/>
      <c r="E7" s="62"/>
      <c r="F7" s="16"/>
      <c r="G7" s="62" t="s">
        <v>1160</v>
      </c>
      <c r="H7" s="61"/>
    </row>
    <row r="8" spans="1:8">
      <c r="A8" s="60" t="s">
        <v>1705</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664" t="s">
        <v>485</v>
      </c>
      <c r="B11" s="665"/>
      <c r="C11" s="666"/>
      <c r="D11" s="666" t="s">
        <v>486</v>
      </c>
      <c r="E11" s="65" t="s">
        <v>487</v>
      </c>
      <c r="F11" s="666" t="s">
        <v>488</v>
      </c>
      <c r="G11" s="665" t="s">
        <v>489</v>
      </c>
      <c r="H11" s="67"/>
    </row>
    <row r="12" spans="1:8">
      <c r="A12" s="175" t="s">
        <v>1327</v>
      </c>
      <c r="B12" s="176"/>
      <c r="C12" s="174"/>
      <c r="D12" s="174"/>
      <c r="E12" s="173"/>
      <c r="F12" s="69"/>
      <c r="G12" s="173">
        <f>H37*10%</f>
        <v>774.10310225638568</v>
      </c>
      <c r="H12" s="72"/>
    </row>
    <row r="13" spans="1:8">
      <c r="A13" s="667"/>
      <c r="B13" s="668"/>
      <c r="C13" s="669"/>
      <c r="D13" s="73"/>
      <c r="E13" s="74"/>
      <c r="F13" s="69"/>
      <c r="G13" s="71"/>
      <c r="H13" s="72"/>
    </row>
    <row r="14" spans="1:8">
      <c r="A14" s="667"/>
      <c r="B14" s="668"/>
      <c r="C14" s="669"/>
      <c r="D14" s="73"/>
      <c r="E14" s="74"/>
      <c r="F14" s="69"/>
      <c r="G14" s="71"/>
      <c r="H14" s="72"/>
    </row>
    <row r="15" spans="1:8">
      <c r="A15" s="667"/>
      <c r="B15" s="668"/>
      <c r="C15" s="669"/>
      <c r="D15" s="73"/>
      <c r="E15" s="74"/>
      <c r="F15" s="69"/>
      <c r="G15" s="71"/>
      <c r="H15" s="72"/>
    </row>
    <row r="16" spans="1:8" ht="15.75" thickBot="1">
      <c r="A16" s="670"/>
      <c r="B16" s="671"/>
      <c r="C16" s="672"/>
      <c r="D16" s="76"/>
      <c r="E16" s="77"/>
      <c r="F16" s="78"/>
      <c r="G16" s="79"/>
      <c r="H16" s="80"/>
    </row>
    <row r="17" spans="1:8" ht="15.75" thickBot="1">
      <c r="A17" s="61"/>
      <c r="B17" s="61"/>
      <c r="C17" s="61"/>
      <c r="D17" s="61"/>
      <c r="E17" s="61"/>
      <c r="F17" s="61"/>
      <c r="G17" s="81" t="s">
        <v>491</v>
      </c>
      <c r="H17" s="82">
        <f>SUM(G12:G16)</f>
        <v>774.10310225638568</v>
      </c>
    </row>
    <row r="18" spans="1:8" ht="15.75" thickBot="1">
      <c r="A18" s="63" t="s">
        <v>492</v>
      </c>
      <c r="B18" s="63"/>
      <c r="C18" s="61"/>
      <c r="D18" s="61"/>
      <c r="E18" s="61"/>
      <c r="F18" s="61"/>
      <c r="G18" s="61"/>
      <c r="H18" s="61"/>
    </row>
    <row r="19" spans="1:8">
      <c r="A19" s="676" t="s">
        <v>485</v>
      </c>
      <c r="B19" s="677"/>
      <c r="C19" s="678"/>
      <c r="D19" s="678" t="s">
        <v>493</v>
      </c>
      <c r="E19" s="678" t="s">
        <v>494</v>
      </c>
      <c r="F19" s="678" t="s">
        <v>495</v>
      </c>
      <c r="G19" s="677" t="s">
        <v>489</v>
      </c>
      <c r="H19" s="67"/>
    </row>
    <row r="20" spans="1:8">
      <c r="A20" s="127" t="s">
        <v>1704</v>
      </c>
      <c r="B20" s="84"/>
      <c r="C20" s="85"/>
      <c r="D20" s="141" t="s">
        <v>61</v>
      </c>
      <c r="E20" s="139">
        <f>MATERIALES!D174</f>
        <v>11491.346666666665</v>
      </c>
      <c r="F20" s="163">
        <v>1</v>
      </c>
      <c r="G20" s="137">
        <f>+E20*F20</f>
        <v>11491.346666666665</v>
      </c>
      <c r="H20" s="59"/>
    </row>
    <row r="21" spans="1:8">
      <c r="A21" s="127" t="s">
        <v>1709</v>
      </c>
      <c r="B21" s="84"/>
      <c r="C21" s="85"/>
      <c r="D21" s="68" t="s">
        <v>61</v>
      </c>
      <c r="E21" s="142">
        <f>MATERIALES!D53</f>
        <v>31988.933333333331</v>
      </c>
      <c r="F21" s="69">
        <v>8.0000000000000002E-3</v>
      </c>
      <c r="G21" s="69">
        <f>+E21*F21</f>
        <v>255.91146666666666</v>
      </c>
      <c r="H21" s="59"/>
    </row>
    <row r="22" spans="1:8">
      <c r="A22" s="128" t="s">
        <v>1158</v>
      </c>
      <c r="B22" s="129"/>
      <c r="C22" s="130"/>
      <c r="D22" s="131" t="s">
        <v>61</v>
      </c>
      <c r="E22" s="132">
        <f>MATERIALES!D42</f>
        <v>24299.293333333335</v>
      </c>
      <c r="F22" s="375">
        <v>8.0000000000000002E-3</v>
      </c>
      <c r="G22" s="138">
        <f>+E22*F22</f>
        <v>194.39434666666668</v>
      </c>
      <c r="H22" s="59"/>
    </row>
    <row r="23" spans="1:8" ht="15.75" thickBot="1">
      <c r="A23" s="89" t="s">
        <v>1710</v>
      </c>
      <c r="B23" s="90"/>
      <c r="C23" s="91"/>
      <c r="D23" s="76" t="s">
        <v>61</v>
      </c>
      <c r="E23" s="77">
        <f>MATERIALES!D26</f>
        <v>802.33333333333337</v>
      </c>
      <c r="F23" s="78">
        <v>0.2</v>
      </c>
      <c r="G23" s="138">
        <f>+E23*F23</f>
        <v>160.4666666666667</v>
      </c>
      <c r="H23" s="80"/>
    </row>
    <row r="24" spans="1:8" ht="15.75" thickBot="1">
      <c r="A24" s="61"/>
      <c r="B24" s="61"/>
      <c r="C24" s="61"/>
      <c r="D24" s="61"/>
      <c r="E24" s="61"/>
      <c r="F24" s="61"/>
      <c r="G24" s="81" t="s">
        <v>491</v>
      </c>
      <c r="H24" s="82">
        <f>SUM(G20:G23)</f>
        <v>12102.119146666664</v>
      </c>
    </row>
    <row r="25" spans="1:8" ht="15.75" thickBot="1">
      <c r="A25" s="92" t="s">
        <v>496</v>
      </c>
      <c r="B25" s="92"/>
      <c r="C25" s="90"/>
      <c r="D25" s="61"/>
      <c r="E25" s="61"/>
      <c r="F25" s="61"/>
      <c r="G25" s="61"/>
      <c r="H25" s="61"/>
    </row>
    <row r="26" spans="1:8">
      <c r="A26" s="664" t="s">
        <v>497</v>
      </c>
      <c r="B26" s="666"/>
      <c r="C26" s="93" t="s">
        <v>498</v>
      </c>
      <c r="D26" s="666" t="s">
        <v>499</v>
      </c>
      <c r="E26" s="666" t="s">
        <v>500</v>
      </c>
      <c r="F26" s="666"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664" t="s">
        <v>503</v>
      </c>
      <c r="B32" s="666"/>
      <c r="C32" s="666" t="s">
        <v>504</v>
      </c>
      <c r="D32" s="666" t="s">
        <v>505</v>
      </c>
      <c r="E32" s="124" t="s">
        <v>506</v>
      </c>
      <c r="F32" s="102" t="s">
        <v>488</v>
      </c>
      <c r="G32" s="665" t="s">
        <v>489</v>
      </c>
      <c r="H32" s="67"/>
    </row>
    <row r="33" spans="1:8">
      <c r="A33" s="83" t="s">
        <v>624</v>
      </c>
      <c r="B33" s="84"/>
      <c r="C33" s="103">
        <f>+SALARIOS!C50</f>
        <v>41660</v>
      </c>
      <c r="D33" s="104">
        <f>+SALARIOS!C48</f>
        <v>1.7846558312967005</v>
      </c>
      <c r="E33" s="69">
        <f>+C33*D33</f>
        <v>74348.76193182054</v>
      </c>
      <c r="F33" s="69">
        <v>15.5</v>
      </c>
      <c r="G33" s="105">
        <f>+E33/F33</f>
        <v>4796.6943181819706</v>
      </c>
      <c r="H33" s="72"/>
    </row>
    <row r="34" spans="1:8">
      <c r="A34" s="83" t="s">
        <v>1132</v>
      </c>
      <c r="B34" s="84"/>
      <c r="C34" s="103">
        <f>SALARIOS!C49</f>
        <v>25572</v>
      </c>
      <c r="D34" s="334">
        <f>SALARIOS!C48</f>
        <v>1.7846558312967005</v>
      </c>
      <c r="E34" s="69">
        <f>+C34*D34</f>
        <v>45637.218917919221</v>
      </c>
      <c r="F34" s="69">
        <v>15.5</v>
      </c>
      <c r="G34" s="105">
        <f>+E34/F34</f>
        <v>2944.3367043818853</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7741.0310225638559</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20617.253271486905</v>
      </c>
    </row>
    <row r="40" spans="1:8" ht="15.75" thickBot="1">
      <c r="A40" s="63" t="s">
        <v>509</v>
      </c>
      <c r="B40" s="63"/>
      <c r="C40" s="61"/>
      <c r="D40" s="61"/>
      <c r="E40" s="61"/>
      <c r="F40" s="61"/>
      <c r="G40" s="61"/>
      <c r="H40" s="61"/>
    </row>
    <row r="41" spans="1:8">
      <c r="A41" s="233" t="s">
        <v>485</v>
      </c>
      <c r="B41" s="677"/>
      <c r="C41" s="677"/>
      <c r="D41" s="677"/>
      <c r="E41" s="678"/>
      <c r="F41" s="678" t="s">
        <v>510</v>
      </c>
      <c r="G41" s="677" t="s">
        <v>511</v>
      </c>
      <c r="H41" s="67"/>
    </row>
    <row r="42" spans="1:8">
      <c r="A42" s="83" t="s">
        <v>512</v>
      </c>
      <c r="B42" s="84"/>
      <c r="C42" s="84"/>
      <c r="D42" s="84"/>
      <c r="E42" s="85"/>
      <c r="F42" s="115">
        <f>+SALARIOS!C45</f>
        <v>0.15</v>
      </c>
      <c r="G42" s="116">
        <f>++F42*H39</f>
        <v>3092.5879907230355</v>
      </c>
      <c r="H42" s="117"/>
    </row>
    <row r="43" spans="1:8">
      <c r="A43" s="83" t="s">
        <v>513</v>
      </c>
      <c r="B43" s="84"/>
      <c r="C43" s="84"/>
      <c r="D43" s="84"/>
      <c r="E43" s="85"/>
      <c r="F43" s="115">
        <f>+SALARIOS!C46</f>
        <v>0.05</v>
      </c>
      <c r="G43" s="116">
        <f>+F43*H39</f>
        <v>1030.8626635743453</v>
      </c>
      <c r="H43" s="117"/>
    </row>
    <row r="44" spans="1:8" ht="15.75" thickBot="1">
      <c r="A44" s="89" t="s">
        <v>514</v>
      </c>
      <c r="B44" s="90"/>
      <c r="C44" s="90"/>
      <c r="D44" s="90"/>
      <c r="E44" s="91"/>
      <c r="F44" s="118">
        <f>+SALARIOS!C47</f>
        <v>0.05</v>
      </c>
      <c r="G44" s="119">
        <f>+F44*H39</f>
        <v>1030.8626635743453</v>
      </c>
      <c r="H44" s="80"/>
    </row>
    <row r="45" spans="1:8" ht="15.75" thickBot="1">
      <c r="A45" s="61"/>
      <c r="B45" s="61"/>
      <c r="C45" s="61"/>
      <c r="D45" s="61"/>
      <c r="E45" s="61"/>
      <c r="F45" s="61"/>
      <c r="G45" s="81" t="s">
        <v>491</v>
      </c>
      <c r="H45" s="120">
        <f>SUM(G42:G44)</f>
        <v>5154.3133178717271</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25772</v>
      </c>
    </row>
  </sheetData>
  <mergeCells count="1">
    <mergeCell ref="A3:C4"/>
  </mergeCells>
  <pageMargins left="0.7" right="0.7" top="0.75" bottom="0.75" header="0.3" footer="0.3"/>
  <pageSetup paperSize="9" scale="95"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7"/>
  <sheetViews>
    <sheetView workbookViewId="0">
      <selection activeCell="G8" sqref="G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1077</v>
      </c>
      <c r="B7" s="62"/>
      <c r="C7" s="61"/>
      <c r="D7" s="16"/>
      <c r="E7" s="62"/>
      <c r="F7" s="16"/>
      <c r="G7" s="62" t="s">
        <v>1162</v>
      </c>
      <c r="H7" s="61"/>
    </row>
    <row r="8" spans="1:8">
      <c r="A8" s="60" t="s">
        <v>1707</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176"/>
      <c r="C12" s="174"/>
      <c r="D12" s="174"/>
      <c r="E12" s="173"/>
      <c r="F12" s="69"/>
      <c r="G12" s="173">
        <f>H37*10%</f>
        <v>740.97278113981349</v>
      </c>
      <c r="H12" s="72"/>
    </row>
    <row r="13" spans="1:8">
      <c r="A13" s="344"/>
      <c r="B13" s="345"/>
      <c r="C13" s="346"/>
      <c r="D13" s="73"/>
      <c r="E13" s="74"/>
      <c r="F13" s="69"/>
      <c r="G13" s="71"/>
      <c r="H13" s="72"/>
    </row>
    <row r="14" spans="1:8">
      <c r="A14" s="344"/>
      <c r="B14" s="345"/>
      <c r="C14" s="346"/>
      <c r="D14" s="73"/>
      <c r="E14" s="74"/>
      <c r="F14" s="69"/>
      <c r="G14" s="71"/>
      <c r="H14" s="72"/>
    </row>
    <row r="15" spans="1:8">
      <c r="A15" s="344"/>
      <c r="B15" s="345"/>
      <c r="C15" s="346"/>
      <c r="D15" s="73"/>
      <c r="E15" s="74"/>
      <c r="F15" s="69"/>
      <c r="G15" s="71"/>
      <c r="H15" s="72"/>
    </row>
    <row r="16" spans="1:8" ht="15.75" thickBot="1">
      <c r="A16" s="347"/>
      <c r="B16" s="348"/>
      <c r="C16" s="349"/>
      <c r="D16" s="76"/>
      <c r="E16" s="77"/>
      <c r="F16" s="78"/>
      <c r="G16" s="79"/>
      <c r="H16" s="80"/>
    </row>
    <row r="17" spans="1:8" ht="15.75" thickBot="1">
      <c r="A17" s="61"/>
      <c r="B17" s="61"/>
      <c r="C17" s="61"/>
      <c r="D17" s="61"/>
      <c r="E17" s="61"/>
      <c r="F17" s="61"/>
      <c r="G17" s="81" t="s">
        <v>491</v>
      </c>
      <c r="H17" s="82">
        <f>SUM(G12:G16)</f>
        <v>740.97278113981349</v>
      </c>
    </row>
    <row r="18" spans="1:8" ht="15.75" thickBot="1">
      <c r="A18" s="63" t="s">
        <v>492</v>
      </c>
      <c r="B18" s="63"/>
      <c r="C18" s="61"/>
      <c r="D18" s="61"/>
      <c r="E18" s="61"/>
      <c r="F18" s="61"/>
      <c r="G18" s="61"/>
      <c r="H18" s="61"/>
    </row>
    <row r="19" spans="1:8">
      <c r="A19" s="676" t="s">
        <v>485</v>
      </c>
      <c r="B19" s="677"/>
      <c r="C19" s="678"/>
      <c r="D19" s="678" t="s">
        <v>493</v>
      </c>
      <c r="E19" s="678" t="s">
        <v>494</v>
      </c>
      <c r="F19" s="678" t="s">
        <v>495</v>
      </c>
      <c r="G19" s="452" t="s">
        <v>489</v>
      </c>
      <c r="H19" s="684"/>
    </row>
    <row r="20" spans="1:8">
      <c r="A20" s="83" t="s">
        <v>1708</v>
      </c>
      <c r="B20" s="84"/>
      <c r="C20" s="85"/>
      <c r="D20" s="141" t="s">
        <v>61</v>
      </c>
      <c r="E20" s="139">
        <f>MATERIALES!D175</f>
        <v>40668.826666666668</v>
      </c>
      <c r="F20" s="163">
        <v>1</v>
      </c>
      <c r="G20" s="685">
        <f>+E20*F20</f>
        <v>40668.826666666668</v>
      </c>
      <c r="H20" s="59"/>
    </row>
    <row r="21" spans="1:8">
      <c r="A21" s="83" t="s">
        <v>1709</v>
      </c>
      <c r="B21" s="84"/>
      <c r="C21" s="85"/>
      <c r="D21" s="68" t="s">
        <v>61</v>
      </c>
      <c r="E21" s="142">
        <f>MATERIALES!D53</f>
        <v>31988.933333333331</v>
      </c>
      <c r="F21" s="69">
        <v>8.0000000000000002E-3</v>
      </c>
      <c r="G21" s="105">
        <f>+E21*F21</f>
        <v>255.91146666666666</v>
      </c>
      <c r="H21" s="59"/>
    </row>
    <row r="22" spans="1:8">
      <c r="A22" s="128" t="s">
        <v>1158</v>
      </c>
      <c r="B22" s="129"/>
      <c r="C22" s="130"/>
      <c r="D22" s="131" t="s">
        <v>61</v>
      </c>
      <c r="E22" s="132">
        <f>MATERIALES!D42</f>
        <v>24299.293333333335</v>
      </c>
      <c r="F22" s="375">
        <v>8.0000000000000002E-3</v>
      </c>
      <c r="G22" s="686">
        <f>+E22*F22</f>
        <v>194.39434666666668</v>
      </c>
      <c r="H22" s="59"/>
    </row>
    <row r="23" spans="1:8" ht="15.75" thickBot="1">
      <c r="A23" s="89" t="s">
        <v>1710</v>
      </c>
      <c r="B23" s="90"/>
      <c r="C23" s="91"/>
      <c r="D23" s="76" t="s">
        <v>61</v>
      </c>
      <c r="E23" s="77">
        <f>MATERIALES!D26</f>
        <v>802.33333333333337</v>
      </c>
      <c r="F23" s="78">
        <v>0.2</v>
      </c>
      <c r="G23" s="687">
        <f>+E23*F23</f>
        <v>160.4666666666667</v>
      </c>
      <c r="H23" s="451"/>
    </row>
    <row r="24" spans="1:8" ht="15.75" thickBot="1">
      <c r="A24" s="61"/>
      <c r="B24" s="61"/>
      <c r="C24" s="61"/>
      <c r="D24" s="61"/>
      <c r="E24" s="61"/>
      <c r="F24" s="61"/>
      <c r="G24" s="81" t="s">
        <v>491</v>
      </c>
      <c r="H24" s="82">
        <f>SUM(G20:G23)</f>
        <v>41279.599146666667</v>
      </c>
    </row>
    <row r="25" spans="1:8" ht="15.75" thickBot="1">
      <c r="A25" s="92" t="s">
        <v>496</v>
      </c>
      <c r="B25" s="92"/>
      <c r="C25" s="90"/>
      <c r="D25" s="61"/>
      <c r="E25" s="61"/>
      <c r="F25" s="61"/>
      <c r="G25" s="61"/>
      <c r="H25" s="61"/>
    </row>
    <row r="26" spans="1:8">
      <c r="A26" s="338" t="s">
        <v>497</v>
      </c>
      <c r="B26" s="340"/>
      <c r="C26" s="93" t="s">
        <v>498</v>
      </c>
      <c r="D26" s="340" t="s">
        <v>499</v>
      </c>
      <c r="E26" s="340" t="s">
        <v>500</v>
      </c>
      <c r="F26" s="34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38" t="s">
        <v>503</v>
      </c>
      <c r="B32" s="340"/>
      <c r="C32" s="340" t="s">
        <v>504</v>
      </c>
      <c r="D32" s="340" t="s">
        <v>505</v>
      </c>
      <c r="E32" s="124" t="s">
        <v>506</v>
      </c>
      <c r="F32" s="102" t="s">
        <v>488</v>
      </c>
      <c r="G32" s="339" t="s">
        <v>489</v>
      </c>
      <c r="H32" s="67"/>
    </row>
    <row r="33" spans="1:8">
      <c r="A33" s="83" t="s">
        <v>624</v>
      </c>
      <c r="B33" s="84"/>
      <c r="C33" s="103">
        <f>+SALARIOS!C50</f>
        <v>41660</v>
      </c>
      <c r="D33" s="104">
        <f>+SALARIOS!C48</f>
        <v>1.7846558312967005</v>
      </c>
      <c r="E33" s="69">
        <f>+C33*D33</f>
        <v>74348.76193182054</v>
      </c>
      <c r="F33" s="69">
        <v>16.649999999999999</v>
      </c>
      <c r="G33" s="105">
        <f>+E33/F33</f>
        <v>4465.3911070162494</v>
      </c>
      <c r="H33" s="72"/>
    </row>
    <row r="34" spans="1:8">
      <c r="A34" s="83" t="s">
        <v>1132</v>
      </c>
      <c r="B34" s="84"/>
      <c r="C34" s="103">
        <f>SALARIOS!C49</f>
        <v>25572</v>
      </c>
      <c r="D34" s="334">
        <f>SALARIOS!C48</f>
        <v>1.7846558312967005</v>
      </c>
      <c r="E34" s="69">
        <f>+C34*D34</f>
        <v>45637.218917919221</v>
      </c>
      <c r="F34" s="69">
        <v>15.5</v>
      </c>
      <c r="G34" s="105">
        <f>+E34/F34</f>
        <v>2944.3367043818853</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7409.7278113981347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49430.299739204616</v>
      </c>
    </row>
    <row r="40" spans="1:8" ht="15.75" thickBot="1">
      <c r="A40" s="63" t="s">
        <v>509</v>
      </c>
      <c r="B40" s="63"/>
      <c r="C40" s="61"/>
      <c r="D40" s="61"/>
      <c r="E40" s="61"/>
      <c r="F40" s="61"/>
      <c r="G40" s="61"/>
      <c r="H40" s="61"/>
    </row>
    <row r="41" spans="1:8">
      <c r="A41" s="233" t="s">
        <v>485</v>
      </c>
      <c r="B41" s="351"/>
      <c r="C41" s="351"/>
      <c r="D41" s="351"/>
      <c r="E41" s="352"/>
      <c r="F41" s="352" t="s">
        <v>510</v>
      </c>
      <c r="G41" s="351" t="s">
        <v>511</v>
      </c>
      <c r="H41" s="67"/>
    </row>
    <row r="42" spans="1:8">
      <c r="A42" s="83" t="s">
        <v>512</v>
      </c>
      <c r="B42" s="84"/>
      <c r="C42" s="84"/>
      <c r="D42" s="84"/>
      <c r="E42" s="85"/>
      <c r="F42" s="115">
        <f>+SALARIOS!C45</f>
        <v>0.15</v>
      </c>
      <c r="G42" s="116">
        <f>++F42*H39</f>
        <v>7414.5449608806921</v>
      </c>
      <c r="H42" s="117"/>
    </row>
    <row r="43" spans="1:8">
      <c r="A43" s="83" t="s">
        <v>513</v>
      </c>
      <c r="B43" s="84"/>
      <c r="C43" s="84"/>
      <c r="D43" s="84"/>
      <c r="E43" s="85"/>
      <c r="F43" s="115">
        <f>+SALARIOS!C46</f>
        <v>0.05</v>
      </c>
      <c r="G43" s="116">
        <f>+F43*H39</f>
        <v>2471.514986960231</v>
      </c>
      <c r="H43" s="117"/>
    </row>
    <row r="44" spans="1:8" ht="15.75" thickBot="1">
      <c r="A44" s="89" t="s">
        <v>514</v>
      </c>
      <c r="B44" s="90"/>
      <c r="C44" s="90"/>
      <c r="D44" s="90"/>
      <c r="E44" s="91"/>
      <c r="F44" s="118">
        <f>+SALARIOS!C47</f>
        <v>0.05</v>
      </c>
      <c r="G44" s="119">
        <f>+F44*H39</f>
        <v>2471.514986960231</v>
      </c>
      <c r="H44" s="80"/>
    </row>
    <row r="45" spans="1:8" ht="15.75" thickBot="1">
      <c r="A45" s="61"/>
      <c r="B45" s="61"/>
      <c r="C45" s="61"/>
      <c r="D45" s="61"/>
      <c r="E45" s="61"/>
      <c r="F45" s="61"/>
      <c r="G45" s="81" t="s">
        <v>491</v>
      </c>
      <c r="H45" s="120">
        <f>SUM(G42:G44)</f>
        <v>12357.574934801156</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61788</v>
      </c>
    </row>
  </sheetData>
  <mergeCells count="1">
    <mergeCell ref="A3:C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
  <sheetViews>
    <sheetView topLeftCell="A97" zoomScaleNormal="100" zoomScaleSheetLayoutView="70" workbookViewId="0">
      <selection activeCell="G125" sqref="G125"/>
    </sheetView>
  </sheetViews>
  <sheetFormatPr baseColWidth="10" defaultRowHeight="14.25"/>
  <cols>
    <col min="1" max="1" width="11.42578125" style="1215"/>
    <col min="2" max="2" width="27.7109375" style="1215" customWidth="1"/>
    <col min="3" max="3" width="12.85546875" style="1215" bestFit="1" customWidth="1"/>
    <col min="4" max="4" width="19.42578125" style="1215" bestFit="1" customWidth="1"/>
    <col min="5" max="5" width="16.140625" style="1215" bestFit="1" customWidth="1"/>
    <col min="6" max="6" width="16.7109375" style="1215" bestFit="1" customWidth="1"/>
    <col min="7" max="7" width="19.5703125" style="1215" customWidth="1"/>
    <col min="8" max="8" width="12.7109375" style="1215" bestFit="1" customWidth="1"/>
    <col min="9" max="257" width="11.42578125" style="1215"/>
    <col min="258" max="258" width="26.85546875" style="1215" customWidth="1"/>
    <col min="259" max="259" width="12.85546875" style="1215" bestFit="1" customWidth="1"/>
    <col min="260" max="260" width="19.42578125" style="1215" bestFit="1" customWidth="1"/>
    <col min="261" max="261" width="16.140625" style="1215" bestFit="1" customWidth="1"/>
    <col min="262" max="262" width="16.7109375" style="1215" bestFit="1" customWidth="1"/>
    <col min="263" max="263" width="19.5703125" style="1215" customWidth="1"/>
    <col min="264" max="264" width="12.7109375" style="1215" bestFit="1" customWidth="1"/>
    <col min="265" max="513" width="11.42578125" style="1215"/>
    <col min="514" max="514" width="26.85546875" style="1215" customWidth="1"/>
    <col min="515" max="515" width="12.85546875" style="1215" bestFit="1" customWidth="1"/>
    <col min="516" max="516" width="19.42578125" style="1215" bestFit="1" customWidth="1"/>
    <col min="517" max="517" width="16.140625" style="1215" bestFit="1" customWidth="1"/>
    <col min="518" max="518" width="16.7109375" style="1215" bestFit="1" customWidth="1"/>
    <col min="519" max="519" width="19.5703125" style="1215" customWidth="1"/>
    <col min="520" max="520" width="12.7109375" style="1215" bestFit="1" customWidth="1"/>
    <col min="521" max="769" width="11.42578125" style="1215"/>
    <col min="770" max="770" width="26.85546875" style="1215" customWidth="1"/>
    <col min="771" max="771" width="12.85546875" style="1215" bestFit="1" customWidth="1"/>
    <col min="772" max="772" width="19.42578125" style="1215" bestFit="1" customWidth="1"/>
    <col min="773" max="773" width="16.140625" style="1215" bestFit="1" customWidth="1"/>
    <col min="774" max="774" width="16.7109375" style="1215" bestFit="1" customWidth="1"/>
    <col min="775" max="775" width="19.5703125" style="1215" customWidth="1"/>
    <col min="776" max="776" width="12.7109375" style="1215" bestFit="1" customWidth="1"/>
    <col min="777" max="1025" width="11.42578125" style="1215"/>
    <col min="1026" max="1026" width="26.85546875" style="1215" customWidth="1"/>
    <col min="1027" max="1027" width="12.85546875" style="1215" bestFit="1" customWidth="1"/>
    <col min="1028" max="1028" width="19.42578125" style="1215" bestFit="1" customWidth="1"/>
    <col min="1029" max="1029" width="16.140625" style="1215" bestFit="1" customWidth="1"/>
    <col min="1030" max="1030" width="16.7109375" style="1215" bestFit="1" customWidth="1"/>
    <col min="1031" max="1031" width="19.5703125" style="1215" customWidth="1"/>
    <col min="1032" max="1032" width="12.7109375" style="1215" bestFit="1" customWidth="1"/>
    <col min="1033" max="1281" width="11.42578125" style="1215"/>
    <col min="1282" max="1282" width="26.85546875" style="1215" customWidth="1"/>
    <col min="1283" max="1283" width="12.85546875" style="1215" bestFit="1" customWidth="1"/>
    <col min="1284" max="1284" width="19.42578125" style="1215" bestFit="1" customWidth="1"/>
    <col min="1285" max="1285" width="16.140625" style="1215" bestFit="1" customWidth="1"/>
    <col min="1286" max="1286" width="16.7109375" style="1215" bestFit="1" customWidth="1"/>
    <col min="1287" max="1287" width="19.5703125" style="1215" customWidth="1"/>
    <col min="1288" max="1288" width="12.7109375" style="1215" bestFit="1" customWidth="1"/>
    <col min="1289" max="1537" width="11.42578125" style="1215"/>
    <col min="1538" max="1538" width="26.85546875" style="1215" customWidth="1"/>
    <col min="1539" max="1539" width="12.85546875" style="1215" bestFit="1" customWidth="1"/>
    <col min="1540" max="1540" width="19.42578125" style="1215" bestFit="1" customWidth="1"/>
    <col min="1541" max="1541" width="16.140625" style="1215" bestFit="1" customWidth="1"/>
    <col min="1542" max="1542" width="16.7109375" style="1215" bestFit="1" customWidth="1"/>
    <col min="1543" max="1543" width="19.5703125" style="1215" customWidth="1"/>
    <col min="1544" max="1544" width="12.7109375" style="1215" bestFit="1" customWidth="1"/>
    <col min="1545" max="1793" width="11.42578125" style="1215"/>
    <col min="1794" max="1794" width="26.85546875" style="1215" customWidth="1"/>
    <col min="1795" max="1795" width="12.85546875" style="1215" bestFit="1" customWidth="1"/>
    <col min="1796" max="1796" width="19.42578125" style="1215" bestFit="1" customWidth="1"/>
    <col min="1797" max="1797" width="16.140625" style="1215" bestFit="1" customWidth="1"/>
    <col min="1798" max="1798" width="16.7109375" style="1215" bestFit="1" customWidth="1"/>
    <col min="1799" max="1799" width="19.5703125" style="1215" customWidth="1"/>
    <col min="1800" max="1800" width="12.7109375" style="1215" bestFit="1" customWidth="1"/>
    <col min="1801" max="2049" width="11.42578125" style="1215"/>
    <col min="2050" max="2050" width="26.85546875" style="1215" customWidth="1"/>
    <col min="2051" max="2051" width="12.85546875" style="1215" bestFit="1" customWidth="1"/>
    <col min="2052" max="2052" width="19.42578125" style="1215" bestFit="1" customWidth="1"/>
    <col min="2053" max="2053" width="16.140625" style="1215" bestFit="1" customWidth="1"/>
    <col min="2054" max="2054" width="16.7109375" style="1215" bestFit="1" customWidth="1"/>
    <col min="2055" max="2055" width="19.5703125" style="1215" customWidth="1"/>
    <col min="2056" max="2056" width="12.7109375" style="1215" bestFit="1" customWidth="1"/>
    <col min="2057" max="2305" width="11.42578125" style="1215"/>
    <col min="2306" max="2306" width="26.85546875" style="1215" customWidth="1"/>
    <col min="2307" max="2307" width="12.85546875" style="1215" bestFit="1" customWidth="1"/>
    <col min="2308" max="2308" width="19.42578125" style="1215" bestFit="1" customWidth="1"/>
    <col min="2309" max="2309" width="16.140625" style="1215" bestFit="1" customWidth="1"/>
    <col min="2310" max="2310" width="16.7109375" style="1215" bestFit="1" customWidth="1"/>
    <col min="2311" max="2311" width="19.5703125" style="1215" customWidth="1"/>
    <col min="2312" max="2312" width="12.7109375" style="1215" bestFit="1" customWidth="1"/>
    <col min="2313" max="2561" width="11.42578125" style="1215"/>
    <col min="2562" max="2562" width="26.85546875" style="1215" customWidth="1"/>
    <col min="2563" max="2563" width="12.85546875" style="1215" bestFit="1" customWidth="1"/>
    <col min="2564" max="2564" width="19.42578125" style="1215" bestFit="1" customWidth="1"/>
    <col min="2565" max="2565" width="16.140625" style="1215" bestFit="1" customWidth="1"/>
    <col min="2566" max="2566" width="16.7109375" style="1215" bestFit="1" customWidth="1"/>
    <col min="2567" max="2567" width="19.5703125" style="1215" customWidth="1"/>
    <col min="2568" max="2568" width="12.7109375" style="1215" bestFit="1" customWidth="1"/>
    <col min="2569" max="2817" width="11.42578125" style="1215"/>
    <col min="2818" max="2818" width="26.85546875" style="1215" customWidth="1"/>
    <col min="2819" max="2819" width="12.85546875" style="1215" bestFit="1" customWidth="1"/>
    <col min="2820" max="2820" width="19.42578125" style="1215" bestFit="1" customWidth="1"/>
    <col min="2821" max="2821" width="16.140625" style="1215" bestFit="1" customWidth="1"/>
    <col min="2822" max="2822" width="16.7109375" style="1215" bestFit="1" customWidth="1"/>
    <col min="2823" max="2823" width="19.5703125" style="1215" customWidth="1"/>
    <col min="2824" max="2824" width="12.7109375" style="1215" bestFit="1" customWidth="1"/>
    <col min="2825" max="3073" width="11.42578125" style="1215"/>
    <col min="3074" max="3074" width="26.85546875" style="1215" customWidth="1"/>
    <col min="3075" max="3075" width="12.85546875" style="1215" bestFit="1" customWidth="1"/>
    <col min="3076" max="3076" width="19.42578125" style="1215" bestFit="1" customWidth="1"/>
    <col min="3077" max="3077" width="16.140625" style="1215" bestFit="1" customWidth="1"/>
    <col min="3078" max="3078" width="16.7109375" style="1215" bestFit="1" customWidth="1"/>
    <col min="3079" max="3079" width="19.5703125" style="1215" customWidth="1"/>
    <col min="3080" max="3080" width="12.7109375" style="1215" bestFit="1" customWidth="1"/>
    <col min="3081" max="3329" width="11.42578125" style="1215"/>
    <col min="3330" max="3330" width="26.85546875" style="1215" customWidth="1"/>
    <col min="3331" max="3331" width="12.85546875" style="1215" bestFit="1" customWidth="1"/>
    <col min="3332" max="3332" width="19.42578125" style="1215" bestFit="1" customWidth="1"/>
    <col min="3333" max="3333" width="16.140625" style="1215" bestFit="1" customWidth="1"/>
    <col min="3334" max="3334" width="16.7109375" style="1215" bestFit="1" customWidth="1"/>
    <col min="3335" max="3335" width="19.5703125" style="1215" customWidth="1"/>
    <col min="3336" max="3336" width="12.7109375" style="1215" bestFit="1" customWidth="1"/>
    <col min="3337" max="3585" width="11.42578125" style="1215"/>
    <col min="3586" max="3586" width="26.85546875" style="1215" customWidth="1"/>
    <col min="3587" max="3587" width="12.85546875" style="1215" bestFit="1" customWidth="1"/>
    <col min="3588" max="3588" width="19.42578125" style="1215" bestFit="1" customWidth="1"/>
    <col min="3589" max="3589" width="16.140625" style="1215" bestFit="1" customWidth="1"/>
    <col min="3590" max="3590" width="16.7109375" style="1215" bestFit="1" customWidth="1"/>
    <col min="3591" max="3591" width="19.5703125" style="1215" customWidth="1"/>
    <col min="3592" max="3592" width="12.7109375" style="1215" bestFit="1" customWidth="1"/>
    <col min="3593" max="3841" width="11.42578125" style="1215"/>
    <col min="3842" max="3842" width="26.85546875" style="1215" customWidth="1"/>
    <col min="3843" max="3843" width="12.85546875" style="1215" bestFit="1" customWidth="1"/>
    <col min="3844" max="3844" width="19.42578125" style="1215" bestFit="1" customWidth="1"/>
    <col min="3845" max="3845" width="16.140625" style="1215" bestFit="1" customWidth="1"/>
    <col min="3846" max="3846" width="16.7109375" style="1215" bestFit="1" customWidth="1"/>
    <col min="3847" max="3847" width="19.5703125" style="1215" customWidth="1"/>
    <col min="3848" max="3848" width="12.7109375" style="1215" bestFit="1" customWidth="1"/>
    <col min="3849" max="4097" width="11.42578125" style="1215"/>
    <col min="4098" max="4098" width="26.85546875" style="1215" customWidth="1"/>
    <col min="4099" max="4099" width="12.85546875" style="1215" bestFit="1" customWidth="1"/>
    <col min="4100" max="4100" width="19.42578125" style="1215" bestFit="1" customWidth="1"/>
    <col min="4101" max="4101" width="16.140625" style="1215" bestFit="1" customWidth="1"/>
    <col min="4102" max="4102" width="16.7109375" style="1215" bestFit="1" customWidth="1"/>
    <col min="4103" max="4103" width="19.5703125" style="1215" customWidth="1"/>
    <col min="4104" max="4104" width="12.7109375" style="1215" bestFit="1" customWidth="1"/>
    <col min="4105" max="4353" width="11.42578125" style="1215"/>
    <col min="4354" max="4354" width="26.85546875" style="1215" customWidth="1"/>
    <col min="4355" max="4355" width="12.85546875" style="1215" bestFit="1" customWidth="1"/>
    <col min="4356" max="4356" width="19.42578125" style="1215" bestFit="1" customWidth="1"/>
    <col min="4357" max="4357" width="16.140625" style="1215" bestFit="1" customWidth="1"/>
    <col min="4358" max="4358" width="16.7109375" style="1215" bestFit="1" customWidth="1"/>
    <col min="4359" max="4359" width="19.5703125" style="1215" customWidth="1"/>
    <col min="4360" max="4360" width="12.7109375" style="1215" bestFit="1" customWidth="1"/>
    <col min="4361" max="4609" width="11.42578125" style="1215"/>
    <col min="4610" max="4610" width="26.85546875" style="1215" customWidth="1"/>
    <col min="4611" max="4611" width="12.85546875" style="1215" bestFit="1" customWidth="1"/>
    <col min="4612" max="4612" width="19.42578125" style="1215" bestFit="1" customWidth="1"/>
    <col min="4613" max="4613" width="16.140625" style="1215" bestFit="1" customWidth="1"/>
    <col min="4614" max="4614" width="16.7109375" style="1215" bestFit="1" customWidth="1"/>
    <col min="4615" max="4615" width="19.5703125" style="1215" customWidth="1"/>
    <col min="4616" max="4616" width="12.7109375" style="1215" bestFit="1" customWidth="1"/>
    <col min="4617" max="4865" width="11.42578125" style="1215"/>
    <col min="4866" max="4866" width="26.85546875" style="1215" customWidth="1"/>
    <col min="4867" max="4867" width="12.85546875" style="1215" bestFit="1" customWidth="1"/>
    <col min="4868" max="4868" width="19.42578125" style="1215" bestFit="1" customWidth="1"/>
    <col min="4869" max="4869" width="16.140625" style="1215" bestFit="1" customWidth="1"/>
    <col min="4870" max="4870" width="16.7109375" style="1215" bestFit="1" customWidth="1"/>
    <col min="4871" max="4871" width="19.5703125" style="1215" customWidth="1"/>
    <col min="4872" max="4872" width="12.7109375" style="1215" bestFit="1" customWidth="1"/>
    <col min="4873" max="5121" width="11.42578125" style="1215"/>
    <col min="5122" max="5122" width="26.85546875" style="1215" customWidth="1"/>
    <col min="5123" max="5123" width="12.85546875" style="1215" bestFit="1" customWidth="1"/>
    <col min="5124" max="5124" width="19.42578125" style="1215" bestFit="1" customWidth="1"/>
    <col min="5125" max="5125" width="16.140625" style="1215" bestFit="1" customWidth="1"/>
    <col min="5126" max="5126" width="16.7109375" style="1215" bestFit="1" customWidth="1"/>
    <col min="5127" max="5127" width="19.5703125" style="1215" customWidth="1"/>
    <col min="5128" max="5128" width="12.7109375" style="1215" bestFit="1" customWidth="1"/>
    <col min="5129" max="5377" width="11.42578125" style="1215"/>
    <col min="5378" max="5378" width="26.85546875" style="1215" customWidth="1"/>
    <col min="5379" max="5379" width="12.85546875" style="1215" bestFit="1" customWidth="1"/>
    <col min="5380" max="5380" width="19.42578125" style="1215" bestFit="1" customWidth="1"/>
    <col min="5381" max="5381" width="16.140625" style="1215" bestFit="1" customWidth="1"/>
    <col min="5382" max="5382" width="16.7109375" style="1215" bestFit="1" customWidth="1"/>
    <col min="5383" max="5383" width="19.5703125" style="1215" customWidth="1"/>
    <col min="5384" max="5384" width="12.7109375" style="1215" bestFit="1" customWidth="1"/>
    <col min="5385" max="5633" width="11.42578125" style="1215"/>
    <col min="5634" max="5634" width="26.85546875" style="1215" customWidth="1"/>
    <col min="5635" max="5635" width="12.85546875" style="1215" bestFit="1" customWidth="1"/>
    <col min="5636" max="5636" width="19.42578125" style="1215" bestFit="1" customWidth="1"/>
    <col min="5637" max="5637" width="16.140625" style="1215" bestFit="1" customWidth="1"/>
    <col min="5638" max="5638" width="16.7109375" style="1215" bestFit="1" customWidth="1"/>
    <col min="5639" max="5639" width="19.5703125" style="1215" customWidth="1"/>
    <col min="5640" max="5640" width="12.7109375" style="1215" bestFit="1" customWidth="1"/>
    <col min="5641" max="5889" width="11.42578125" style="1215"/>
    <col min="5890" max="5890" width="26.85546875" style="1215" customWidth="1"/>
    <col min="5891" max="5891" width="12.85546875" style="1215" bestFit="1" customWidth="1"/>
    <col min="5892" max="5892" width="19.42578125" style="1215" bestFit="1" customWidth="1"/>
    <col min="5893" max="5893" width="16.140625" style="1215" bestFit="1" customWidth="1"/>
    <col min="5894" max="5894" width="16.7109375" style="1215" bestFit="1" customWidth="1"/>
    <col min="5895" max="5895" width="19.5703125" style="1215" customWidth="1"/>
    <col min="5896" max="5896" width="12.7109375" style="1215" bestFit="1" customWidth="1"/>
    <col min="5897" max="6145" width="11.42578125" style="1215"/>
    <col min="6146" max="6146" width="26.85546875" style="1215" customWidth="1"/>
    <col min="6147" max="6147" width="12.85546875" style="1215" bestFit="1" customWidth="1"/>
    <col min="6148" max="6148" width="19.42578125" style="1215" bestFit="1" customWidth="1"/>
    <col min="6149" max="6149" width="16.140625" style="1215" bestFit="1" customWidth="1"/>
    <col min="6150" max="6150" width="16.7109375" style="1215" bestFit="1" customWidth="1"/>
    <col min="6151" max="6151" width="19.5703125" style="1215" customWidth="1"/>
    <col min="6152" max="6152" width="12.7109375" style="1215" bestFit="1" customWidth="1"/>
    <col min="6153" max="6401" width="11.42578125" style="1215"/>
    <col min="6402" max="6402" width="26.85546875" style="1215" customWidth="1"/>
    <col min="6403" max="6403" width="12.85546875" style="1215" bestFit="1" customWidth="1"/>
    <col min="6404" max="6404" width="19.42578125" style="1215" bestFit="1" customWidth="1"/>
    <col min="6405" max="6405" width="16.140625" style="1215" bestFit="1" customWidth="1"/>
    <col min="6406" max="6406" width="16.7109375" style="1215" bestFit="1" customWidth="1"/>
    <col min="6407" max="6407" width="19.5703125" style="1215" customWidth="1"/>
    <col min="6408" max="6408" width="12.7109375" style="1215" bestFit="1" customWidth="1"/>
    <col min="6409" max="6657" width="11.42578125" style="1215"/>
    <col min="6658" max="6658" width="26.85546875" style="1215" customWidth="1"/>
    <col min="6659" max="6659" width="12.85546875" style="1215" bestFit="1" customWidth="1"/>
    <col min="6660" max="6660" width="19.42578125" style="1215" bestFit="1" customWidth="1"/>
    <col min="6661" max="6661" width="16.140625" style="1215" bestFit="1" customWidth="1"/>
    <col min="6662" max="6662" width="16.7109375" style="1215" bestFit="1" customWidth="1"/>
    <col min="6663" max="6663" width="19.5703125" style="1215" customWidth="1"/>
    <col min="6664" max="6664" width="12.7109375" style="1215" bestFit="1" customWidth="1"/>
    <col min="6665" max="6913" width="11.42578125" style="1215"/>
    <col min="6914" max="6914" width="26.85546875" style="1215" customWidth="1"/>
    <col min="6915" max="6915" width="12.85546875" style="1215" bestFit="1" customWidth="1"/>
    <col min="6916" max="6916" width="19.42578125" style="1215" bestFit="1" customWidth="1"/>
    <col min="6917" max="6917" width="16.140625" style="1215" bestFit="1" customWidth="1"/>
    <col min="6918" max="6918" width="16.7109375" style="1215" bestFit="1" customWidth="1"/>
    <col min="6919" max="6919" width="19.5703125" style="1215" customWidth="1"/>
    <col min="6920" max="6920" width="12.7109375" style="1215" bestFit="1" customWidth="1"/>
    <col min="6921" max="7169" width="11.42578125" style="1215"/>
    <col min="7170" max="7170" width="26.85546875" style="1215" customWidth="1"/>
    <col min="7171" max="7171" width="12.85546875" style="1215" bestFit="1" customWidth="1"/>
    <col min="7172" max="7172" width="19.42578125" style="1215" bestFit="1" customWidth="1"/>
    <col min="7173" max="7173" width="16.140625" style="1215" bestFit="1" customWidth="1"/>
    <col min="7174" max="7174" width="16.7109375" style="1215" bestFit="1" customWidth="1"/>
    <col min="7175" max="7175" width="19.5703125" style="1215" customWidth="1"/>
    <col min="7176" max="7176" width="12.7109375" style="1215" bestFit="1" customWidth="1"/>
    <col min="7177" max="7425" width="11.42578125" style="1215"/>
    <col min="7426" max="7426" width="26.85546875" style="1215" customWidth="1"/>
    <col min="7427" max="7427" width="12.85546875" style="1215" bestFit="1" customWidth="1"/>
    <col min="7428" max="7428" width="19.42578125" style="1215" bestFit="1" customWidth="1"/>
    <col min="7429" max="7429" width="16.140625" style="1215" bestFit="1" customWidth="1"/>
    <col min="7430" max="7430" width="16.7109375" style="1215" bestFit="1" customWidth="1"/>
    <col min="7431" max="7431" width="19.5703125" style="1215" customWidth="1"/>
    <col min="7432" max="7432" width="12.7109375" style="1215" bestFit="1" customWidth="1"/>
    <col min="7433" max="7681" width="11.42578125" style="1215"/>
    <col min="7682" max="7682" width="26.85546875" style="1215" customWidth="1"/>
    <col min="7683" max="7683" width="12.85546875" style="1215" bestFit="1" customWidth="1"/>
    <col min="7684" max="7684" width="19.42578125" style="1215" bestFit="1" customWidth="1"/>
    <col min="7685" max="7685" width="16.140625" style="1215" bestFit="1" customWidth="1"/>
    <col min="7686" max="7686" width="16.7109375" style="1215" bestFit="1" customWidth="1"/>
    <col min="7687" max="7687" width="19.5703125" style="1215" customWidth="1"/>
    <col min="7688" max="7688" width="12.7109375" style="1215" bestFit="1" customWidth="1"/>
    <col min="7689" max="7937" width="11.42578125" style="1215"/>
    <col min="7938" max="7938" width="26.85546875" style="1215" customWidth="1"/>
    <col min="7939" max="7939" width="12.85546875" style="1215" bestFit="1" customWidth="1"/>
    <col min="7940" max="7940" width="19.42578125" style="1215" bestFit="1" customWidth="1"/>
    <col min="7941" max="7941" width="16.140625" style="1215" bestFit="1" customWidth="1"/>
    <col min="7942" max="7942" width="16.7109375" style="1215" bestFit="1" customWidth="1"/>
    <col min="7943" max="7943" width="19.5703125" style="1215" customWidth="1"/>
    <col min="7944" max="7944" width="12.7109375" style="1215" bestFit="1" customWidth="1"/>
    <col min="7945" max="8193" width="11.42578125" style="1215"/>
    <col min="8194" max="8194" width="26.85546875" style="1215" customWidth="1"/>
    <col min="8195" max="8195" width="12.85546875" style="1215" bestFit="1" customWidth="1"/>
    <col min="8196" max="8196" width="19.42578125" style="1215" bestFit="1" customWidth="1"/>
    <col min="8197" max="8197" width="16.140625" style="1215" bestFit="1" customWidth="1"/>
    <col min="8198" max="8198" width="16.7109375" style="1215" bestFit="1" customWidth="1"/>
    <col min="8199" max="8199" width="19.5703125" style="1215" customWidth="1"/>
    <col min="8200" max="8200" width="12.7109375" style="1215" bestFit="1" customWidth="1"/>
    <col min="8201" max="8449" width="11.42578125" style="1215"/>
    <col min="8450" max="8450" width="26.85546875" style="1215" customWidth="1"/>
    <col min="8451" max="8451" width="12.85546875" style="1215" bestFit="1" customWidth="1"/>
    <col min="8452" max="8452" width="19.42578125" style="1215" bestFit="1" customWidth="1"/>
    <col min="8453" max="8453" width="16.140625" style="1215" bestFit="1" customWidth="1"/>
    <col min="8454" max="8454" width="16.7109375" style="1215" bestFit="1" customWidth="1"/>
    <col min="8455" max="8455" width="19.5703125" style="1215" customWidth="1"/>
    <col min="8456" max="8456" width="12.7109375" style="1215" bestFit="1" customWidth="1"/>
    <col min="8457" max="8705" width="11.42578125" style="1215"/>
    <col min="8706" max="8706" width="26.85546875" style="1215" customWidth="1"/>
    <col min="8707" max="8707" width="12.85546875" style="1215" bestFit="1" customWidth="1"/>
    <col min="8708" max="8708" width="19.42578125" style="1215" bestFit="1" customWidth="1"/>
    <col min="8709" max="8709" width="16.140625" style="1215" bestFit="1" customWidth="1"/>
    <col min="8710" max="8710" width="16.7109375" style="1215" bestFit="1" customWidth="1"/>
    <col min="8711" max="8711" width="19.5703125" style="1215" customWidth="1"/>
    <col min="8712" max="8712" width="12.7109375" style="1215" bestFit="1" customWidth="1"/>
    <col min="8713" max="8961" width="11.42578125" style="1215"/>
    <col min="8962" max="8962" width="26.85546875" style="1215" customWidth="1"/>
    <col min="8963" max="8963" width="12.85546875" style="1215" bestFit="1" customWidth="1"/>
    <col min="8964" max="8964" width="19.42578125" style="1215" bestFit="1" customWidth="1"/>
    <col min="8965" max="8965" width="16.140625" style="1215" bestFit="1" customWidth="1"/>
    <col min="8966" max="8966" width="16.7109375" style="1215" bestFit="1" customWidth="1"/>
    <col min="8967" max="8967" width="19.5703125" style="1215" customWidth="1"/>
    <col min="8968" max="8968" width="12.7109375" style="1215" bestFit="1" customWidth="1"/>
    <col min="8969" max="9217" width="11.42578125" style="1215"/>
    <col min="9218" max="9218" width="26.85546875" style="1215" customWidth="1"/>
    <col min="9219" max="9219" width="12.85546875" style="1215" bestFit="1" customWidth="1"/>
    <col min="9220" max="9220" width="19.42578125" style="1215" bestFit="1" customWidth="1"/>
    <col min="9221" max="9221" width="16.140625" style="1215" bestFit="1" customWidth="1"/>
    <col min="9222" max="9222" width="16.7109375" style="1215" bestFit="1" customWidth="1"/>
    <col min="9223" max="9223" width="19.5703125" style="1215" customWidth="1"/>
    <col min="9224" max="9224" width="12.7109375" style="1215" bestFit="1" customWidth="1"/>
    <col min="9225" max="9473" width="11.42578125" style="1215"/>
    <col min="9474" max="9474" width="26.85546875" style="1215" customWidth="1"/>
    <col min="9475" max="9475" width="12.85546875" style="1215" bestFit="1" customWidth="1"/>
    <col min="9476" max="9476" width="19.42578125" style="1215" bestFit="1" customWidth="1"/>
    <col min="9477" max="9477" width="16.140625" style="1215" bestFit="1" customWidth="1"/>
    <col min="9478" max="9478" width="16.7109375" style="1215" bestFit="1" customWidth="1"/>
    <col min="9479" max="9479" width="19.5703125" style="1215" customWidth="1"/>
    <col min="9480" max="9480" width="12.7109375" style="1215" bestFit="1" customWidth="1"/>
    <col min="9481" max="9729" width="11.42578125" style="1215"/>
    <col min="9730" max="9730" width="26.85546875" style="1215" customWidth="1"/>
    <col min="9731" max="9731" width="12.85546875" style="1215" bestFit="1" customWidth="1"/>
    <col min="9732" max="9732" width="19.42578125" style="1215" bestFit="1" customWidth="1"/>
    <col min="9733" max="9733" width="16.140625" style="1215" bestFit="1" customWidth="1"/>
    <col min="9734" max="9734" width="16.7109375" style="1215" bestFit="1" customWidth="1"/>
    <col min="9735" max="9735" width="19.5703125" style="1215" customWidth="1"/>
    <col min="9736" max="9736" width="12.7109375" style="1215" bestFit="1" customWidth="1"/>
    <col min="9737" max="9985" width="11.42578125" style="1215"/>
    <col min="9986" max="9986" width="26.85546875" style="1215" customWidth="1"/>
    <col min="9987" max="9987" width="12.85546875" style="1215" bestFit="1" customWidth="1"/>
    <col min="9988" max="9988" width="19.42578125" style="1215" bestFit="1" customWidth="1"/>
    <col min="9989" max="9989" width="16.140625" style="1215" bestFit="1" customWidth="1"/>
    <col min="9990" max="9990" width="16.7109375" style="1215" bestFit="1" customWidth="1"/>
    <col min="9991" max="9991" width="19.5703125" style="1215" customWidth="1"/>
    <col min="9992" max="9992" width="12.7109375" style="1215" bestFit="1" customWidth="1"/>
    <col min="9993" max="10241" width="11.42578125" style="1215"/>
    <col min="10242" max="10242" width="26.85546875" style="1215" customWidth="1"/>
    <col min="10243" max="10243" width="12.85546875" style="1215" bestFit="1" customWidth="1"/>
    <col min="10244" max="10244" width="19.42578125" style="1215" bestFit="1" customWidth="1"/>
    <col min="10245" max="10245" width="16.140625" style="1215" bestFit="1" customWidth="1"/>
    <col min="10246" max="10246" width="16.7109375" style="1215" bestFit="1" customWidth="1"/>
    <col min="10247" max="10247" width="19.5703125" style="1215" customWidth="1"/>
    <col min="10248" max="10248" width="12.7109375" style="1215" bestFit="1" customWidth="1"/>
    <col min="10249" max="10497" width="11.42578125" style="1215"/>
    <col min="10498" max="10498" width="26.85546875" style="1215" customWidth="1"/>
    <col min="10499" max="10499" width="12.85546875" style="1215" bestFit="1" customWidth="1"/>
    <col min="10500" max="10500" width="19.42578125" style="1215" bestFit="1" customWidth="1"/>
    <col min="10501" max="10501" width="16.140625" style="1215" bestFit="1" customWidth="1"/>
    <col min="10502" max="10502" width="16.7109375" style="1215" bestFit="1" customWidth="1"/>
    <col min="10503" max="10503" width="19.5703125" style="1215" customWidth="1"/>
    <col min="10504" max="10504" width="12.7109375" style="1215" bestFit="1" customWidth="1"/>
    <col min="10505" max="10753" width="11.42578125" style="1215"/>
    <col min="10754" max="10754" width="26.85546875" style="1215" customWidth="1"/>
    <col min="10755" max="10755" width="12.85546875" style="1215" bestFit="1" customWidth="1"/>
    <col min="10756" max="10756" width="19.42578125" style="1215" bestFit="1" customWidth="1"/>
    <col min="10757" max="10757" width="16.140625" style="1215" bestFit="1" customWidth="1"/>
    <col min="10758" max="10758" width="16.7109375" style="1215" bestFit="1" customWidth="1"/>
    <col min="10759" max="10759" width="19.5703125" style="1215" customWidth="1"/>
    <col min="10760" max="10760" width="12.7109375" style="1215" bestFit="1" customWidth="1"/>
    <col min="10761" max="11009" width="11.42578125" style="1215"/>
    <col min="11010" max="11010" width="26.85546875" style="1215" customWidth="1"/>
    <col min="11011" max="11011" width="12.85546875" style="1215" bestFit="1" customWidth="1"/>
    <col min="11012" max="11012" width="19.42578125" style="1215" bestFit="1" customWidth="1"/>
    <col min="11013" max="11013" width="16.140625" style="1215" bestFit="1" customWidth="1"/>
    <col min="11014" max="11014" width="16.7109375" style="1215" bestFit="1" customWidth="1"/>
    <col min="11015" max="11015" width="19.5703125" style="1215" customWidth="1"/>
    <col min="11016" max="11016" width="12.7109375" style="1215" bestFit="1" customWidth="1"/>
    <col min="11017" max="11265" width="11.42578125" style="1215"/>
    <col min="11266" max="11266" width="26.85546875" style="1215" customWidth="1"/>
    <col min="11267" max="11267" width="12.85546875" style="1215" bestFit="1" customWidth="1"/>
    <col min="11268" max="11268" width="19.42578125" style="1215" bestFit="1" customWidth="1"/>
    <col min="11269" max="11269" width="16.140625" style="1215" bestFit="1" customWidth="1"/>
    <col min="11270" max="11270" width="16.7109375" style="1215" bestFit="1" customWidth="1"/>
    <col min="11271" max="11271" width="19.5703125" style="1215" customWidth="1"/>
    <col min="11272" max="11272" width="12.7109375" style="1215" bestFit="1" customWidth="1"/>
    <col min="11273" max="11521" width="11.42578125" style="1215"/>
    <col min="11522" max="11522" width="26.85546875" style="1215" customWidth="1"/>
    <col min="11523" max="11523" width="12.85546875" style="1215" bestFit="1" customWidth="1"/>
    <col min="11524" max="11524" width="19.42578125" style="1215" bestFit="1" customWidth="1"/>
    <col min="11525" max="11525" width="16.140625" style="1215" bestFit="1" customWidth="1"/>
    <col min="11526" max="11526" width="16.7109375" style="1215" bestFit="1" customWidth="1"/>
    <col min="11527" max="11527" width="19.5703125" style="1215" customWidth="1"/>
    <col min="11528" max="11528" width="12.7109375" style="1215" bestFit="1" customWidth="1"/>
    <col min="11529" max="11777" width="11.42578125" style="1215"/>
    <col min="11778" max="11778" width="26.85546875" style="1215" customWidth="1"/>
    <col min="11779" max="11779" width="12.85546875" style="1215" bestFit="1" customWidth="1"/>
    <col min="11780" max="11780" width="19.42578125" style="1215" bestFit="1" customWidth="1"/>
    <col min="11781" max="11781" width="16.140625" style="1215" bestFit="1" customWidth="1"/>
    <col min="11782" max="11782" width="16.7109375" style="1215" bestFit="1" customWidth="1"/>
    <col min="11783" max="11783" width="19.5703125" style="1215" customWidth="1"/>
    <col min="11784" max="11784" width="12.7109375" style="1215" bestFit="1" customWidth="1"/>
    <col min="11785" max="12033" width="11.42578125" style="1215"/>
    <col min="12034" max="12034" width="26.85546875" style="1215" customWidth="1"/>
    <col min="12035" max="12035" width="12.85546875" style="1215" bestFit="1" customWidth="1"/>
    <col min="12036" max="12036" width="19.42578125" style="1215" bestFit="1" customWidth="1"/>
    <col min="12037" max="12037" width="16.140625" style="1215" bestFit="1" customWidth="1"/>
    <col min="12038" max="12038" width="16.7109375" style="1215" bestFit="1" customWidth="1"/>
    <col min="12039" max="12039" width="19.5703125" style="1215" customWidth="1"/>
    <col min="12040" max="12040" width="12.7109375" style="1215" bestFit="1" customWidth="1"/>
    <col min="12041" max="12289" width="11.42578125" style="1215"/>
    <col min="12290" max="12290" width="26.85546875" style="1215" customWidth="1"/>
    <col min="12291" max="12291" width="12.85546875" style="1215" bestFit="1" customWidth="1"/>
    <col min="12292" max="12292" width="19.42578125" style="1215" bestFit="1" customWidth="1"/>
    <col min="12293" max="12293" width="16.140625" style="1215" bestFit="1" customWidth="1"/>
    <col min="12294" max="12294" width="16.7109375" style="1215" bestFit="1" customWidth="1"/>
    <col min="12295" max="12295" width="19.5703125" style="1215" customWidth="1"/>
    <col min="12296" max="12296" width="12.7109375" style="1215" bestFit="1" customWidth="1"/>
    <col min="12297" max="12545" width="11.42578125" style="1215"/>
    <col min="12546" max="12546" width="26.85546875" style="1215" customWidth="1"/>
    <col min="12547" max="12547" width="12.85546875" style="1215" bestFit="1" customWidth="1"/>
    <col min="12548" max="12548" width="19.42578125" style="1215" bestFit="1" customWidth="1"/>
    <col min="12549" max="12549" width="16.140625" style="1215" bestFit="1" customWidth="1"/>
    <col min="12550" max="12550" width="16.7109375" style="1215" bestFit="1" customWidth="1"/>
    <col min="12551" max="12551" width="19.5703125" style="1215" customWidth="1"/>
    <col min="12552" max="12552" width="12.7109375" style="1215" bestFit="1" customWidth="1"/>
    <col min="12553" max="12801" width="11.42578125" style="1215"/>
    <col min="12802" max="12802" width="26.85546875" style="1215" customWidth="1"/>
    <col min="12803" max="12803" width="12.85546875" style="1215" bestFit="1" customWidth="1"/>
    <col min="12804" max="12804" width="19.42578125" style="1215" bestFit="1" customWidth="1"/>
    <col min="12805" max="12805" width="16.140625" style="1215" bestFit="1" customWidth="1"/>
    <col min="12806" max="12806" width="16.7109375" style="1215" bestFit="1" customWidth="1"/>
    <col min="12807" max="12807" width="19.5703125" style="1215" customWidth="1"/>
    <col min="12808" max="12808" width="12.7109375" style="1215" bestFit="1" customWidth="1"/>
    <col min="12809" max="13057" width="11.42578125" style="1215"/>
    <col min="13058" max="13058" width="26.85546875" style="1215" customWidth="1"/>
    <col min="13059" max="13059" width="12.85546875" style="1215" bestFit="1" customWidth="1"/>
    <col min="13060" max="13060" width="19.42578125" style="1215" bestFit="1" customWidth="1"/>
    <col min="13061" max="13061" width="16.140625" style="1215" bestFit="1" customWidth="1"/>
    <col min="13062" max="13062" width="16.7109375" style="1215" bestFit="1" customWidth="1"/>
    <col min="13063" max="13063" width="19.5703125" style="1215" customWidth="1"/>
    <col min="13064" max="13064" width="12.7109375" style="1215" bestFit="1" customWidth="1"/>
    <col min="13065" max="13313" width="11.42578125" style="1215"/>
    <col min="13314" max="13314" width="26.85546875" style="1215" customWidth="1"/>
    <col min="13315" max="13315" width="12.85546875" style="1215" bestFit="1" customWidth="1"/>
    <col min="13316" max="13316" width="19.42578125" style="1215" bestFit="1" customWidth="1"/>
    <col min="13317" max="13317" width="16.140625" style="1215" bestFit="1" customWidth="1"/>
    <col min="13318" max="13318" width="16.7109375" style="1215" bestFit="1" customWidth="1"/>
    <col min="13319" max="13319" width="19.5703125" style="1215" customWidth="1"/>
    <col min="13320" max="13320" width="12.7109375" style="1215" bestFit="1" customWidth="1"/>
    <col min="13321" max="13569" width="11.42578125" style="1215"/>
    <col min="13570" max="13570" width="26.85546875" style="1215" customWidth="1"/>
    <col min="13571" max="13571" width="12.85546875" style="1215" bestFit="1" customWidth="1"/>
    <col min="13572" max="13572" width="19.42578125" style="1215" bestFit="1" customWidth="1"/>
    <col min="13573" max="13573" width="16.140625" style="1215" bestFit="1" customWidth="1"/>
    <col min="13574" max="13574" width="16.7109375" style="1215" bestFit="1" customWidth="1"/>
    <col min="13575" max="13575" width="19.5703125" style="1215" customWidth="1"/>
    <col min="13576" max="13576" width="12.7109375" style="1215" bestFit="1" customWidth="1"/>
    <col min="13577" max="13825" width="11.42578125" style="1215"/>
    <col min="13826" max="13826" width="26.85546875" style="1215" customWidth="1"/>
    <col min="13827" max="13827" width="12.85546875" style="1215" bestFit="1" customWidth="1"/>
    <col min="13828" max="13828" width="19.42578125" style="1215" bestFit="1" customWidth="1"/>
    <col min="13829" max="13829" width="16.140625" style="1215" bestFit="1" customWidth="1"/>
    <col min="13830" max="13830" width="16.7109375" style="1215" bestFit="1" customWidth="1"/>
    <col min="13831" max="13831" width="19.5703125" style="1215" customWidth="1"/>
    <col min="13832" max="13832" width="12.7109375" style="1215" bestFit="1" customWidth="1"/>
    <col min="13833" max="14081" width="11.42578125" style="1215"/>
    <col min="14082" max="14082" width="26.85546875" style="1215" customWidth="1"/>
    <col min="14083" max="14083" width="12.85546875" style="1215" bestFit="1" customWidth="1"/>
    <col min="14084" max="14084" width="19.42578125" style="1215" bestFit="1" customWidth="1"/>
    <col min="14085" max="14085" width="16.140625" style="1215" bestFit="1" customWidth="1"/>
    <col min="14086" max="14086" width="16.7109375" style="1215" bestFit="1" customWidth="1"/>
    <col min="14087" max="14087" width="19.5703125" style="1215" customWidth="1"/>
    <col min="14088" max="14088" width="12.7109375" style="1215" bestFit="1" customWidth="1"/>
    <col min="14089" max="14337" width="11.42578125" style="1215"/>
    <col min="14338" max="14338" width="26.85546875" style="1215" customWidth="1"/>
    <col min="14339" max="14339" width="12.85546875" style="1215" bestFit="1" customWidth="1"/>
    <col min="14340" max="14340" width="19.42578125" style="1215" bestFit="1" customWidth="1"/>
    <col min="14341" max="14341" width="16.140625" style="1215" bestFit="1" customWidth="1"/>
    <col min="14342" max="14342" width="16.7109375" style="1215" bestFit="1" customWidth="1"/>
    <col min="14343" max="14343" width="19.5703125" style="1215" customWidth="1"/>
    <col min="14344" max="14344" width="12.7109375" style="1215" bestFit="1" customWidth="1"/>
    <col min="14345" max="14593" width="11.42578125" style="1215"/>
    <col min="14594" max="14594" width="26.85546875" style="1215" customWidth="1"/>
    <col min="14595" max="14595" width="12.85546875" style="1215" bestFit="1" customWidth="1"/>
    <col min="14596" max="14596" width="19.42578125" style="1215" bestFit="1" customWidth="1"/>
    <col min="14597" max="14597" width="16.140625" style="1215" bestFit="1" customWidth="1"/>
    <col min="14598" max="14598" width="16.7109375" style="1215" bestFit="1" customWidth="1"/>
    <col min="14599" max="14599" width="19.5703125" style="1215" customWidth="1"/>
    <col min="14600" max="14600" width="12.7109375" style="1215" bestFit="1" customWidth="1"/>
    <col min="14601" max="14849" width="11.42578125" style="1215"/>
    <col min="14850" max="14850" width="26.85546875" style="1215" customWidth="1"/>
    <col min="14851" max="14851" width="12.85546875" style="1215" bestFit="1" customWidth="1"/>
    <col min="14852" max="14852" width="19.42578125" style="1215" bestFit="1" customWidth="1"/>
    <col min="14853" max="14853" width="16.140625" style="1215" bestFit="1" customWidth="1"/>
    <col min="14854" max="14854" width="16.7109375" style="1215" bestFit="1" customWidth="1"/>
    <col min="14855" max="14855" width="19.5703125" style="1215" customWidth="1"/>
    <col min="14856" max="14856" width="12.7109375" style="1215" bestFit="1" customWidth="1"/>
    <col min="14857" max="15105" width="11.42578125" style="1215"/>
    <col min="15106" max="15106" width="26.85546875" style="1215" customWidth="1"/>
    <col min="15107" max="15107" width="12.85546875" style="1215" bestFit="1" customWidth="1"/>
    <col min="15108" max="15108" width="19.42578125" style="1215" bestFit="1" customWidth="1"/>
    <col min="15109" max="15109" width="16.140625" style="1215" bestFit="1" customWidth="1"/>
    <col min="15110" max="15110" width="16.7109375" style="1215" bestFit="1" customWidth="1"/>
    <col min="15111" max="15111" width="19.5703125" style="1215" customWidth="1"/>
    <col min="15112" max="15112" width="12.7109375" style="1215" bestFit="1" customWidth="1"/>
    <col min="15113" max="15361" width="11.42578125" style="1215"/>
    <col min="15362" max="15362" width="26.85546875" style="1215" customWidth="1"/>
    <col min="15363" max="15363" width="12.85546875" style="1215" bestFit="1" customWidth="1"/>
    <col min="15364" max="15364" width="19.42578125" style="1215" bestFit="1" customWidth="1"/>
    <col min="15365" max="15365" width="16.140625" style="1215" bestFit="1" customWidth="1"/>
    <col min="15366" max="15366" width="16.7109375" style="1215" bestFit="1" customWidth="1"/>
    <col min="15367" max="15367" width="19.5703125" style="1215" customWidth="1"/>
    <col min="15368" max="15368" width="12.7109375" style="1215" bestFit="1" customWidth="1"/>
    <col min="15369" max="15617" width="11.42578125" style="1215"/>
    <col min="15618" max="15618" width="26.85546875" style="1215" customWidth="1"/>
    <col min="15619" max="15619" width="12.85546875" style="1215" bestFit="1" customWidth="1"/>
    <col min="15620" max="15620" width="19.42578125" style="1215" bestFit="1" customWidth="1"/>
    <col min="15621" max="15621" width="16.140625" style="1215" bestFit="1" customWidth="1"/>
    <col min="15622" max="15622" width="16.7109375" style="1215" bestFit="1" customWidth="1"/>
    <col min="15623" max="15623" width="19.5703125" style="1215" customWidth="1"/>
    <col min="15624" max="15624" width="12.7109375" style="1215" bestFit="1" customWidth="1"/>
    <col min="15625" max="15873" width="11.42578125" style="1215"/>
    <col min="15874" max="15874" width="26.85546875" style="1215" customWidth="1"/>
    <col min="15875" max="15875" width="12.85546875" style="1215" bestFit="1" customWidth="1"/>
    <col min="15876" max="15876" width="19.42578125" style="1215" bestFit="1" customWidth="1"/>
    <col min="15877" max="15877" width="16.140625" style="1215" bestFit="1" customWidth="1"/>
    <col min="15878" max="15878" width="16.7109375" style="1215" bestFit="1" customWidth="1"/>
    <col min="15879" max="15879" width="19.5703125" style="1215" customWidth="1"/>
    <col min="15880" max="15880" width="12.7109375" style="1215" bestFit="1" customWidth="1"/>
    <col min="15881" max="16129" width="11.42578125" style="1215"/>
    <col min="16130" max="16130" width="26.85546875" style="1215" customWidth="1"/>
    <col min="16131" max="16131" width="12.85546875" style="1215" bestFit="1" customWidth="1"/>
    <col min="16132" max="16132" width="19.42578125" style="1215" bestFit="1" customWidth="1"/>
    <col min="16133" max="16133" width="16.140625" style="1215" bestFit="1" customWidth="1"/>
    <col min="16134" max="16134" width="16.7109375" style="1215" bestFit="1" customWidth="1"/>
    <col min="16135" max="16135" width="19.5703125" style="1215" customWidth="1"/>
    <col min="16136" max="16136" width="12.7109375" style="1215" bestFit="1" customWidth="1"/>
    <col min="16137" max="16384" width="11.42578125" style="1215"/>
  </cols>
  <sheetData>
    <row r="1" spans="1:7" ht="15">
      <c r="A1" s="1214"/>
      <c r="B1" s="1214"/>
      <c r="C1" s="1214"/>
      <c r="D1" s="1214"/>
      <c r="E1" s="1214"/>
      <c r="F1" s="1214"/>
      <c r="G1" s="1214"/>
    </row>
    <row r="2" spans="1:7" ht="15">
      <c r="A2" s="1214"/>
      <c r="B2" s="1214"/>
      <c r="C2" s="1214"/>
      <c r="D2" s="1214"/>
      <c r="E2" s="1214"/>
      <c r="F2" s="1214"/>
      <c r="G2" s="1214"/>
    </row>
    <row r="3" spans="1:7" ht="15">
      <c r="A3" s="1214"/>
      <c r="B3" s="1214"/>
      <c r="C3" s="1214"/>
      <c r="D3" s="1214"/>
      <c r="E3" s="1214"/>
      <c r="F3" s="1214"/>
      <c r="G3" s="1214"/>
    </row>
    <row r="4" spans="1:7">
      <c r="A4" s="1216"/>
      <c r="B4" s="1216"/>
      <c r="C4" s="1216"/>
      <c r="D4" s="1216"/>
      <c r="E4" s="1216"/>
      <c r="F4" s="1216"/>
      <c r="G4" s="1216"/>
    </row>
    <row r="5" spans="1:7">
      <c r="A5" s="1216"/>
      <c r="B5" s="1216"/>
      <c r="C5" s="1216"/>
      <c r="D5" s="1216"/>
      <c r="E5" s="1216"/>
      <c r="F5" s="1216"/>
      <c r="G5" s="1216"/>
    </row>
    <row r="6" spans="1:7">
      <c r="A6" s="1216"/>
      <c r="B6" s="1216"/>
      <c r="C6" s="1216"/>
      <c r="D6" s="1216"/>
      <c r="E6" s="1216"/>
      <c r="F6" s="1216"/>
      <c r="G6" s="1216"/>
    </row>
    <row r="7" spans="1:7">
      <c r="A7" s="1216"/>
      <c r="B7" s="1216"/>
      <c r="C7" s="1216"/>
      <c r="D7" s="1216"/>
      <c r="E7" s="1216"/>
      <c r="F7" s="1216"/>
      <c r="G7" s="1216"/>
    </row>
    <row r="8" spans="1:7">
      <c r="A8" s="1216"/>
      <c r="B8" s="1216"/>
      <c r="C8" s="1216"/>
      <c r="D8" s="1216"/>
      <c r="E8" s="1216"/>
      <c r="F8" s="1216"/>
      <c r="G8" s="1216"/>
    </row>
    <row r="9" spans="1:7">
      <c r="A9" s="1216"/>
      <c r="B9" s="1216"/>
      <c r="C9" s="1216"/>
      <c r="D9" s="1216"/>
      <c r="E9" s="1216"/>
      <c r="F9" s="1216"/>
      <c r="G9" s="1216"/>
    </row>
    <row r="10" spans="1:7">
      <c r="A10" s="1217"/>
      <c r="B10" s="1217"/>
      <c r="C10" s="1217"/>
      <c r="D10" s="1217"/>
      <c r="E10" s="1217"/>
      <c r="F10" s="1217"/>
      <c r="G10" s="1217"/>
    </row>
    <row r="11" spans="1:7" ht="15">
      <c r="A11" s="1218"/>
      <c r="B11" s="1356" t="s">
        <v>2281</v>
      </c>
      <c r="C11" s="1357"/>
      <c r="D11" s="1357"/>
      <c r="E11" s="1357"/>
      <c r="F11" s="1358"/>
      <c r="G11" s="1219" t="s">
        <v>2282</v>
      </c>
    </row>
    <row r="12" spans="1:7" ht="15">
      <c r="B12" s="1357"/>
      <c r="C12" s="1357"/>
      <c r="D12" s="1357"/>
      <c r="E12" s="1357"/>
      <c r="F12" s="1358"/>
      <c r="G12" s="1220" t="s">
        <v>61</v>
      </c>
    </row>
    <row r="13" spans="1:7">
      <c r="A13" s="1215" t="s">
        <v>2283</v>
      </c>
      <c r="G13" s="1221"/>
    </row>
    <row r="14" spans="1:7">
      <c r="A14" s="1222" t="s">
        <v>1997</v>
      </c>
      <c r="B14" s="1223"/>
      <c r="C14" s="1223"/>
      <c r="D14" s="1224" t="s">
        <v>1980</v>
      </c>
      <c r="E14" s="1224" t="s">
        <v>2284</v>
      </c>
      <c r="F14" s="1224" t="s">
        <v>2285</v>
      </c>
      <c r="G14" s="1224" t="s">
        <v>2286</v>
      </c>
    </row>
    <row r="15" spans="1:7">
      <c r="A15" s="1225"/>
      <c r="B15" s="1226"/>
      <c r="C15" s="1227"/>
      <c r="D15" s="1228"/>
      <c r="E15" s="1229"/>
      <c r="F15" s="1229"/>
      <c r="G15" s="1228"/>
    </row>
    <row r="16" spans="1:7">
      <c r="A16" s="1230" t="s">
        <v>3</v>
      </c>
      <c r="B16" s="1231"/>
      <c r="C16" s="1231"/>
      <c r="D16" s="1232" t="s">
        <v>62</v>
      </c>
      <c r="E16" s="1233">
        <v>10000</v>
      </c>
      <c r="F16" s="1233">
        <v>100</v>
      </c>
      <c r="G16" s="1232">
        <f>+E16/F16</f>
        <v>100</v>
      </c>
    </row>
    <row r="17" spans="1:14">
      <c r="A17" s="1234"/>
      <c r="B17" s="1235"/>
      <c r="C17" s="1235"/>
      <c r="D17" s="1236"/>
      <c r="E17" s="1236"/>
      <c r="F17" s="1236"/>
      <c r="G17" s="1237"/>
    </row>
    <row r="18" spans="1:14">
      <c r="A18" s="1231"/>
      <c r="B18" s="1231"/>
      <c r="C18" s="1231"/>
      <c r="D18" s="1231"/>
      <c r="E18" s="1231"/>
      <c r="F18" s="1224" t="s">
        <v>2287</v>
      </c>
      <c r="G18" s="1238">
        <f>ROUND(SUM(G15:G17),2)</f>
        <v>100</v>
      </c>
    </row>
    <row r="19" spans="1:14">
      <c r="A19" s="1231"/>
      <c r="B19" s="1231"/>
      <c r="C19" s="1231"/>
      <c r="D19" s="1231"/>
      <c r="E19" s="1231"/>
      <c r="F19" s="1231"/>
      <c r="G19" s="1239"/>
    </row>
    <row r="20" spans="1:14">
      <c r="G20" s="1221"/>
    </row>
    <row r="21" spans="1:14">
      <c r="A21" s="1215" t="s">
        <v>2288</v>
      </c>
      <c r="F21" s="1231"/>
      <c r="G21" s="1221"/>
    </row>
    <row r="22" spans="1:14">
      <c r="A22" s="1222" t="s">
        <v>1997</v>
      </c>
      <c r="B22" s="1240"/>
      <c r="C22" s="1224" t="s">
        <v>0</v>
      </c>
      <c r="D22" s="1224" t="s">
        <v>4</v>
      </c>
      <c r="E22" s="1222" t="s">
        <v>2289</v>
      </c>
      <c r="F22" s="1224" t="s">
        <v>2290</v>
      </c>
      <c r="G22" s="1224" t="s">
        <v>2286</v>
      </c>
    </row>
    <row r="23" spans="1:14">
      <c r="A23" s="1241" t="s">
        <v>2291</v>
      </c>
      <c r="B23" s="1242"/>
      <c r="C23" s="1219" t="s">
        <v>61</v>
      </c>
      <c r="D23" s="1243">
        <v>916800</v>
      </c>
      <c r="E23" s="1244">
        <v>1</v>
      </c>
      <c r="F23" s="1245"/>
      <c r="G23" s="1243">
        <f>+D23*E23</f>
        <v>916800</v>
      </c>
    </row>
    <row r="24" spans="1:14">
      <c r="A24" s="1230" t="s">
        <v>2292</v>
      </c>
      <c r="B24" s="1246"/>
      <c r="C24" s="1247" t="s">
        <v>61</v>
      </c>
      <c r="D24" s="1248">
        <f>1297000*1.16</f>
        <v>1504520</v>
      </c>
      <c r="E24" s="1249">
        <v>1</v>
      </c>
      <c r="F24" s="1250"/>
      <c r="G24" s="1251">
        <f>+D24*E24</f>
        <v>1504520</v>
      </c>
      <c r="K24" s="1252" t="s">
        <v>2293</v>
      </c>
      <c r="L24" s="1252" t="s">
        <v>2294</v>
      </c>
      <c r="M24" s="1252">
        <v>142600</v>
      </c>
      <c r="N24" s="1252"/>
    </row>
    <row r="25" spans="1:14">
      <c r="A25" s="1230" t="s">
        <v>2295</v>
      </c>
      <c r="B25" s="1246"/>
      <c r="C25" s="1247" t="s">
        <v>61</v>
      </c>
      <c r="D25" s="1248">
        <v>608800</v>
      </c>
      <c r="E25" s="1249">
        <v>1</v>
      </c>
      <c r="F25" s="1250"/>
      <c r="G25" s="1251">
        <f>+D25*E25</f>
        <v>608800</v>
      </c>
      <c r="K25" s="1252" t="s">
        <v>2296</v>
      </c>
      <c r="L25" s="1252" t="s">
        <v>2297</v>
      </c>
      <c r="M25" s="1252">
        <v>220400</v>
      </c>
      <c r="N25" s="1252"/>
    </row>
    <row r="26" spans="1:14">
      <c r="A26" s="1359" t="s">
        <v>2298</v>
      </c>
      <c r="B26" s="1360"/>
      <c r="C26" s="1361" t="s">
        <v>61</v>
      </c>
      <c r="D26" s="1362">
        <f>4113000*1.16</f>
        <v>4771080</v>
      </c>
      <c r="E26" s="1363">
        <v>1</v>
      </c>
      <c r="F26" s="1361"/>
      <c r="G26" s="1362">
        <f>+D26*E26</f>
        <v>4771080</v>
      </c>
      <c r="K26" s="1252"/>
      <c r="L26" s="1252"/>
      <c r="M26" s="1252"/>
      <c r="N26" s="1252"/>
    </row>
    <row r="27" spans="1:14">
      <c r="A27" s="1359"/>
      <c r="B27" s="1360"/>
      <c r="C27" s="1361"/>
      <c r="D27" s="1362"/>
      <c r="E27" s="1363"/>
      <c r="F27" s="1361"/>
      <c r="G27" s="1362"/>
      <c r="K27" s="1252"/>
      <c r="L27" s="1252">
        <f>280000*0.6</f>
        <v>168000</v>
      </c>
      <c r="M27" s="1252"/>
      <c r="N27" s="1252"/>
    </row>
    <row r="28" spans="1:14">
      <c r="A28" s="1230" t="s">
        <v>2299</v>
      </c>
      <c r="B28" s="1253"/>
      <c r="C28" s="1247" t="s">
        <v>61</v>
      </c>
      <c r="D28" s="1248">
        <f>7500000*1.16</f>
        <v>8700000</v>
      </c>
      <c r="E28" s="1249">
        <v>1</v>
      </c>
      <c r="F28" s="1254"/>
      <c r="G28" s="1248">
        <f>+D28*E28</f>
        <v>8700000</v>
      </c>
      <c r="K28" s="1252"/>
      <c r="L28" s="1252">
        <f>+M25*2</f>
        <v>440800</v>
      </c>
      <c r="M28" s="1252"/>
      <c r="N28" s="1252"/>
    </row>
    <row r="29" spans="1:14">
      <c r="A29" s="1230" t="s">
        <v>2300</v>
      </c>
      <c r="B29" s="1253"/>
      <c r="C29" s="1247" t="s">
        <v>61</v>
      </c>
      <c r="D29" s="1248">
        <v>10000</v>
      </c>
      <c r="E29" s="1249">
        <v>5</v>
      </c>
      <c r="F29" s="1254"/>
      <c r="G29" s="1248">
        <f>+D29*E29</f>
        <v>50000</v>
      </c>
      <c r="K29" s="1252"/>
      <c r="L29" s="1252">
        <f>+L27+L28</f>
        <v>608800</v>
      </c>
      <c r="M29" s="1252"/>
      <c r="N29" s="1252"/>
    </row>
    <row r="30" spans="1:14" ht="15" customHeight="1">
      <c r="A30" s="1359" t="s">
        <v>2301</v>
      </c>
      <c r="B30" s="1360"/>
      <c r="C30" s="1361" t="s">
        <v>61</v>
      </c>
      <c r="D30" s="1362">
        <v>6000</v>
      </c>
      <c r="E30" s="1363">
        <v>50</v>
      </c>
      <c r="F30" s="1254"/>
      <c r="G30" s="1362">
        <f>+D30*E30</f>
        <v>300000</v>
      </c>
      <c r="K30" s="1252"/>
      <c r="L30" s="1252"/>
      <c r="M30" s="1252"/>
      <c r="N30" s="1252"/>
    </row>
    <row r="31" spans="1:14">
      <c r="A31" s="1364"/>
      <c r="B31" s="1365"/>
      <c r="C31" s="1366"/>
      <c r="D31" s="1367"/>
      <c r="E31" s="1368"/>
      <c r="F31" s="1236"/>
      <c r="G31" s="1367"/>
      <c r="K31" s="1252"/>
      <c r="L31" s="1252"/>
      <c r="M31" s="1252"/>
      <c r="N31" s="1252"/>
    </row>
    <row r="32" spans="1:14">
      <c r="F32" s="1236" t="s">
        <v>2287</v>
      </c>
      <c r="G32" s="1255">
        <f>ROUND(SUM(G23:G30),2)</f>
        <v>16851200</v>
      </c>
      <c r="K32" s="1252" t="s">
        <v>2302</v>
      </c>
      <c r="L32" s="1252" t="s">
        <v>2303</v>
      </c>
      <c r="M32" s="1252">
        <v>142600</v>
      </c>
      <c r="N32" s="1252"/>
    </row>
    <row r="33" spans="1:14">
      <c r="G33" s="1239"/>
      <c r="K33" s="1252"/>
      <c r="L33" s="1252"/>
      <c r="M33" s="1252"/>
      <c r="N33" s="1252"/>
    </row>
    <row r="34" spans="1:14">
      <c r="G34" s="1221"/>
      <c r="K34" s="1252"/>
      <c r="L34" s="1252">
        <f>240000*0.65</f>
        <v>156000</v>
      </c>
      <c r="M34" s="1252"/>
      <c r="N34" s="1252"/>
    </row>
    <row r="35" spans="1:14">
      <c r="A35" s="1215" t="s">
        <v>2304</v>
      </c>
      <c r="G35" s="1221"/>
      <c r="K35" s="1252"/>
      <c r="L35" s="1252">
        <f>+M32*2</f>
        <v>285200</v>
      </c>
      <c r="M35" s="1252"/>
      <c r="N35" s="1252"/>
    </row>
    <row r="36" spans="1:14">
      <c r="A36" s="1222" t="s">
        <v>1997</v>
      </c>
      <c r="B36" s="1223"/>
      <c r="C36" s="1240"/>
      <c r="D36" s="1224" t="s">
        <v>2305</v>
      </c>
      <c r="E36" s="1224" t="s">
        <v>5</v>
      </c>
      <c r="F36" s="1224" t="s">
        <v>2306</v>
      </c>
      <c r="G36" s="1224" t="s">
        <v>2286</v>
      </c>
      <c r="K36" s="1252"/>
      <c r="L36" s="1252">
        <f>+L34+L35</f>
        <v>441200</v>
      </c>
      <c r="M36" s="1252"/>
      <c r="N36" s="1252"/>
    </row>
    <row r="37" spans="1:14">
      <c r="A37" s="1241" t="s">
        <v>2307</v>
      </c>
      <c r="B37" s="1256"/>
      <c r="C37" s="1242"/>
      <c r="D37" s="1229"/>
      <c r="E37" s="1229"/>
      <c r="F37" s="1257">
        <v>100000</v>
      </c>
      <c r="G37" s="1258">
        <f>+F37</f>
        <v>100000</v>
      </c>
    </row>
    <row r="38" spans="1:14">
      <c r="A38" s="1230"/>
      <c r="B38" s="1231"/>
      <c r="C38" s="1246"/>
      <c r="D38" s="1233"/>
      <c r="E38" s="1233"/>
      <c r="F38" s="1233"/>
      <c r="G38" s="1259"/>
    </row>
    <row r="39" spans="1:14">
      <c r="A39" s="1230"/>
      <c r="B39" s="1231"/>
      <c r="C39" s="1246"/>
      <c r="D39" s="1233"/>
      <c r="E39" s="1233"/>
      <c r="F39" s="1233"/>
      <c r="G39" s="1259"/>
    </row>
    <row r="40" spans="1:14">
      <c r="A40" s="1234"/>
      <c r="B40" s="1235"/>
      <c r="C40" s="1260"/>
      <c r="D40" s="1261"/>
      <c r="E40" s="1261"/>
      <c r="F40" s="1261"/>
      <c r="G40" s="1259"/>
    </row>
    <row r="41" spans="1:14">
      <c r="F41" s="1262" t="s">
        <v>2308</v>
      </c>
      <c r="G41" s="1238">
        <f>ROUND(SUM(G37:G40),2)</f>
        <v>100000</v>
      </c>
    </row>
    <row r="42" spans="1:14">
      <c r="G42" s="1239"/>
    </row>
    <row r="43" spans="1:14">
      <c r="G43" s="1221"/>
    </row>
    <row r="44" spans="1:14">
      <c r="A44" s="1215" t="s">
        <v>2309</v>
      </c>
      <c r="G44" s="1221"/>
    </row>
    <row r="45" spans="1:14">
      <c r="A45" s="1369" t="s">
        <v>1997</v>
      </c>
      <c r="B45" s="1370"/>
      <c r="C45" s="1224" t="s">
        <v>2289</v>
      </c>
      <c r="D45" s="1224" t="s">
        <v>2310</v>
      </c>
      <c r="E45" s="1224" t="s">
        <v>2311</v>
      </c>
      <c r="F45" s="1224" t="s">
        <v>2285</v>
      </c>
      <c r="G45" s="1224" t="s">
        <v>2286</v>
      </c>
    </row>
    <row r="46" spans="1:14">
      <c r="A46" s="1230" t="s">
        <v>64</v>
      </c>
      <c r="B46" s="1246"/>
      <c r="C46" s="1233">
        <v>1</v>
      </c>
      <c r="D46" s="1233">
        <f>8500*8</f>
        <v>68000</v>
      </c>
      <c r="E46" s="1263">
        <f>+C46*D46</f>
        <v>68000</v>
      </c>
      <c r="F46" s="1254"/>
      <c r="G46" s="1254"/>
    </row>
    <row r="47" spans="1:14">
      <c r="A47" s="1230" t="s">
        <v>2312</v>
      </c>
      <c r="B47" s="1246"/>
      <c r="C47" s="1233">
        <v>3</v>
      </c>
      <c r="D47" s="1233">
        <f>5400*8</f>
        <v>43200</v>
      </c>
      <c r="E47" s="1263">
        <f>+C47*D47</f>
        <v>129600</v>
      </c>
      <c r="F47" s="1254"/>
      <c r="G47" s="1254"/>
    </row>
    <row r="48" spans="1:14">
      <c r="A48" s="1230"/>
      <c r="B48" s="1246"/>
      <c r="C48" s="1264"/>
      <c r="D48" s="1233"/>
      <c r="E48" s="1254"/>
      <c r="F48" s="1254"/>
      <c r="G48" s="1254"/>
    </row>
    <row r="49" spans="1:7">
      <c r="A49" s="1234"/>
      <c r="B49" s="1260"/>
      <c r="C49" s="1236"/>
      <c r="D49" s="1236"/>
      <c r="E49" s="1265">
        <f>SUM(E46:E48)</f>
        <v>197600</v>
      </c>
      <c r="F49" s="1266">
        <v>2</v>
      </c>
      <c r="G49" s="1233">
        <f>ROUND(+E49/F49,2)</f>
        <v>98800</v>
      </c>
    </row>
    <row r="50" spans="1:7">
      <c r="F50" s="1262" t="s">
        <v>2308</v>
      </c>
      <c r="G50" s="1267">
        <f>ROUND(SUM(G46:G49),0)</f>
        <v>98800</v>
      </c>
    </row>
    <row r="51" spans="1:7">
      <c r="F51" s="1246"/>
      <c r="G51" s="1268"/>
    </row>
    <row r="52" spans="1:7" ht="15">
      <c r="E52" s="1357" t="s">
        <v>2313</v>
      </c>
      <c r="F52" s="1358"/>
      <c r="G52" s="1269">
        <f>SUM(G18+G32+G41+G50)</f>
        <v>17050100</v>
      </c>
    </row>
    <row r="54" spans="1:7" ht="15">
      <c r="E54" s="1217"/>
      <c r="F54" s="1270" t="s">
        <v>2314</v>
      </c>
      <c r="G54" s="1271">
        <v>0.25</v>
      </c>
    </row>
    <row r="55" spans="1:7" ht="15">
      <c r="E55" s="1217"/>
      <c r="F55" s="1217"/>
      <c r="G55" s="1272"/>
    </row>
    <row r="56" spans="1:7" ht="15">
      <c r="E56" s="1371" t="s">
        <v>2315</v>
      </c>
      <c r="F56" s="1371"/>
      <c r="G56" s="1273">
        <f>ROUND(+(G54+1)*G52,0)</f>
        <v>21312625</v>
      </c>
    </row>
    <row r="57" spans="1:7">
      <c r="A57" s="1231"/>
      <c r="B57" s="1231"/>
      <c r="C57" s="1231"/>
      <c r="D57" s="1231"/>
      <c r="E57" s="1231"/>
      <c r="F57" s="1274"/>
      <c r="G57" s="1275"/>
    </row>
    <row r="58" spans="1:7">
      <c r="A58" s="1217"/>
      <c r="B58" s="1217"/>
      <c r="C58" s="1217"/>
      <c r="D58" s="1217"/>
      <c r="E58" s="1217"/>
      <c r="F58" s="1217"/>
      <c r="G58" s="1217"/>
    </row>
    <row r="59" spans="1:7" ht="15">
      <c r="A59" s="1218"/>
      <c r="B59" s="1356" t="s">
        <v>2316</v>
      </c>
      <c r="C59" s="1357"/>
      <c r="D59" s="1357"/>
      <c r="E59" s="1357"/>
      <c r="F59" s="1358"/>
      <c r="G59" s="1219" t="s">
        <v>2282</v>
      </c>
    </row>
    <row r="60" spans="1:7" ht="15">
      <c r="B60" s="1357"/>
      <c r="C60" s="1357"/>
      <c r="D60" s="1357"/>
      <c r="E60" s="1357"/>
      <c r="F60" s="1358"/>
      <c r="G60" s="1220" t="s">
        <v>61</v>
      </c>
    </row>
    <row r="61" spans="1:7">
      <c r="A61" s="1215" t="s">
        <v>2283</v>
      </c>
      <c r="G61" s="1221"/>
    </row>
    <row r="62" spans="1:7">
      <c r="A62" s="1222" t="s">
        <v>1997</v>
      </c>
      <c r="B62" s="1223"/>
      <c r="C62" s="1223"/>
      <c r="D62" s="1224" t="s">
        <v>1980</v>
      </c>
      <c r="E62" s="1224" t="s">
        <v>2284</v>
      </c>
      <c r="F62" s="1224" t="s">
        <v>2285</v>
      </c>
      <c r="G62" s="1224" t="s">
        <v>2286</v>
      </c>
    </row>
    <row r="63" spans="1:7">
      <c r="A63" s="1225"/>
      <c r="B63" s="1226"/>
      <c r="C63" s="1227"/>
      <c r="D63" s="1228"/>
      <c r="E63" s="1229"/>
      <c r="F63" s="1229"/>
      <c r="G63" s="1228"/>
    </row>
    <row r="64" spans="1:7">
      <c r="A64" s="1230" t="s">
        <v>3</v>
      </c>
      <c r="B64" s="1231"/>
      <c r="C64" s="1231"/>
      <c r="D64" s="1232" t="s">
        <v>62</v>
      </c>
      <c r="E64" s="1233">
        <v>10000</v>
      </c>
      <c r="F64" s="1233">
        <v>100</v>
      </c>
      <c r="G64" s="1232">
        <f>+E64/F64</f>
        <v>100</v>
      </c>
    </row>
    <row r="65" spans="1:7">
      <c r="A65" s="1234"/>
      <c r="B65" s="1235"/>
      <c r="C65" s="1235"/>
      <c r="D65" s="1236"/>
      <c r="E65" s="1236"/>
      <c r="F65" s="1236"/>
      <c r="G65" s="1276"/>
    </row>
    <row r="66" spans="1:7">
      <c r="A66" s="1231"/>
      <c r="B66" s="1231"/>
      <c r="C66" s="1231"/>
      <c r="D66" s="1231"/>
      <c r="E66" s="1231"/>
      <c r="F66" s="1224" t="s">
        <v>2287</v>
      </c>
      <c r="G66" s="1238">
        <f>ROUND(SUM(G63:G65),2)</f>
        <v>100</v>
      </c>
    </row>
    <row r="67" spans="1:7">
      <c r="A67" s="1231"/>
      <c r="B67" s="1231"/>
      <c r="C67" s="1231"/>
      <c r="D67" s="1231"/>
      <c r="E67" s="1231"/>
      <c r="F67" s="1231"/>
      <c r="G67" s="1239"/>
    </row>
    <row r="68" spans="1:7">
      <c r="G68" s="1221"/>
    </row>
    <row r="69" spans="1:7">
      <c r="A69" s="1215" t="s">
        <v>2288</v>
      </c>
      <c r="F69" s="1231"/>
      <c r="G69" s="1221"/>
    </row>
    <row r="70" spans="1:7">
      <c r="A70" s="1222" t="s">
        <v>1997</v>
      </c>
      <c r="B70" s="1240"/>
      <c r="C70" s="1224" t="s">
        <v>0</v>
      </c>
      <c r="D70" s="1224" t="s">
        <v>4</v>
      </c>
      <c r="E70" s="1222" t="s">
        <v>2289</v>
      </c>
      <c r="F70" s="1224" t="s">
        <v>2290</v>
      </c>
      <c r="G70" s="1224" t="s">
        <v>2286</v>
      </c>
    </row>
    <row r="71" spans="1:7">
      <c r="A71" s="1241" t="s">
        <v>2317</v>
      </c>
      <c r="B71" s="1242"/>
      <c r="C71" s="1219" t="s">
        <v>61</v>
      </c>
      <c r="D71" s="1243">
        <v>1679600</v>
      </c>
      <c r="E71" s="1244">
        <v>1</v>
      </c>
      <c r="F71" s="1245"/>
      <c r="G71" s="1243">
        <f>+D71*E71</f>
        <v>1679600</v>
      </c>
    </row>
    <row r="72" spans="1:7">
      <c r="A72" s="1230" t="s">
        <v>2318</v>
      </c>
      <c r="B72" s="1246"/>
      <c r="C72" s="1247" t="s">
        <v>61</v>
      </c>
      <c r="D72" s="1248">
        <f>719000*1.16</f>
        <v>834040</v>
      </c>
      <c r="E72" s="1249">
        <v>1</v>
      </c>
      <c r="F72" s="1250"/>
      <c r="G72" s="1251">
        <f>+D72*E72</f>
        <v>834040</v>
      </c>
    </row>
    <row r="73" spans="1:7">
      <c r="A73" s="1230" t="s">
        <v>2319</v>
      </c>
      <c r="B73" s="1246"/>
      <c r="C73" s="1247" t="s">
        <v>61</v>
      </c>
      <c r="D73" s="1248">
        <v>441200</v>
      </c>
      <c r="E73" s="1249">
        <v>1</v>
      </c>
      <c r="F73" s="1250"/>
      <c r="G73" s="1251">
        <f>+D73*E73</f>
        <v>441200</v>
      </c>
    </row>
    <row r="74" spans="1:7">
      <c r="A74" s="1359" t="s">
        <v>2320</v>
      </c>
      <c r="B74" s="1360"/>
      <c r="C74" s="1361" t="s">
        <v>61</v>
      </c>
      <c r="D74" s="1362">
        <f>2919000*1.16</f>
        <v>3386039.9999999995</v>
      </c>
      <c r="E74" s="1363">
        <v>1</v>
      </c>
      <c r="F74" s="1361"/>
      <c r="G74" s="1362">
        <f>+D74*E74</f>
        <v>3386039.9999999995</v>
      </c>
    </row>
    <row r="75" spans="1:7">
      <c r="A75" s="1359"/>
      <c r="B75" s="1360"/>
      <c r="C75" s="1361"/>
      <c r="D75" s="1362"/>
      <c r="E75" s="1363"/>
      <c r="F75" s="1361"/>
      <c r="G75" s="1362"/>
    </row>
    <row r="76" spans="1:7">
      <c r="A76" s="1230" t="s">
        <v>2321</v>
      </c>
      <c r="B76" s="1253"/>
      <c r="C76" s="1247" t="s">
        <v>61</v>
      </c>
      <c r="D76" s="1248">
        <f>4953000*1.16</f>
        <v>5745480</v>
      </c>
      <c r="E76" s="1249">
        <v>1</v>
      </c>
      <c r="F76" s="1254"/>
      <c r="G76" s="1248">
        <f>+D76*E76</f>
        <v>5745480</v>
      </c>
    </row>
    <row r="77" spans="1:7">
      <c r="A77" s="1230" t="s">
        <v>2300</v>
      </c>
      <c r="B77" s="1253"/>
      <c r="C77" s="1247" t="s">
        <v>61</v>
      </c>
      <c r="D77" s="1248">
        <v>10000</v>
      </c>
      <c r="E77" s="1249">
        <v>5</v>
      </c>
      <c r="F77" s="1254"/>
      <c r="G77" s="1248">
        <f>+D77*E77</f>
        <v>50000</v>
      </c>
    </row>
    <row r="78" spans="1:7">
      <c r="A78" s="1359" t="s">
        <v>2301</v>
      </c>
      <c r="B78" s="1360"/>
      <c r="C78" s="1361" t="s">
        <v>61</v>
      </c>
      <c r="D78" s="1362">
        <v>6000</v>
      </c>
      <c r="E78" s="1363">
        <v>50</v>
      </c>
      <c r="F78" s="1254"/>
      <c r="G78" s="1362">
        <f>+D78*E78</f>
        <v>300000</v>
      </c>
    </row>
    <row r="79" spans="1:7">
      <c r="A79" s="1364"/>
      <c r="B79" s="1365"/>
      <c r="C79" s="1366"/>
      <c r="D79" s="1367"/>
      <c r="E79" s="1368"/>
      <c r="F79" s="1236"/>
      <c r="G79" s="1367"/>
    </row>
    <row r="80" spans="1:7">
      <c r="F80" s="1236" t="s">
        <v>2287</v>
      </c>
      <c r="G80" s="1255">
        <f>ROUND(SUM(G71:G78),2)</f>
        <v>12436360</v>
      </c>
    </row>
    <row r="81" spans="1:7">
      <c r="G81" s="1239"/>
    </row>
    <row r="82" spans="1:7">
      <c r="G82" s="1221"/>
    </row>
    <row r="83" spans="1:7">
      <c r="A83" s="1215" t="s">
        <v>2304</v>
      </c>
      <c r="G83" s="1221"/>
    </row>
    <row r="84" spans="1:7">
      <c r="A84" s="1222" t="s">
        <v>1997</v>
      </c>
      <c r="B84" s="1223"/>
      <c r="C84" s="1240"/>
      <c r="D84" s="1224" t="s">
        <v>2305</v>
      </c>
      <c r="E84" s="1224" t="s">
        <v>5</v>
      </c>
      <c r="F84" s="1224" t="s">
        <v>2306</v>
      </c>
      <c r="G84" s="1224" t="s">
        <v>2286</v>
      </c>
    </row>
    <row r="85" spans="1:7">
      <c r="A85" s="1241" t="s">
        <v>2307</v>
      </c>
      <c r="B85" s="1256"/>
      <c r="C85" s="1242"/>
      <c r="D85" s="1229"/>
      <c r="E85" s="1229"/>
      <c r="F85" s="1257">
        <v>100000</v>
      </c>
      <c r="G85" s="1258">
        <f>+F85</f>
        <v>100000</v>
      </c>
    </row>
    <row r="86" spans="1:7">
      <c r="A86" s="1230"/>
      <c r="B86" s="1231"/>
      <c r="C86" s="1246"/>
      <c r="D86" s="1233"/>
      <c r="E86" s="1233"/>
      <c r="F86" s="1233"/>
      <c r="G86" s="1259"/>
    </row>
    <row r="87" spans="1:7">
      <c r="A87" s="1230"/>
      <c r="B87" s="1231"/>
      <c r="C87" s="1246"/>
      <c r="D87" s="1233"/>
      <c r="E87" s="1233"/>
      <c r="F87" s="1233"/>
      <c r="G87" s="1259"/>
    </row>
    <row r="88" spans="1:7">
      <c r="A88" s="1234"/>
      <c r="B88" s="1235"/>
      <c r="C88" s="1260"/>
      <c r="D88" s="1261"/>
      <c r="E88" s="1261"/>
      <c r="F88" s="1261"/>
      <c r="G88" s="1259"/>
    </row>
    <row r="89" spans="1:7">
      <c r="F89" s="1262" t="s">
        <v>2308</v>
      </c>
      <c r="G89" s="1238">
        <f>ROUND(SUM(G85:G88),2)</f>
        <v>100000</v>
      </c>
    </row>
    <row r="90" spans="1:7">
      <c r="G90" s="1239"/>
    </row>
    <row r="91" spans="1:7">
      <c r="G91" s="1221"/>
    </row>
    <row r="92" spans="1:7">
      <c r="A92" s="1215" t="s">
        <v>2309</v>
      </c>
      <c r="G92" s="1221"/>
    </row>
    <row r="93" spans="1:7">
      <c r="A93" s="1369" t="s">
        <v>1997</v>
      </c>
      <c r="B93" s="1370"/>
      <c r="C93" s="1224" t="s">
        <v>2289</v>
      </c>
      <c r="D93" s="1224" t="s">
        <v>2310</v>
      </c>
      <c r="E93" s="1224" t="s">
        <v>2311</v>
      </c>
      <c r="F93" s="1224" t="s">
        <v>2285</v>
      </c>
      <c r="G93" s="1224" t="s">
        <v>2286</v>
      </c>
    </row>
    <row r="94" spans="1:7">
      <c r="A94" s="1230" t="s">
        <v>64</v>
      </c>
      <c r="B94" s="1246"/>
      <c r="C94" s="1233">
        <v>1</v>
      </c>
      <c r="D94" s="1233">
        <f>8500*8</f>
        <v>68000</v>
      </c>
      <c r="E94" s="1263">
        <f>+C94*D94</f>
        <v>68000</v>
      </c>
      <c r="F94" s="1254"/>
      <c r="G94" s="1254"/>
    </row>
    <row r="95" spans="1:7">
      <c r="A95" s="1230" t="s">
        <v>2312</v>
      </c>
      <c r="B95" s="1246"/>
      <c r="C95" s="1233">
        <v>3</v>
      </c>
      <c r="D95" s="1233">
        <f>5400*8</f>
        <v>43200</v>
      </c>
      <c r="E95" s="1263">
        <f>+C95*D95</f>
        <v>129600</v>
      </c>
      <c r="F95" s="1254"/>
      <c r="G95" s="1254"/>
    </row>
    <row r="96" spans="1:7">
      <c r="A96" s="1230"/>
      <c r="B96" s="1246"/>
      <c r="C96" s="1264"/>
      <c r="D96" s="1233"/>
      <c r="E96" s="1254"/>
      <c r="F96" s="1254"/>
      <c r="G96" s="1254"/>
    </row>
    <row r="97" spans="1:7">
      <c r="A97" s="1234"/>
      <c r="B97" s="1260"/>
      <c r="C97" s="1236"/>
      <c r="D97" s="1236"/>
      <c r="E97" s="1265">
        <f>SUM(E94:E96)</f>
        <v>197600</v>
      </c>
      <c r="F97" s="1266">
        <v>2</v>
      </c>
      <c r="G97" s="1233">
        <f>ROUND(+E97/F97,2)</f>
        <v>98800</v>
      </c>
    </row>
    <row r="98" spans="1:7">
      <c r="F98" s="1262" t="s">
        <v>2308</v>
      </c>
      <c r="G98" s="1267">
        <f>ROUND(SUM(G94:G97),0)</f>
        <v>98800</v>
      </c>
    </row>
    <row r="99" spans="1:7">
      <c r="F99" s="1246"/>
      <c r="G99" s="1268"/>
    </row>
    <row r="100" spans="1:7" ht="15">
      <c r="E100" s="1357" t="s">
        <v>2313</v>
      </c>
      <c r="F100" s="1358"/>
      <c r="G100" s="1269">
        <f>SUM(G66+G80+G89+G98)</f>
        <v>12635260</v>
      </c>
    </row>
    <row r="102" spans="1:7" ht="15">
      <c r="E102" s="1217"/>
      <c r="F102" s="1270" t="s">
        <v>2314</v>
      </c>
      <c r="G102" s="1271">
        <v>0.25</v>
      </c>
    </row>
    <row r="103" spans="1:7" ht="15">
      <c r="E103" s="1217"/>
      <c r="F103" s="1217"/>
      <c r="G103" s="1272"/>
    </row>
    <row r="104" spans="1:7" ht="15">
      <c r="E104" s="1371" t="s">
        <v>2315</v>
      </c>
      <c r="F104" s="1371"/>
      <c r="G104" s="1273">
        <f>ROUND(+(G102+1)*G100,0)</f>
        <v>15794075</v>
      </c>
    </row>
    <row r="105" spans="1:7">
      <c r="A105" s="1231"/>
      <c r="B105" s="1231"/>
      <c r="C105" s="1231"/>
      <c r="D105" s="1231"/>
      <c r="E105" s="1231"/>
      <c r="F105" s="1274"/>
      <c r="G105" s="1275"/>
    </row>
    <row r="106" spans="1:7">
      <c r="A106" s="1217"/>
      <c r="B106" s="1217"/>
      <c r="C106" s="1217"/>
      <c r="D106" s="1217"/>
      <c r="E106" s="1217"/>
      <c r="F106" s="1217"/>
      <c r="G106" s="1217"/>
    </row>
    <row r="107" spans="1:7" ht="15">
      <c r="A107" s="1218"/>
      <c r="B107" s="1356" t="s">
        <v>2322</v>
      </c>
      <c r="C107" s="1357"/>
      <c r="D107" s="1357"/>
      <c r="E107" s="1357"/>
      <c r="F107" s="1358"/>
      <c r="G107" s="1219" t="s">
        <v>2282</v>
      </c>
    </row>
    <row r="108" spans="1:7" ht="15">
      <c r="B108" s="1357"/>
      <c r="C108" s="1357"/>
      <c r="D108" s="1357"/>
      <c r="E108" s="1357"/>
      <c r="F108" s="1358"/>
      <c r="G108" s="1220" t="s">
        <v>61</v>
      </c>
    </row>
    <row r="109" spans="1:7">
      <c r="A109" s="1215" t="s">
        <v>2283</v>
      </c>
      <c r="G109" s="1221"/>
    </row>
    <row r="110" spans="1:7">
      <c r="A110" s="1222" t="s">
        <v>1997</v>
      </c>
      <c r="B110" s="1223"/>
      <c r="C110" s="1223"/>
      <c r="D110" s="1224" t="s">
        <v>1980</v>
      </c>
      <c r="E110" s="1224" t="s">
        <v>2284</v>
      </c>
      <c r="F110" s="1224" t="s">
        <v>2285</v>
      </c>
      <c r="G110" s="1224" t="s">
        <v>2286</v>
      </c>
    </row>
    <row r="111" spans="1:7">
      <c r="A111" s="1225"/>
      <c r="B111" s="1226"/>
      <c r="C111" s="1227"/>
      <c r="D111" s="1228"/>
      <c r="E111" s="1229"/>
      <c r="F111" s="1229"/>
      <c r="G111" s="1228"/>
    </row>
    <row r="112" spans="1:7">
      <c r="A112" s="1230" t="s">
        <v>3</v>
      </c>
      <c r="B112" s="1231"/>
      <c r="C112" s="1231"/>
      <c r="D112" s="1232" t="s">
        <v>62</v>
      </c>
      <c r="E112" s="1233">
        <v>10000</v>
      </c>
      <c r="F112" s="1233">
        <v>100</v>
      </c>
      <c r="G112" s="1232">
        <f>+E112/F112</f>
        <v>100</v>
      </c>
    </row>
    <row r="113" spans="1:7">
      <c r="A113" s="1234"/>
      <c r="B113" s="1235"/>
      <c r="C113" s="1235"/>
      <c r="D113" s="1236"/>
      <c r="E113" s="1236"/>
      <c r="F113" s="1236"/>
      <c r="G113" s="1276"/>
    </row>
    <row r="114" spans="1:7">
      <c r="A114" s="1231"/>
      <c r="B114" s="1231"/>
      <c r="C114" s="1231"/>
      <c r="D114" s="1231"/>
      <c r="E114" s="1231"/>
      <c r="F114" s="1224" t="s">
        <v>2287</v>
      </c>
      <c r="G114" s="1238">
        <f>ROUND(SUM(G111:G113),2)</f>
        <v>100</v>
      </c>
    </row>
    <row r="115" spans="1:7">
      <c r="A115" s="1231"/>
      <c r="B115" s="1231"/>
      <c r="C115" s="1231"/>
      <c r="D115" s="1231"/>
      <c r="E115" s="1231"/>
      <c r="F115" s="1231"/>
      <c r="G115" s="1239"/>
    </row>
    <row r="116" spans="1:7">
      <c r="G116" s="1221"/>
    </row>
    <row r="117" spans="1:7">
      <c r="A117" s="1215" t="s">
        <v>2288</v>
      </c>
      <c r="F117" s="1231"/>
      <c r="G117" s="1221"/>
    </row>
    <row r="118" spans="1:7">
      <c r="A118" s="1222" t="s">
        <v>1997</v>
      </c>
      <c r="B118" s="1240"/>
      <c r="C118" s="1224" t="s">
        <v>0</v>
      </c>
      <c r="D118" s="1224" t="s">
        <v>4</v>
      </c>
      <c r="E118" s="1222" t="s">
        <v>2289</v>
      </c>
      <c r="F118" s="1224" t="s">
        <v>2290</v>
      </c>
      <c r="G118" s="1224" t="s">
        <v>2286</v>
      </c>
    </row>
    <row r="119" spans="1:7">
      <c r="A119" s="1359" t="s">
        <v>2323</v>
      </c>
      <c r="B119" s="1360"/>
      <c r="C119" s="1361" t="s">
        <v>61</v>
      </c>
      <c r="D119" s="1362">
        <f>1720000*1.16</f>
        <v>1995199.9999999998</v>
      </c>
      <c r="E119" s="1363">
        <v>1</v>
      </c>
      <c r="F119" s="1361"/>
      <c r="G119" s="1362">
        <f>+D119*E119</f>
        <v>1995199.9999999998</v>
      </c>
    </row>
    <row r="120" spans="1:7">
      <c r="A120" s="1359"/>
      <c r="B120" s="1360"/>
      <c r="C120" s="1361"/>
      <c r="D120" s="1362"/>
      <c r="E120" s="1363"/>
      <c r="F120" s="1361"/>
      <c r="G120" s="1362"/>
    </row>
    <row r="121" spans="1:7">
      <c r="A121" s="1230" t="s">
        <v>2324</v>
      </c>
      <c r="B121" s="1253"/>
      <c r="C121" s="1247" t="s">
        <v>61</v>
      </c>
      <c r="D121" s="1248">
        <f>3084000*1.16</f>
        <v>3577439.9999999995</v>
      </c>
      <c r="E121" s="1249">
        <v>1</v>
      </c>
      <c r="F121" s="1254"/>
      <c r="G121" s="1248">
        <f>+D121*E121</f>
        <v>3577439.9999999995</v>
      </c>
    </row>
    <row r="122" spans="1:7">
      <c r="A122" s="1230" t="s">
        <v>2300</v>
      </c>
      <c r="B122" s="1253"/>
      <c r="C122" s="1247" t="s">
        <v>61</v>
      </c>
      <c r="D122" s="1248">
        <v>10000</v>
      </c>
      <c r="E122" s="1249">
        <v>2</v>
      </c>
      <c r="F122" s="1254"/>
      <c r="G122" s="1248">
        <f>+D122*E122</f>
        <v>20000</v>
      </c>
    </row>
    <row r="123" spans="1:7">
      <c r="A123" s="1359" t="s">
        <v>2301</v>
      </c>
      <c r="B123" s="1360"/>
      <c r="C123" s="1361" t="s">
        <v>61</v>
      </c>
      <c r="D123" s="1362">
        <v>6000</v>
      </c>
      <c r="E123" s="1363">
        <v>16</v>
      </c>
      <c r="F123" s="1254"/>
      <c r="G123" s="1362">
        <f>+D123*E123</f>
        <v>96000</v>
      </c>
    </row>
    <row r="124" spans="1:7">
      <c r="A124" s="1364"/>
      <c r="B124" s="1365"/>
      <c r="C124" s="1366"/>
      <c r="D124" s="1367"/>
      <c r="E124" s="1368"/>
      <c r="F124" s="1236"/>
      <c r="G124" s="1367"/>
    </row>
    <row r="125" spans="1:7">
      <c r="F125" s="1236" t="s">
        <v>2287</v>
      </c>
      <c r="G125" s="1255">
        <f>ROUND(SUM(G119:G123),2)</f>
        <v>5688640</v>
      </c>
    </row>
    <row r="126" spans="1:7">
      <c r="G126" s="1239"/>
    </row>
    <row r="127" spans="1:7">
      <c r="G127" s="1221"/>
    </row>
    <row r="128" spans="1:7">
      <c r="A128" s="1215" t="s">
        <v>2304</v>
      </c>
      <c r="G128" s="1221"/>
    </row>
    <row r="129" spans="1:7">
      <c r="A129" s="1222" t="s">
        <v>1997</v>
      </c>
      <c r="B129" s="1223"/>
      <c r="C129" s="1240"/>
      <c r="D129" s="1224" t="s">
        <v>2305</v>
      </c>
      <c r="E129" s="1224" t="s">
        <v>5</v>
      </c>
      <c r="F129" s="1224" t="s">
        <v>2306</v>
      </c>
      <c r="G129" s="1224" t="s">
        <v>2286</v>
      </c>
    </row>
    <row r="130" spans="1:7">
      <c r="A130" s="1241" t="s">
        <v>2307</v>
      </c>
      <c r="B130" s="1256"/>
      <c r="C130" s="1242"/>
      <c r="D130" s="1229"/>
      <c r="E130" s="1229"/>
      <c r="F130" s="1257">
        <v>100000</v>
      </c>
      <c r="G130" s="1258">
        <f>+F130</f>
        <v>100000</v>
      </c>
    </row>
    <row r="131" spans="1:7">
      <c r="A131" s="1230"/>
      <c r="B131" s="1231"/>
      <c r="C131" s="1246"/>
      <c r="D131" s="1233"/>
      <c r="E131" s="1233"/>
      <c r="F131" s="1233"/>
      <c r="G131" s="1259"/>
    </row>
    <row r="132" spans="1:7">
      <c r="A132" s="1230"/>
      <c r="B132" s="1231"/>
      <c r="C132" s="1246"/>
      <c r="D132" s="1233"/>
      <c r="E132" s="1233"/>
      <c r="F132" s="1233"/>
      <c r="G132" s="1259"/>
    </row>
    <row r="133" spans="1:7">
      <c r="A133" s="1234"/>
      <c r="B133" s="1235"/>
      <c r="C133" s="1260"/>
      <c r="D133" s="1261"/>
      <c r="E133" s="1261"/>
      <c r="F133" s="1261"/>
      <c r="G133" s="1259"/>
    </row>
    <row r="134" spans="1:7">
      <c r="F134" s="1262" t="s">
        <v>2308</v>
      </c>
      <c r="G134" s="1238">
        <f>ROUND(SUM(G130:G133),2)</f>
        <v>100000</v>
      </c>
    </row>
    <row r="135" spans="1:7">
      <c r="G135" s="1239"/>
    </row>
    <row r="136" spans="1:7">
      <c r="G136" s="1221"/>
    </row>
    <row r="137" spans="1:7">
      <c r="A137" s="1215" t="s">
        <v>2309</v>
      </c>
      <c r="G137" s="1221"/>
    </row>
    <row r="138" spans="1:7">
      <c r="A138" s="1369" t="s">
        <v>1997</v>
      </c>
      <c r="B138" s="1370"/>
      <c r="C138" s="1224" t="s">
        <v>2289</v>
      </c>
      <c r="D138" s="1224" t="s">
        <v>2310</v>
      </c>
      <c r="E138" s="1224" t="s">
        <v>2311</v>
      </c>
      <c r="F138" s="1224" t="s">
        <v>2285</v>
      </c>
      <c r="G138" s="1224" t="s">
        <v>2286</v>
      </c>
    </row>
    <row r="139" spans="1:7">
      <c r="A139" s="1230" t="s">
        <v>64</v>
      </c>
      <c r="B139" s="1246"/>
      <c r="C139" s="1233">
        <v>1</v>
      </c>
      <c r="D139" s="1233">
        <f>8500*8</f>
        <v>68000</v>
      </c>
      <c r="E139" s="1263">
        <f>+C139*D139</f>
        <v>68000</v>
      </c>
      <c r="F139" s="1254"/>
      <c r="G139" s="1254"/>
    </row>
    <row r="140" spans="1:7">
      <c r="A140" s="1230" t="s">
        <v>2312</v>
      </c>
      <c r="B140" s="1246"/>
      <c r="C140" s="1233">
        <v>3</v>
      </c>
      <c r="D140" s="1233">
        <f>5400*8</f>
        <v>43200</v>
      </c>
      <c r="E140" s="1263">
        <f>+C140*D140</f>
        <v>129600</v>
      </c>
      <c r="F140" s="1254"/>
      <c r="G140" s="1254"/>
    </row>
    <row r="141" spans="1:7">
      <c r="A141" s="1230"/>
      <c r="B141" s="1246"/>
      <c r="C141" s="1264"/>
      <c r="D141" s="1233"/>
      <c r="E141" s="1254"/>
      <c r="F141" s="1254"/>
      <c r="G141" s="1254"/>
    </row>
    <row r="142" spans="1:7">
      <c r="A142" s="1234"/>
      <c r="B142" s="1260"/>
      <c r="C142" s="1236"/>
      <c r="D142" s="1236"/>
      <c r="E142" s="1265">
        <f>SUM(E139:E141)</f>
        <v>197600</v>
      </c>
      <c r="F142" s="1266">
        <v>2</v>
      </c>
      <c r="G142" s="1233">
        <f>ROUND(+E142/F142,2)</f>
        <v>98800</v>
      </c>
    </row>
    <row r="143" spans="1:7">
      <c r="F143" s="1262" t="s">
        <v>2308</v>
      </c>
      <c r="G143" s="1267">
        <f>ROUND(SUM(G139:G142),0)</f>
        <v>98800</v>
      </c>
    </row>
    <row r="144" spans="1:7">
      <c r="F144" s="1246"/>
      <c r="G144" s="1268"/>
    </row>
    <row r="145" spans="1:7" ht="15">
      <c r="E145" s="1357" t="s">
        <v>2313</v>
      </c>
      <c r="F145" s="1358"/>
      <c r="G145" s="1269">
        <f>SUM(G114+G125+G134+G143)</f>
        <v>5887540</v>
      </c>
    </row>
    <row r="147" spans="1:7" ht="15">
      <c r="E147" s="1217"/>
      <c r="F147" s="1270" t="s">
        <v>2314</v>
      </c>
      <c r="G147" s="1271">
        <v>0.25</v>
      </c>
    </row>
    <row r="148" spans="1:7" ht="15">
      <c r="E148" s="1217"/>
      <c r="F148" s="1217"/>
      <c r="G148" s="1272"/>
    </row>
    <row r="149" spans="1:7" ht="15">
      <c r="E149" s="1371" t="s">
        <v>2315</v>
      </c>
      <c r="F149" s="1371"/>
      <c r="G149" s="1273">
        <f>ROUND(+(G147+1)*G145,0)</f>
        <v>7359425</v>
      </c>
    </row>
    <row r="150" spans="1:7">
      <c r="A150" s="1231"/>
      <c r="B150" s="1231"/>
      <c r="C150" s="1231"/>
      <c r="D150" s="1231"/>
      <c r="E150" s="1231"/>
      <c r="F150" s="1274"/>
      <c r="G150" s="1275"/>
    </row>
  </sheetData>
  <mergeCells count="48">
    <mergeCell ref="A138:B138"/>
    <mergeCell ref="E145:F145"/>
    <mergeCell ref="E149:F149"/>
    <mergeCell ref="G119:G120"/>
    <mergeCell ref="A123:B124"/>
    <mergeCell ref="C123:C124"/>
    <mergeCell ref="D123:D124"/>
    <mergeCell ref="E123:E124"/>
    <mergeCell ref="G123:G124"/>
    <mergeCell ref="A119:B120"/>
    <mergeCell ref="C119:C120"/>
    <mergeCell ref="D119:D120"/>
    <mergeCell ref="E119:E120"/>
    <mergeCell ref="F119:F120"/>
    <mergeCell ref="A93:B93"/>
    <mergeCell ref="E100:F100"/>
    <mergeCell ref="E104:F104"/>
    <mergeCell ref="B107:F107"/>
    <mergeCell ref="B108:F108"/>
    <mergeCell ref="G74:G75"/>
    <mergeCell ref="A78:B79"/>
    <mergeCell ref="C78:C79"/>
    <mergeCell ref="D78:D79"/>
    <mergeCell ref="E78:E79"/>
    <mergeCell ref="G78:G79"/>
    <mergeCell ref="A74:B75"/>
    <mergeCell ref="C74:C75"/>
    <mergeCell ref="D74:D75"/>
    <mergeCell ref="E74:E75"/>
    <mergeCell ref="F74:F75"/>
    <mergeCell ref="A45:B45"/>
    <mergeCell ref="E52:F52"/>
    <mergeCell ref="E56:F56"/>
    <mergeCell ref="B59:F59"/>
    <mergeCell ref="B60:F60"/>
    <mergeCell ref="G26:G27"/>
    <mergeCell ref="A30:B31"/>
    <mergeCell ref="C30:C31"/>
    <mergeCell ref="D30:D31"/>
    <mergeCell ref="E30:E31"/>
    <mergeCell ref="G30:G31"/>
    <mergeCell ref="B11:F11"/>
    <mergeCell ref="B12:F12"/>
    <mergeCell ref="A26:B27"/>
    <mergeCell ref="C26:C27"/>
    <mergeCell ref="D26:D27"/>
    <mergeCell ref="E26:E27"/>
    <mergeCell ref="F26:F27"/>
  </mergeCells>
  <pageMargins left="0.78740157480314965" right="0.59055118110236227" top="0.39370078740157483" bottom="0.78740157480314965" header="0.59055118110236227" footer="0.59055118110236227"/>
  <pageSetup scale="73"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K48"/>
  <sheetViews>
    <sheetView topLeftCell="A25" workbookViewId="0">
      <selection activeCell="G34" sqref="G34"/>
    </sheetView>
  </sheetViews>
  <sheetFormatPr baseColWidth="10" defaultRowHeight="15"/>
  <cols>
    <col min="3" max="3" width="12" bestFit="1" customWidth="1"/>
    <col min="10" max="10"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586</v>
      </c>
      <c r="B7" s="62"/>
      <c r="C7" s="61"/>
      <c r="D7" s="16"/>
      <c r="E7" s="62"/>
      <c r="F7" s="16"/>
      <c r="G7" s="62" t="s">
        <v>576</v>
      </c>
      <c r="H7" s="61"/>
    </row>
    <row r="8" spans="1:8">
      <c r="A8" s="60" t="s">
        <v>578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8" t="s">
        <v>486</v>
      </c>
      <c r="E11" s="65" t="s">
        <v>487</v>
      </c>
      <c r="F11" s="158" t="s">
        <v>488</v>
      </c>
      <c r="G11" s="157" t="s">
        <v>489</v>
      </c>
      <c r="H11" s="67"/>
    </row>
    <row r="12" spans="1:8">
      <c r="A12" s="1463" t="s">
        <v>1327</v>
      </c>
      <c r="B12" s="1464"/>
      <c r="C12" s="1465"/>
      <c r="D12" s="68"/>
      <c r="E12" s="86"/>
      <c r="F12" s="161"/>
      <c r="G12" s="71">
        <f>H38*10%</f>
        <v>2028.32084079641</v>
      </c>
      <c r="H12" s="72"/>
    </row>
    <row r="13" spans="1:8">
      <c r="A13" s="168"/>
      <c r="B13" s="165"/>
      <c r="C13" s="166"/>
      <c r="D13" s="68"/>
      <c r="E13" s="86"/>
      <c r="F13" s="161"/>
      <c r="G13" s="71"/>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10" ht="15.75" thickBot="1">
      <c r="A17" s="1466"/>
      <c r="B17" s="1467"/>
      <c r="C17" s="1468"/>
      <c r="D17" s="76"/>
      <c r="E17" s="77"/>
      <c r="F17" s="78"/>
      <c r="G17" s="79"/>
      <c r="H17" s="80"/>
    </row>
    <row r="18" spans="1:10" ht="15.75" thickBot="1">
      <c r="A18" s="61"/>
      <c r="B18" s="61"/>
      <c r="C18" s="61"/>
      <c r="D18" s="61"/>
      <c r="E18" s="61"/>
      <c r="F18" s="61"/>
      <c r="G18" s="81" t="s">
        <v>491</v>
      </c>
      <c r="H18" s="82">
        <f>SUM(G12:G17)</f>
        <v>2028.32084079641</v>
      </c>
      <c r="J18" s="33"/>
    </row>
    <row r="19" spans="1:10" ht="15.75" thickBot="1">
      <c r="A19" s="63" t="s">
        <v>492</v>
      </c>
      <c r="B19" s="63"/>
      <c r="C19" s="61"/>
      <c r="D19" s="61"/>
      <c r="E19" s="61"/>
      <c r="F19" s="61"/>
      <c r="G19" s="61"/>
      <c r="H19" s="61"/>
    </row>
    <row r="20" spans="1:10">
      <c r="A20" s="1472" t="s">
        <v>485</v>
      </c>
      <c r="B20" s="1473"/>
      <c r="C20" s="1474"/>
      <c r="D20" s="160" t="s">
        <v>493</v>
      </c>
      <c r="E20" s="160" t="s">
        <v>494</v>
      </c>
      <c r="F20" s="160" t="s">
        <v>495</v>
      </c>
      <c r="G20" s="159" t="s">
        <v>489</v>
      </c>
      <c r="H20" s="67"/>
    </row>
    <row r="21" spans="1:10">
      <c r="A21" s="127"/>
      <c r="B21" s="84"/>
      <c r="C21" s="85"/>
      <c r="D21" s="141"/>
      <c r="E21" s="139"/>
      <c r="F21" s="163"/>
      <c r="G21" s="137"/>
      <c r="H21" s="59"/>
    </row>
    <row r="22" spans="1:10">
      <c r="A22" s="127"/>
      <c r="B22" s="84"/>
      <c r="C22" s="85"/>
      <c r="D22" s="68"/>
      <c r="E22" s="142"/>
      <c r="F22" s="70"/>
      <c r="G22" s="69"/>
      <c r="H22" s="59"/>
    </row>
    <row r="23" spans="1:10">
      <c r="A23" s="128"/>
      <c r="B23" s="129"/>
      <c r="C23" s="130"/>
      <c r="D23" s="131"/>
      <c r="E23" s="132"/>
      <c r="F23" s="133"/>
      <c r="G23" s="138"/>
      <c r="H23" s="59"/>
    </row>
    <row r="24" spans="1:10" ht="15.75" thickBot="1">
      <c r="A24" s="89"/>
      <c r="B24" s="90"/>
      <c r="C24" s="91"/>
      <c r="D24" s="76"/>
      <c r="E24" s="77"/>
      <c r="F24" s="78"/>
      <c r="G24" s="79"/>
      <c r="H24" s="80"/>
    </row>
    <row r="25" spans="1:10" ht="15.75" thickBot="1">
      <c r="A25" s="61"/>
      <c r="B25" s="61"/>
      <c r="C25" s="61"/>
      <c r="D25" s="61"/>
      <c r="E25" s="61"/>
      <c r="F25" s="61"/>
      <c r="G25" s="81" t="s">
        <v>491</v>
      </c>
      <c r="H25" s="82">
        <f>SUM(G21:G24)</f>
        <v>0</v>
      </c>
    </row>
    <row r="26" spans="1:10" ht="15.75" thickBot="1">
      <c r="A26" s="92" t="s">
        <v>496</v>
      </c>
      <c r="B26" s="92"/>
      <c r="C26" s="90"/>
      <c r="D26" s="61"/>
      <c r="E26" s="61"/>
      <c r="F26" s="61"/>
      <c r="G26" s="61"/>
      <c r="H26" s="61"/>
    </row>
    <row r="27" spans="1:10">
      <c r="A27" s="1454" t="s">
        <v>497</v>
      </c>
      <c r="B27" s="1456"/>
      <c r="C27" s="93" t="s">
        <v>498</v>
      </c>
      <c r="D27" s="158" t="s">
        <v>499</v>
      </c>
      <c r="E27" s="158" t="s">
        <v>500</v>
      </c>
      <c r="F27" s="158" t="s">
        <v>501</v>
      </c>
      <c r="G27" s="94" t="s">
        <v>489</v>
      </c>
      <c r="H27" s="67"/>
    </row>
    <row r="28" spans="1:10">
      <c r="A28" s="83"/>
      <c r="B28" s="84"/>
      <c r="C28" s="95"/>
      <c r="D28" s="96"/>
      <c r="E28" s="96"/>
      <c r="F28" s="97"/>
      <c r="G28" s="69"/>
      <c r="H28" s="72"/>
    </row>
    <row r="29" spans="1:10">
      <c r="A29" s="83"/>
      <c r="B29" s="84"/>
      <c r="C29" s="98"/>
      <c r="D29" s="68"/>
      <c r="E29" s="99"/>
      <c r="F29" s="69"/>
      <c r="G29" s="69"/>
      <c r="H29" s="72"/>
    </row>
    <row r="30" spans="1:10" ht="15.75" thickBot="1">
      <c r="A30" s="100"/>
      <c r="B30" s="101"/>
      <c r="C30" s="76"/>
      <c r="D30" s="77"/>
      <c r="E30" s="78"/>
      <c r="F30" s="79"/>
      <c r="G30" s="76"/>
      <c r="H30" s="72"/>
    </row>
    <row r="31" spans="1:10" ht="15.75" thickBot="1">
      <c r="A31" s="61"/>
      <c r="B31" s="61"/>
      <c r="C31" s="61"/>
      <c r="D31" s="61"/>
      <c r="E31" s="61"/>
      <c r="F31" s="61"/>
      <c r="G31" s="81" t="s">
        <v>491</v>
      </c>
      <c r="H31" s="82">
        <f>SUM(G28:G30)</f>
        <v>0</v>
      </c>
    </row>
    <row r="32" spans="1:10" ht="15.75" thickBot="1">
      <c r="A32" s="92" t="s">
        <v>502</v>
      </c>
      <c r="B32" s="92"/>
      <c r="C32" s="61"/>
      <c r="D32" s="61"/>
      <c r="E32" s="61"/>
      <c r="F32" s="61"/>
      <c r="G32" s="61"/>
      <c r="H32" s="61"/>
    </row>
    <row r="33" spans="1:11">
      <c r="A33" s="1472" t="s">
        <v>503</v>
      </c>
      <c r="B33" s="1474"/>
      <c r="C33" s="522" t="s">
        <v>504</v>
      </c>
      <c r="D33" s="522" t="s">
        <v>505</v>
      </c>
      <c r="E33" s="555" t="s">
        <v>506</v>
      </c>
      <c r="F33" s="556" t="s">
        <v>488</v>
      </c>
      <c r="G33" s="452" t="s">
        <v>489</v>
      </c>
      <c r="H33" s="67"/>
    </row>
    <row r="34" spans="1:11">
      <c r="A34" s="83" t="s">
        <v>554</v>
      </c>
      <c r="B34" s="85"/>
      <c r="C34" s="103">
        <f>SALARIOS!C49*2</f>
        <v>51144</v>
      </c>
      <c r="D34" s="104">
        <f>SALARIOS!C48</f>
        <v>1.7846558312967005</v>
      </c>
      <c r="E34" s="69">
        <f>(C34*D34)</f>
        <v>91274.437835838442</v>
      </c>
      <c r="F34" s="69">
        <v>4.5</v>
      </c>
      <c r="G34" s="105">
        <f>E34/F34</f>
        <v>20283.208407964099</v>
      </c>
      <c r="H34" s="72"/>
      <c r="J34" s="33"/>
    </row>
    <row r="35" spans="1:11">
      <c r="A35" s="128"/>
      <c r="B35" s="129"/>
      <c r="C35" s="557"/>
      <c r="D35" s="558"/>
      <c r="E35" s="69"/>
      <c r="F35" s="69"/>
      <c r="G35" s="105"/>
      <c r="H35" s="72"/>
    </row>
    <row r="36" spans="1:11">
      <c r="A36" s="83"/>
      <c r="B36" s="84"/>
      <c r="C36" s="103"/>
      <c r="D36" s="104"/>
      <c r="E36" s="69"/>
      <c r="F36" s="69"/>
      <c r="G36" s="105"/>
      <c r="H36" s="72"/>
    </row>
    <row r="37" spans="1:11" ht="15.75" thickBot="1">
      <c r="A37" s="100"/>
      <c r="B37" s="106"/>
      <c r="C37" s="77"/>
      <c r="D37" s="91"/>
      <c r="E37" s="143"/>
      <c r="F37" s="91"/>
      <c r="G37" s="451"/>
      <c r="H37" s="80"/>
    </row>
    <row r="38" spans="1:11" ht="15.75" thickBot="1">
      <c r="A38" s="61"/>
      <c r="B38" s="61"/>
      <c r="C38" s="61"/>
      <c r="D38" s="61"/>
      <c r="E38" s="61"/>
      <c r="F38" s="61"/>
      <c r="G38" s="81" t="s">
        <v>491</v>
      </c>
      <c r="H38" s="82">
        <f>SUM(G34:G37)</f>
        <v>20283.208407964099</v>
      </c>
    </row>
    <row r="39" spans="1:11" ht="15.75" thickBot="1">
      <c r="A39" s="61"/>
      <c r="B39" s="61"/>
      <c r="C39" s="61"/>
      <c r="D39" s="61"/>
      <c r="E39" s="61"/>
      <c r="F39" s="61"/>
      <c r="G39" s="107"/>
      <c r="H39" s="58"/>
    </row>
    <row r="40" spans="1:11" ht="15.75" thickBot="1">
      <c r="A40" s="61"/>
      <c r="B40" s="61"/>
      <c r="C40" s="61"/>
      <c r="D40" s="61"/>
      <c r="E40" s="108" t="s">
        <v>508</v>
      </c>
      <c r="F40" s="109"/>
      <c r="G40" s="109"/>
      <c r="H40" s="82">
        <f>H18+H25+H31+H38</f>
        <v>22311.529248760507</v>
      </c>
      <c r="K40" s="17"/>
    </row>
    <row r="41" spans="1:11" ht="15.75" thickBot="1">
      <c r="A41" s="63" t="s">
        <v>509</v>
      </c>
      <c r="B41" s="63"/>
      <c r="C41" s="61"/>
      <c r="D41" s="61"/>
      <c r="E41" s="61"/>
      <c r="F41" s="61"/>
      <c r="G41" s="61"/>
      <c r="H41" s="61"/>
      <c r="K41" s="17"/>
    </row>
    <row r="42" spans="1:11">
      <c r="A42" s="110" t="s">
        <v>485</v>
      </c>
      <c r="B42" s="111"/>
      <c r="C42" s="111"/>
      <c r="D42" s="111"/>
      <c r="E42" s="112"/>
      <c r="F42" s="160" t="s">
        <v>510</v>
      </c>
      <c r="G42" s="159" t="s">
        <v>511</v>
      </c>
      <c r="H42" s="67"/>
    </row>
    <row r="43" spans="1:11">
      <c r="A43" s="83" t="s">
        <v>512</v>
      </c>
      <c r="B43" s="84"/>
      <c r="C43" s="84"/>
      <c r="D43" s="84"/>
      <c r="E43" s="85"/>
      <c r="F43" s="115">
        <f>(SALARIOS!C45)</f>
        <v>0.15</v>
      </c>
      <c r="G43" s="116">
        <f>++F43*H40</f>
        <v>3346.7293873140761</v>
      </c>
      <c r="H43" s="117"/>
    </row>
    <row r="44" spans="1:11">
      <c r="A44" s="83" t="s">
        <v>513</v>
      </c>
      <c r="B44" s="84"/>
      <c r="C44" s="84"/>
      <c r="D44" s="84"/>
      <c r="E44" s="85"/>
      <c r="F44" s="115">
        <f>(SALARIOS!C46)</f>
        <v>0.05</v>
      </c>
      <c r="G44" s="116">
        <f>+F44*H40</f>
        <v>1115.5764624380254</v>
      </c>
      <c r="H44" s="117"/>
    </row>
    <row r="45" spans="1:11" ht="15.75" thickBot="1">
      <c r="A45" s="89" t="s">
        <v>514</v>
      </c>
      <c r="B45" s="90"/>
      <c r="C45" s="90"/>
      <c r="D45" s="90"/>
      <c r="E45" s="91"/>
      <c r="F45" s="118">
        <f>(SALARIOS!C47)</f>
        <v>0.05</v>
      </c>
      <c r="G45" s="119">
        <f>+F45*H40</f>
        <v>1115.5764624380254</v>
      </c>
      <c r="H45" s="80"/>
    </row>
    <row r="46" spans="1:11" ht="15.75" thickBot="1">
      <c r="A46" s="61"/>
      <c r="B46" s="61"/>
      <c r="C46" s="61"/>
      <c r="D46" s="61"/>
      <c r="E46" s="61"/>
      <c r="F46" s="61"/>
      <c r="G46" s="81" t="s">
        <v>491</v>
      </c>
      <c r="H46" s="120">
        <f>SUM(G43:G45)</f>
        <v>5577.8823121901269</v>
      </c>
    </row>
    <row r="47" spans="1:11" ht="15.75" thickBot="1">
      <c r="A47" s="61"/>
      <c r="B47" s="61"/>
      <c r="C47" s="61"/>
      <c r="D47" s="61"/>
      <c r="E47" s="61"/>
      <c r="F47" s="61"/>
      <c r="G47" s="61"/>
      <c r="H47" s="61"/>
    </row>
    <row r="48" spans="1:11" ht="15.75" thickBot="1">
      <c r="A48" s="16"/>
      <c r="B48" s="16"/>
      <c r="C48" s="61"/>
      <c r="D48" s="108" t="s">
        <v>515</v>
      </c>
      <c r="E48" s="109"/>
      <c r="F48" s="109"/>
      <c r="G48" s="109"/>
      <c r="H48" s="82">
        <f>ROUND((H40+H46),0)</f>
        <v>27889</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7"/>
  <sheetViews>
    <sheetView topLeftCell="A25"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1077</v>
      </c>
      <c r="B7" s="62"/>
      <c r="C7" s="61"/>
      <c r="D7" s="16"/>
      <c r="E7" s="62"/>
      <c r="F7" s="16"/>
      <c r="G7" s="62" t="s">
        <v>1164</v>
      </c>
      <c r="H7" s="61"/>
    </row>
    <row r="8" spans="1:8">
      <c r="A8" s="60" t="s">
        <v>1161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176"/>
      <c r="C12" s="174"/>
      <c r="D12" s="174"/>
      <c r="E12" s="173"/>
      <c r="F12" s="69"/>
      <c r="G12" s="173">
        <f>H37*10%</f>
        <v>479.6694318181971</v>
      </c>
      <c r="H12" s="72"/>
    </row>
    <row r="13" spans="1:8">
      <c r="A13" s="344"/>
      <c r="B13" s="345"/>
      <c r="C13" s="346"/>
      <c r="D13" s="73"/>
      <c r="E13" s="74"/>
      <c r="F13" s="69"/>
      <c r="G13" s="71"/>
      <c r="H13" s="72"/>
    </row>
    <row r="14" spans="1:8">
      <c r="A14" s="344"/>
      <c r="B14" s="345"/>
      <c r="C14" s="346"/>
      <c r="D14" s="73"/>
      <c r="E14" s="74"/>
      <c r="F14" s="69"/>
      <c r="G14" s="71"/>
      <c r="H14" s="72"/>
    </row>
    <row r="15" spans="1:8">
      <c r="A15" s="344"/>
      <c r="B15" s="345"/>
      <c r="C15" s="346"/>
      <c r="D15" s="73"/>
      <c r="E15" s="74"/>
      <c r="F15" s="69"/>
      <c r="G15" s="71"/>
      <c r="H15" s="72"/>
    </row>
    <row r="16" spans="1:8" ht="15.75" thickBot="1">
      <c r="A16" s="347"/>
      <c r="B16" s="348"/>
      <c r="C16" s="349"/>
      <c r="D16" s="76"/>
      <c r="E16" s="77"/>
      <c r="F16" s="78"/>
      <c r="G16" s="79"/>
      <c r="H16" s="80"/>
    </row>
    <row r="17" spans="1:8" ht="15.75" thickBot="1">
      <c r="A17" s="61"/>
      <c r="B17" s="61"/>
      <c r="C17" s="61"/>
      <c r="D17" s="61"/>
      <c r="E17" s="61"/>
      <c r="F17" s="61"/>
      <c r="G17" s="81" t="s">
        <v>491</v>
      </c>
      <c r="H17" s="82">
        <f>SUM(G12:G16)</f>
        <v>479.6694318181971</v>
      </c>
    </row>
    <row r="18" spans="1:8" ht="15.75" thickBot="1">
      <c r="A18" s="63" t="s">
        <v>492</v>
      </c>
      <c r="B18" s="63"/>
      <c r="C18" s="61"/>
      <c r="D18" s="61"/>
      <c r="E18" s="61"/>
      <c r="F18" s="61"/>
      <c r="G18" s="61"/>
      <c r="H18" s="61"/>
    </row>
    <row r="19" spans="1:8">
      <c r="A19" s="350" t="s">
        <v>485</v>
      </c>
      <c r="B19" s="351"/>
      <c r="C19" s="352"/>
      <c r="D19" s="352" t="s">
        <v>493</v>
      </c>
      <c r="E19" s="352" t="s">
        <v>494</v>
      </c>
      <c r="F19" s="352" t="s">
        <v>495</v>
      </c>
      <c r="G19" s="351" t="s">
        <v>489</v>
      </c>
      <c r="H19" s="67"/>
    </row>
    <row r="20" spans="1:8">
      <c r="A20" s="127" t="s">
        <v>1422</v>
      </c>
      <c r="B20" s="84"/>
      <c r="C20" s="85"/>
      <c r="D20" s="141" t="s">
        <v>61</v>
      </c>
      <c r="E20" s="139">
        <f>+MATERIALES!D196</f>
        <v>3472.2666666666664</v>
      </c>
      <c r="F20" s="163">
        <v>1</v>
      </c>
      <c r="G20" s="137">
        <f>+E20*F20</f>
        <v>3472.2666666666664</v>
      </c>
      <c r="H20" s="59"/>
    </row>
    <row r="21" spans="1:8">
      <c r="A21" s="83" t="s">
        <v>1709</v>
      </c>
      <c r="B21" s="84"/>
      <c r="C21" s="85"/>
      <c r="D21" s="68" t="s">
        <v>61</v>
      </c>
      <c r="E21" s="142">
        <f>MATERIALES!D53</f>
        <v>31988.933333333331</v>
      </c>
      <c r="F21" s="69">
        <v>8.0000000000000002E-3</v>
      </c>
      <c r="G21" s="105">
        <f>+E21*F21</f>
        <v>255.91146666666666</v>
      </c>
      <c r="H21" s="59"/>
    </row>
    <row r="22" spans="1:8">
      <c r="A22" s="128" t="s">
        <v>1158</v>
      </c>
      <c r="B22" s="129"/>
      <c r="C22" s="130"/>
      <c r="D22" s="131" t="s">
        <v>61</v>
      </c>
      <c r="E22" s="132">
        <f>MATERIALES!D42</f>
        <v>24299.293333333335</v>
      </c>
      <c r="F22" s="375">
        <v>8.0000000000000002E-3</v>
      </c>
      <c r="G22" s="686">
        <f>+E22*F22</f>
        <v>194.39434666666668</v>
      </c>
      <c r="H22" s="59"/>
    </row>
    <row r="23" spans="1:8" ht="15.75" thickBot="1">
      <c r="A23" s="89" t="s">
        <v>1710</v>
      </c>
      <c r="B23" s="90"/>
      <c r="C23" s="91"/>
      <c r="D23" s="76" t="s">
        <v>61</v>
      </c>
      <c r="E23" s="77">
        <f>MATERIALES!D26</f>
        <v>802.33333333333337</v>
      </c>
      <c r="F23" s="78">
        <v>0.2</v>
      </c>
      <c r="G23" s="687">
        <f>+E23*F23</f>
        <v>160.4666666666667</v>
      </c>
      <c r="H23" s="80"/>
    </row>
    <row r="24" spans="1:8" ht="15.75" thickBot="1">
      <c r="A24" s="61"/>
      <c r="B24" s="61"/>
      <c r="C24" s="61"/>
      <c r="D24" s="61"/>
      <c r="E24" s="61"/>
      <c r="F24" s="61"/>
      <c r="G24" s="81" t="s">
        <v>491</v>
      </c>
      <c r="H24" s="82">
        <f>SUM(G20:G23)</f>
        <v>4083.0391466666661</v>
      </c>
    </row>
    <row r="25" spans="1:8" ht="15.75" thickBot="1">
      <c r="A25" s="92" t="s">
        <v>496</v>
      </c>
      <c r="B25" s="92"/>
      <c r="C25" s="90"/>
      <c r="D25" s="61"/>
      <c r="E25" s="61"/>
      <c r="F25" s="61"/>
      <c r="G25" s="61"/>
      <c r="H25" s="61"/>
    </row>
    <row r="26" spans="1:8">
      <c r="A26" s="338" t="s">
        <v>497</v>
      </c>
      <c r="B26" s="340"/>
      <c r="C26" s="93" t="s">
        <v>498</v>
      </c>
      <c r="D26" s="340" t="s">
        <v>499</v>
      </c>
      <c r="E26" s="340" t="s">
        <v>500</v>
      </c>
      <c r="F26" s="34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38" t="s">
        <v>503</v>
      </c>
      <c r="B32" s="340"/>
      <c r="C32" s="340" t="s">
        <v>504</v>
      </c>
      <c r="D32" s="340" t="s">
        <v>505</v>
      </c>
      <c r="E32" s="124" t="s">
        <v>506</v>
      </c>
      <c r="F32" s="102" t="s">
        <v>488</v>
      </c>
      <c r="G32" s="339" t="s">
        <v>489</v>
      </c>
      <c r="H32" s="67"/>
    </row>
    <row r="33" spans="1:8">
      <c r="A33" s="83" t="s">
        <v>624</v>
      </c>
      <c r="B33" s="84"/>
      <c r="C33" s="103">
        <f>+SALARIOS!C50</f>
        <v>41660</v>
      </c>
      <c r="D33" s="104">
        <f>+SALARIOS!C48</f>
        <v>1.7846558312967005</v>
      </c>
      <c r="E33" s="69">
        <f>+C33*D33</f>
        <v>74348.76193182054</v>
      </c>
      <c r="F33" s="69">
        <v>15.5</v>
      </c>
      <c r="G33" s="105">
        <f>+E33/F33</f>
        <v>4796.6943181819706</v>
      </c>
      <c r="H33" s="72"/>
    </row>
    <row r="34" spans="1:8">
      <c r="A34" s="83"/>
      <c r="B34" s="84"/>
      <c r="C34" s="103"/>
      <c r="D34" s="33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4796.6943181819706</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9359.4028966668338</v>
      </c>
    </row>
    <row r="40" spans="1:8" ht="15.75" thickBot="1">
      <c r="A40" s="63" t="s">
        <v>509</v>
      </c>
      <c r="B40" s="63"/>
      <c r="C40" s="61"/>
      <c r="D40" s="61"/>
      <c r="E40" s="61"/>
      <c r="F40" s="61"/>
      <c r="G40" s="61"/>
      <c r="H40" s="61"/>
    </row>
    <row r="41" spans="1:8">
      <c r="A41" s="233" t="s">
        <v>485</v>
      </c>
      <c r="B41" s="351"/>
      <c r="C41" s="351"/>
      <c r="D41" s="351"/>
      <c r="E41" s="352"/>
      <c r="F41" s="352" t="s">
        <v>510</v>
      </c>
      <c r="G41" s="351" t="s">
        <v>511</v>
      </c>
      <c r="H41" s="67"/>
    </row>
    <row r="42" spans="1:8">
      <c r="A42" s="83" t="s">
        <v>512</v>
      </c>
      <c r="B42" s="84"/>
      <c r="C42" s="84"/>
      <c r="D42" s="84"/>
      <c r="E42" s="85"/>
      <c r="F42" s="115">
        <f>+SALARIOS!C45</f>
        <v>0.15</v>
      </c>
      <c r="G42" s="116">
        <f>++F42*H39</f>
        <v>1403.9104345000251</v>
      </c>
      <c r="H42" s="117"/>
    </row>
    <row r="43" spans="1:8">
      <c r="A43" s="83" t="s">
        <v>513</v>
      </c>
      <c r="B43" s="84"/>
      <c r="C43" s="84"/>
      <c r="D43" s="84"/>
      <c r="E43" s="85"/>
      <c r="F43" s="115">
        <f>+SALARIOS!C46</f>
        <v>0.05</v>
      </c>
      <c r="G43" s="116">
        <f>+F43*H39</f>
        <v>467.97014483334169</v>
      </c>
      <c r="H43" s="117"/>
    </row>
    <row r="44" spans="1:8" ht="15.75" thickBot="1">
      <c r="A44" s="89" t="s">
        <v>514</v>
      </c>
      <c r="B44" s="90"/>
      <c r="C44" s="90"/>
      <c r="D44" s="90"/>
      <c r="E44" s="91"/>
      <c r="F44" s="118">
        <f>+SALARIOS!C47</f>
        <v>0.05</v>
      </c>
      <c r="G44" s="119">
        <f>+F44*H39</f>
        <v>467.97014483334169</v>
      </c>
      <c r="H44" s="80"/>
    </row>
    <row r="45" spans="1:8" ht="15.75" thickBot="1">
      <c r="A45" s="61"/>
      <c r="B45" s="61"/>
      <c r="C45" s="61"/>
      <c r="D45" s="61"/>
      <c r="E45" s="61"/>
      <c r="F45" s="61"/>
      <c r="G45" s="81" t="s">
        <v>491</v>
      </c>
      <c r="H45" s="120">
        <f>SUM(G42:G44)</f>
        <v>2339.8507241667085</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11699</v>
      </c>
    </row>
  </sheetData>
  <mergeCells count="1">
    <mergeCell ref="A3:C4"/>
  </mergeCells>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1077</v>
      </c>
      <c r="B7" s="62"/>
      <c r="C7" s="61"/>
      <c r="D7" s="16"/>
      <c r="E7" s="62"/>
      <c r="F7" s="16"/>
      <c r="G7" s="62" t="s">
        <v>1166</v>
      </c>
      <c r="H7" s="61"/>
    </row>
    <row r="8" spans="1:8">
      <c r="A8" s="60" t="s">
        <v>1163</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176"/>
      <c r="C12" s="174"/>
      <c r="D12" s="174"/>
      <c r="E12" s="173"/>
      <c r="F12" s="69"/>
      <c r="G12" s="173">
        <f>H37*10%</f>
        <v>479.6694318181971</v>
      </c>
      <c r="H12" s="72"/>
    </row>
    <row r="13" spans="1:8">
      <c r="A13" s="344"/>
      <c r="B13" s="345"/>
      <c r="C13" s="346"/>
      <c r="D13" s="73"/>
      <c r="E13" s="74"/>
      <c r="F13" s="69"/>
      <c r="G13" s="71"/>
      <c r="H13" s="72"/>
    </row>
    <row r="14" spans="1:8">
      <c r="A14" s="344"/>
      <c r="B14" s="345"/>
      <c r="C14" s="346"/>
      <c r="D14" s="73"/>
      <c r="E14" s="74"/>
      <c r="F14" s="69"/>
      <c r="G14" s="71"/>
      <c r="H14" s="72"/>
    </row>
    <row r="15" spans="1:8">
      <c r="A15" s="344"/>
      <c r="B15" s="345"/>
      <c r="C15" s="346"/>
      <c r="D15" s="73"/>
      <c r="E15" s="74"/>
      <c r="F15" s="69"/>
      <c r="G15" s="71"/>
      <c r="H15" s="72"/>
    </row>
    <row r="16" spans="1:8" ht="15.75" thickBot="1">
      <c r="A16" s="347"/>
      <c r="B16" s="348"/>
      <c r="C16" s="349"/>
      <c r="D16" s="76"/>
      <c r="E16" s="77"/>
      <c r="F16" s="78"/>
      <c r="G16" s="79"/>
      <c r="H16" s="80"/>
    </row>
    <row r="17" spans="1:8" ht="15.75" thickBot="1">
      <c r="A17" s="61"/>
      <c r="B17" s="61"/>
      <c r="C17" s="61"/>
      <c r="D17" s="61"/>
      <c r="E17" s="61"/>
      <c r="F17" s="61"/>
      <c r="G17" s="81" t="s">
        <v>491</v>
      </c>
      <c r="H17" s="82">
        <f>SUM(G12:G16)</f>
        <v>479.6694318181971</v>
      </c>
    </row>
    <row r="18" spans="1:8" ht="15.75" thickBot="1">
      <c r="A18" s="63" t="s">
        <v>492</v>
      </c>
      <c r="B18" s="63"/>
      <c r="C18" s="61"/>
      <c r="D18" s="61"/>
      <c r="E18" s="61"/>
      <c r="F18" s="61"/>
      <c r="G18" s="61"/>
      <c r="H18" s="61"/>
    </row>
    <row r="19" spans="1:8">
      <c r="A19" s="350" t="s">
        <v>485</v>
      </c>
      <c r="B19" s="351"/>
      <c r="C19" s="352"/>
      <c r="D19" s="352" t="s">
        <v>493</v>
      </c>
      <c r="E19" s="352" t="s">
        <v>494</v>
      </c>
      <c r="F19" s="352" t="s">
        <v>495</v>
      </c>
      <c r="G19" s="351" t="s">
        <v>489</v>
      </c>
      <c r="H19" s="67"/>
    </row>
    <row r="20" spans="1:8">
      <c r="A20" s="127" t="s">
        <v>1714</v>
      </c>
      <c r="B20" s="84"/>
      <c r="C20" s="85"/>
      <c r="D20" s="141" t="s">
        <v>61</v>
      </c>
      <c r="E20" s="139">
        <f>+MATERIALES!D197</f>
        <v>22440.2</v>
      </c>
      <c r="F20" s="163">
        <v>1</v>
      </c>
      <c r="G20" s="137">
        <f>+E20*F20</f>
        <v>22440.2</v>
      </c>
      <c r="H20" s="59"/>
    </row>
    <row r="21" spans="1:8">
      <c r="A21" s="83" t="s">
        <v>1709</v>
      </c>
      <c r="B21" s="84"/>
      <c r="C21" s="85"/>
      <c r="D21" s="68" t="s">
        <v>61</v>
      </c>
      <c r="E21" s="142">
        <f>MATERIALES!D53</f>
        <v>31988.933333333331</v>
      </c>
      <c r="F21" s="69">
        <v>8.0000000000000002E-3</v>
      </c>
      <c r="G21" s="105">
        <f>+E21*F21</f>
        <v>255.91146666666666</v>
      </c>
      <c r="H21" s="59"/>
    </row>
    <row r="22" spans="1:8">
      <c r="A22" s="128" t="s">
        <v>1158</v>
      </c>
      <c r="B22" s="129"/>
      <c r="C22" s="130"/>
      <c r="D22" s="131" t="s">
        <v>61</v>
      </c>
      <c r="E22" s="132">
        <f>MATERIALES!D42</f>
        <v>24299.293333333335</v>
      </c>
      <c r="F22" s="375">
        <v>8.0000000000000002E-3</v>
      </c>
      <c r="G22" s="686">
        <f>+E22*F22</f>
        <v>194.39434666666668</v>
      </c>
      <c r="H22" s="59"/>
    </row>
    <row r="23" spans="1:8" ht="15.75" thickBot="1">
      <c r="A23" s="89" t="s">
        <v>1710</v>
      </c>
      <c r="B23" s="90"/>
      <c r="C23" s="91"/>
      <c r="D23" s="76" t="s">
        <v>61</v>
      </c>
      <c r="E23" s="77">
        <f>MATERIALES!D26</f>
        <v>802.33333333333337</v>
      </c>
      <c r="F23" s="78">
        <v>0.2</v>
      </c>
      <c r="G23" s="687">
        <f>+E23*F23</f>
        <v>160.4666666666667</v>
      </c>
      <c r="H23" s="80"/>
    </row>
    <row r="24" spans="1:8" ht="15.75" thickBot="1">
      <c r="A24" s="61"/>
      <c r="B24" s="61"/>
      <c r="C24" s="61"/>
      <c r="D24" s="61"/>
      <c r="E24" s="61"/>
      <c r="F24" s="61"/>
      <c r="G24" s="81" t="s">
        <v>491</v>
      </c>
      <c r="H24" s="82">
        <f>SUM(G20:G23)</f>
        <v>23050.972480000004</v>
      </c>
    </row>
    <row r="25" spans="1:8" ht="15.75" thickBot="1">
      <c r="A25" s="92" t="s">
        <v>496</v>
      </c>
      <c r="B25" s="92"/>
      <c r="C25" s="90"/>
      <c r="D25" s="61"/>
      <c r="E25" s="61"/>
      <c r="F25" s="61"/>
      <c r="G25" s="61"/>
      <c r="H25" s="61"/>
    </row>
    <row r="26" spans="1:8">
      <c r="A26" s="338" t="s">
        <v>497</v>
      </c>
      <c r="B26" s="340"/>
      <c r="C26" s="93" t="s">
        <v>498</v>
      </c>
      <c r="D26" s="340" t="s">
        <v>499</v>
      </c>
      <c r="E26" s="340" t="s">
        <v>500</v>
      </c>
      <c r="F26" s="34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38" t="s">
        <v>503</v>
      </c>
      <c r="B32" s="340"/>
      <c r="C32" s="340" t="s">
        <v>504</v>
      </c>
      <c r="D32" s="340" t="s">
        <v>505</v>
      </c>
      <c r="E32" s="124" t="s">
        <v>506</v>
      </c>
      <c r="F32" s="102" t="s">
        <v>488</v>
      </c>
      <c r="G32" s="339" t="s">
        <v>489</v>
      </c>
      <c r="H32" s="67"/>
    </row>
    <row r="33" spans="1:8">
      <c r="A33" s="83" t="s">
        <v>624</v>
      </c>
      <c r="B33" s="84"/>
      <c r="C33" s="103">
        <f>+SALARIOS!C50</f>
        <v>41660</v>
      </c>
      <c r="D33" s="104">
        <f>+SALARIOS!C48</f>
        <v>1.7846558312967005</v>
      </c>
      <c r="E33" s="69">
        <f>+C33*D33</f>
        <v>74348.76193182054</v>
      </c>
      <c r="F33" s="69">
        <v>15.5</v>
      </c>
      <c r="G33" s="105">
        <f>+E33/F33</f>
        <v>4796.6943181819706</v>
      </c>
      <c r="H33" s="72"/>
    </row>
    <row r="34" spans="1:8">
      <c r="A34" s="83"/>
      <c r="B34" s="84"/>
      <c r="C34" s="103"/>
      <c r="D34" s="33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4796.6943181819706</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28327.336230000172</v>
      </c>
    </row>
    <row r="40" spans="1:8" ht="15.75" thickBot="1">
      <c r="A40" s="63" t="s">
        <v>509</v>
      </c>
      <c r="B40" s="63"/>
      <c r="C40" s="61"/>
      <c r="D40" s="61"/>
      <c r="E40" s="61"/>
      <c r="F40" s="61"/>
      <c r="G40" s="61"/>
      <c r="H40" s="61"/>
    </row>
    <row r="41" spans="1:8">
      <c r="A41" s="233" t="s">
        <v>485</v>
      </c>
      <c r="B41" s="351"/>
      <c r="C41" s="351"/>
      <c r="D41" s="351"/>
      <c r="E41" s="352"/>
      <c r="F41" s="352" t="s">
        <v>510</v>
      </c>
      <c r="G41" s="351" t="s">
        <v>511</v>
      </c>
      <c r="H41" s="67"/>
    </row>
    <row r="42" spans="1:8">
      <c r="A42" s="83" t="s">
        <v>512</v>
      </c>
      <c r="B42" s="84"/>
      <c r="C42" s="84"/>
      <c r="D42" s="84"/>
      <c r="E42" s="85"/>
      <c r="F42" s="115">
        <f>+SALARIOS!C45</f>
        <v>0.15</v>
      </c>
      <c r="G42" s="116">
        <f>++F42*H39</f>
        <v>4249.1004345000256</v>
      </c>
      <c r="H42" s="117"/>
    </row>
    <row r="43" spans="1:8">
      <c r="A43" s="83" t="s">
        <v>513</v>
      </c>
      <c r="B43" s="84"/>
      <c r="C43" s="84"/>
      <c r="D43" s="84"/>
      <c r="E43" s="85"/>
      <c r="F43" s="115">
        <f>+SALARIOS!C46</f>
        <v>0.05</v>
      </c>
      <c r="G43" s="116">
        <f>+F43*H39</f>
        <v>1416.3668115000087</v>
      </c>
      <c r="H43" s="117"/>
    </row>
    <row r="44" spans="1:8" ht="15.75" thickBot="1">
      <c r="A44" s="89" t="s">
        <v>514</v>
      </c>
      <c r="B44" s="90"/>
      <c r="C44" s="90"/>
      <c r="D44" s="90"/>
      <c r="E44" s="91"/>
      <c r="F44" s="118">
        <f>+SALARIOS!C47</f>
        <v>0.05</v>
      </c>
      <c r="G44" s="119">
        <f>+F44*H39</f>
        <v>1416.3668115000087</v>
      </c>
      <c r="H44" s="80"/>
    </row>
    <row r="45" spans="1:8" ht="15.75" thickBot="1">
      <c r="A45" s="61"/>
      <c r="B45" s="61"/>
      <c r="C45" s="61"/>
      <c r="D45" s="61"/>
      <c r="E45" s="61"/>
      <c r="F45" s="61"/>
      <c r="G45" s="81" t="s">
        <v>491</v>
      </c>
      <c r="H45" s="120">
        <f>SUM(G42:G44)</f>
        <v>7081.8340575000439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35409</v>
      </c>
    </row>
  </sheetData>
  <mergeCells count="1">
    <mergeCell ref="A3:C4"/>
  </mergeCells>
  <pageMargins left="0.7" right="0.7" top="0.75" bottom="0.75" header="0.3" footer="0.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workbookViewId="0">
      <selection activeCell="G8" sqref="G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1077</v>
      </c>
      <c r="B7" s="62"/>
      <c r="C7" s="61"/>
      <c r="D7" s="16"/>
      <c r="E7" s="62"/>
      <c r="F7" s="16"/>
      <c r="G7" s="62" t="s">
        <v>1167</v>
      </c>
      <c r="H7" s="61"/>
    </row>
    <row r="8" spans="1:8">
      <c r="A8" s="60" t="s">
        <v>1165</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176"/>
      <c r="C12" s="174"/>
      <c r="D12" s="174"/>
      <c r="E12" s="173"/>
      <c r="F12" s="69"/>
      <c r="G12" s="173">
        <f>H38*10%</f>
        <v>446.53911070162496</v>
      </c>
      <c r="H12" s="72"/>
    </row>
    <row r="13" spans="1:8">
      <c r="A13" s="175"/>
      <c r="B13" s="176"/>
      <c r="C13" s="174"/>
      <c r="D13" s="174"/>
      <c r="E13" s="173"/>
      <c r="F13" s="69"/>
      <c r="G13" s="173"/>
      <c r="H13" s="72"/>
    </row>
    <row r="14" spans="1:8">
      <c r="A14" s="344"/>
      <c r="B14" s="345"/>
      <c r="C14" s="346"/>
      <c r="D14" s="73"/>
      <c r="E14" s="74"/>
      <c r="F14" s="69"/>
      <c r="G14" s="71"/>
      <c r="H14" s="72"/>
    </row>
    <row r="15" spans="1:8">
      <c r="A15" s="344"/>
      <c r="B15" s="345"/>
      <c r="C15" s="346"/>
      <c r="D15" s="73"/>
      <c r="E15" s="74"/>
      <c r="F15" s="69"/>
      <c r="G15" s="71"/>
      <c r="H15" s="72"/>
    </row>
    <row r="16" spans="1:8">
      <c r="A16" s="344"/>
      <c r="B16" s="345"/>
      <c r="C16" s="346"/>
      <c r="D16" s="73"/>
      <c r="E16" s="74"/>
      <c r="F16" s="69"/>
      <c r="G16" s="71"/>
      <c r="H16" s="72"/>
    </row>
    <row r="17" spans="1:8" ht="15.75" thickBot="1">
      <c r="A17" s="347"/>
      <c r="B17" s="348"/>
      <c r="C17" s="349"/>
      <c r="D17" s="76"/>
      <c r="E17" s="77"/>
      <c r="F17" s="78"/>
      <c r="G17" s="79"/>
      <c r="H17" s="80"/>
    </row>
    <row r="18" spans="1:8" ht="15.75" thickBot="1">
      <c r="A18" s="61"/>
      <c r="B18" s="61"/>
      <c r="C18" s="61"/>
      <c r="D18" s="61"/>
      <c r="E18" s="61"/>
      <c r="F18" s="61"/>
      <c r="G18" s="81" t="s">
        <v>491</v>
      </c>
      <c r="H18" s="82">
        <f>SUM(G12:G17)</f>
        <v>446.53911070162496</v>
      </c>
    </row>
    <row r="19" spans="1:8" ht="15.75" thickBot="1">
      <c r="A19" s="63" t="s">
        <v>492</v>
      </c>
      <c r="B19" s="63"/>
      <c r="C19" s="61"/>
      <c r="D19" s="61"/>
      <c r="E19" s="61"/>
      <c r="F19" s="61"/>
      <c r="G19" s="61"/>
      <c r="H19" s="61"/>
    </row>
    <row r="20" spans="1:8">
      <c r="A20" s="350" t="s">
        <v>485</v>
      </c>
      <c r="B20" s="351"/>
      <c r="C20" s="352"/>
      <c r="D20" s="352" t="s">
        <v>493</v>
      </c>
      <c r="E20" s="352" t="s">
        <v>494</v>
      </c>
      <c r="F20" s="352" t="s">
        <v>495</v>
      </c>
      <c r="G20" s="351" t="s">
        <v>489</v>
      </c>
      <c r="H20" s="67"/>
    </row>
    <row r="21" spans="1:8">
      <c r="A21" s="127" t="s">
        <v>1169</v>
      </c>
      <c r="B21" s="84"/>
      <c r="C21" s="85"/>
      <c r="D21" s="141" t="s">
        <v>61</v>
      </c>
      <c r="E21" s="139">
        <f>+MATERIALES!D4</f>
        <v>2100</v>
      </c>
      <c r="F21" s="163">
        <v>1</v>
      </c>
      <c r="G21" s="137">
        <f>+E21*F21</f>
        <v>2100</v>
      </c>
      <c r="H21" s="59"/>
    </row>
    <row r="22" spans="1:8">
      <c r="A22" s="83" t="s">
        <v>1709</v>
      </c>
      <c r="B22" s="84"/>
      <c r="C22" s="85"/>
      <c r="D22" s="68" t="s">
        <v>61</v>
      </c>
      <c r="E22" s="142">
        <f>MATERIALES!D53</f>
        <v>31988.933333333331</v>
      </c>
      <c r="F22" s="69">
        <v>8.0000000000000002E-3</v>
      </c>
      <c r="G22" s="105">
        <f>+E22*F22</f>
        <v>255.91146666666666</v>
      </c>
      <c r="H22" s="59"/>
    </row>
    <row r="23" spans="1:8">
      <c r="A23" s="128" t="s">
        <v>1158</v>
      </c>
      <c r="B23" s="129"/>
      <c r="C23" s="130"/>
      <c r="D23" s="131" t="s">
        <v>61</v>
      </c>
      <c r="E23" s="132">
        <f>MATERIALES!D42</f>
        <v>24299.293333333335</v>
      </c>
      <c r="F23" s="375">
        <v>8.0000000000000002E-3</v>
      </c>
      <c r="G23" s="138">
        <f>+E23*F23</f>
        <v>194.39434666666668</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2550.3058133333329</v>
      </c>
    </row>
    <row r="26" spans="1:8" ht="15.75" thickBot="1">
      <c r="A26" s="92" t="s">
        <v>496</v>
      </c>
      <c r="B26" s="92"/>
      <c r="C26" s="90"/>
      <c r="D26" s="61"/>
      <c r="E26" s="61"/>
      <c r="F26" s="61"/>
      <c r="G26" s="61"/>
      <c r="H26" s="61"/>
    </row>
    <row r="27" spans="1:8">
      <c r="A27" s="338" t="s">
        <v>497</v>
      </c>
      <c r="B27" s="340"/>
      <c r="C27" s="93" t="s">
        <v>498</v>
      </c>
      <c r="D27" s="340" t="s">
        <v>499</v>
      </c>
      <c r="E27" s="340" t="s">
        <v>500</v>
      </c>
      <c r="F27" s="34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38" t="s">
        <v>503</v>
      </c>
      <c r="B33" s="340"/>
      <c r="C33" s="340" t="s">
        <v>504</v>
      </c>
      <c r="D33" s="340" t="s">
        <v>505</v>
      </c>
      <c r="E33" s="124" t="s">
        <v>506</v>
      </c>
      <c r="F33" s="102" t="s">
        <v>488</v>
      </c>
      <c r="G33" s="339" t="s">
        <v>489</v>
      </c>
      <c r="H33" s="67"/>
    </row>
    <row r="34" spans="1:8">
      <c r="A34" s="83" t="s">
        <v>624</v>
      </c>
      <c r="B34" s="84"/>
      <c r="C34" s="103">
        <f>+SALARIOS!C50</f>
        <v>41660</v>
      </c>
      <c r="D34" s="104">
        <f>+SALARIOS!C48</f>
        <v>1.7846558312967005</v>
      </c>
      <c r="E34" s="69">
        <f>+C34*D34</f>
        <v>74348.76193182054</v>
      </c>
      <c r="F34" s="69">
        <v>16.649999999999999</v>
      </c>
      <c r="G34" s="105">
        <f>+E34/F34</f>
        <v>4465.3911070162494</v>
      </c>
      <c r="H34" s="72"/>
    </row>
    <row r="35" spans="1:8">
      <c r="A35" s="83"/>
      <c r="B35" s="84"/>
      <c r="C35" s="103"/>
      <c r="D35" s="33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4465.3911070162494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7462.2360310512067</v>
      </c>
    </row>
    <row r="41" spans="1:8" ht="15.75" thickBot="1">
      <c r="A41" s="63" t="s">
        <v>509</v>
      </c>
      <c r="B41" s="63"/>
      <c r="C41" s="61"/>
      <c r="D41" s="61"/>
      <c r="E41" s="61"/>
      <c r="F41" s="61"/>
      <c r="G41" s="61"/>
      <c r="H41" s="61"/>
    </row>
    <row r="42" spans="1:8">
      <c r="A42" s="233" t="s">
        <v>485</v>
      </c>
      <c r="B42" s="351"/>
      <c r="C42" s="351"/>
      <c r="D42" s="351"/>
      <c r="E42" s="352"/>
      <c r="F42" s="352" t="s">
        <v>510</v>
      </c>
      <c r="G42" s="351" t="s">
        <v>511</v>
      </c>
      <c r="H42" s="67"/>
    </row>
    <row r="43" spans="1:8">
      <c r="A43" s="83" t="s">
        <v>512</v>
      </c>
      <c r="B43" s="84"/>
      <c r="C43" s="84"/>
      <c r="D43" s="84"/>
      <c r="E43" s="85"/>
      <c r="F43" s="115">
        <f>+SALARIOS!C45</f>
        <v>0.15</v>
      </c>
      <c r="G43" s="116">
        <f>++F43*H40</f>
        <v>1119.335404657681</v>
      </c>
      <c r="H43" s="117"/>
    </row>
    <row r="44" spans="1:8">
      <c r="A44" s="83" t="s">
        <v>513</v>
      </c>
      <c r="B44" s="84"/>
      <c r="C44" s="84"/>
      <c r="D44" s="84"/>
      <c r="E44" s="85"/>
      <c r="F44" s="115">
        <f>+SALARIOS!C46</f>
        <v>0.05</v>
      </c>
      <c r="G44" s="116">
        <f>+F44*H40</f>
        <v>373.11180155256034</v>
      </c>
      <c r="H44" s="117"/>
    </row>
    <row r="45" spans="1:8" ht="15.75" thickBot="1">
      <c r="A45" s="89" t="s">
        <v>514</v>
      </c>
      <c r="B45" s="90"/>
      <c r="C45" s="90"/>
      <c r="D45" s="90"/>
      <c r="E45" s="91"/>
      <c r="F45" s="118">
        <f>+SALARIOS!C47</f>
        <v>0.05</v>
      </c>
      <c r="G45" s="119">
        <f>+F45*H40</f>
        <v>373.11180155256034</v>
      </c>
      <c r="H45" s="80"/>
    </row>
    <row r="46" spans="1:8" ht="15.75" thickBot="1">
      <c r="A46" s="61"/>
      <c r="B46" s="61"/>
      <c r="C46" s="61"/>
      <c r="D46" s="61"/>
      <c r="E46" s="61"/>
      <c r="F46" s="61"/>
      <c r="G46" s="81" t="s">
        <v>491</v>
      </c>
      <c r="H46" s="120">
        <f>SUM(G43:G45)</f>
        <v>1865.5590077628017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9328</v>
      </c>
    </row>
  </sheetData>
  <mergeCells count="1">
    <mergeCell ref="A3:C4"/>
  </mergeCells>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9"/>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1077</v>
      </c>
      <c r="B7" s="62"/>
      <c r="C7" s="61"/>
      <c r="D7" s="16"/>
      <c r="E7" s="62"/>
      <c r="F7" s="16"/>
      <c r="G7" s="62" t="s">
        <v>1172</v>
      </c>
      <c r="H7" s="61"/>
    </row>
    <row r="8" spans="1:8">
      <c r="A8" s="60" t="s">
        <v>1715</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176"/>
      <c r="C12" s="174"/>
      <c r="D12" s="174"/>
      <c r="E12" s="173"/>
      <c r="F12" s="69"/>
      <c r="G12" s="173">
        <f>H39*10%</f>
        <v>479.6694318181971</v>
      </c>
      <c r="H12" s="72"/>
    </row>
    <row r="13" spans="1:8">
      <c r="A13" s="344"/>
      <c r="B13" s="345"/>
      <c r="C13" s="346"/>
      <c r="D13" s="73"/>
      <c r="E13" s="74"/>
      <c r="F13" s="69"/>
      <c r="G13" s="71"/>
      <c r="H13" s="72"/>
    </row>
    <row r="14" spans="1:8">
      <c r="A14" s="344"/>
      <c r="B14" s="345"/>
      <c r="C14" s="346"/>
      <c r="D14" s="73"/>
      <c r="E14" s="74"/>
      <c r="F14" s="69"/>
      <c r="G14" s="71"/>
      <c r="H14" s="72"/>
    </row>
    <row r="15" spans="1:8">
      <c r="A15" s="344"/>
      <c r="B15" s="345"/>
      <c r="C15" s="346"/>
      <c r="D15" s="73"/>
      <c r="E15" s="74"/>
      <c r="F15" s="69"/>
      <c r="G15" s="71"/>
      <c r="H15" s="72"/>
    </row>
    <row r="16" spans="1:8" ht="15.75" thickBot="1">
      <c r="A16" s="347"/>
      <c r="B16" s="348"/>
      <c r="C16" s="349"/>
      <c r="D16" s="76"/>
      <c r="E16" s="77"/>
      <c r="F16" s="78"/>
      <c r="G16" s="79"/>
      <c r="H16" s="80"/>
    </row>
    <row r="17" spans="1:8" ht="15.75" thickBot="1">
      <c r="A17" s="61"/>
      <c r="B17" s="61"/>
      <c r="C17" s="61"/>
      <c r="D17" s="61"/>
      <c r="E17" s="61"/>
      <c r="F17" s="61"/>
      <c r="G17" s="81" t="s">
        <v>491</v>
      </c>
      <c r="H17" s="82">
        <f>SUM(G12:G16)</f>
        <v>479.6694318181971</v>
      </c>
    </row>
    <row r="18" spans="1:8" ht="15.75" thickBot="1">
      <c r="A18" s="63" t="s">
        <v>492</v>
      </c>
      <c r="B18" s="63"/>
      <c r="C18" s="61"/>
      <c r="D18" s="61"/>
      <c r="E18" s="61"/>
      <c r="F18" s="61"/>
      <c r="G18" s="61"/>
      <c r="H18" s="61"/>
    </row>
    <row r="19" spans="1:8">
      <c r="A19" s="676" t="s">
        <v>485</v>
      </c>
      <c r="B19" s="677"/>
      <c r="C19" s="678"/>
      <c r="D19" s="678" t="s">
        <v>493</v>
      </c>
      <c r="E19" s="678" t="s">
        <v>494</v>
      </c>
      <c r="F19" s="678" t="s">
        <v>495</v>
      </c>
      <c r="G19" s="452" t="s">
        <v>489</v>
      </c>
      <c r="H19" s="684"/>
    </row>
    <row r="20" spans="1:8">
      <c r="A20" s="83" t="s">
        <v>1170</v>
      </c>
      <c r="B20" s="84"/>
      <c r="C20" s="85"/>
      <c r="D20" s="141" t="s">
        <v>61</v>
      </c>
      <c r="E20" s="139">
        <f>+MATERIALES!D161</f>
        <v>30000</v>
      </c>
      <c r="F20" s="163">
        <v>1</v>
      </c>
      <c r="G20" s="685">
        <f t="shared" ref="G20:G25" si="0">+E20*F20</f>
        <v>30000</v>
      </c>
      <c r="H20" s="59"/>
    </row>
    <row r="21" spans="1:8">
      <c r="A21" s="83" t="s">
        <v>1709</v>
      </c>
      <c r="B21" s="84"/>
      <c r="C21" s="85"/>
      <c r="D21" s="73" t="s">
        <v>61</v>
      </c>
      <c r="E21" s="142">
        <f>MATERIALES!D53</f>
        <v>31988.933333333331</v>
      </c>
      <c r="F21" s="69">
        <v>8.0000000000000002E-3</v>
      </c>
      <c r="G21" s="105">
        <f t="shared" si="0"/>
        <v>255.91146666666666</v>
      </c>
      <c r="H21" s="59"/>
    </row>
    <row r="22" spans="1:8">
      <c r="A22" s="83" t="s">
        <v>1158</v>
      </c>
      <c r="B22" s="84"/>
      <c r="C22" s="85"/>
      <c r="D22" s="68" t="s">
        <v>61</v>
      </c>
      <c r="E22" s="86">
        <f>MATERIALES!D42</f>
        <v>24299.293333333335</v>
      </c>
      <c r="F22" s="69">
        <v>8.0000000000000002E-3</v>
      </c>
      <c r="G22" s="105">
        <f t="shared" si="0"/>
        <v>194.39434666666668</v>
      </c>
      <c r="H22" s="59"/>
    </row>
    <row r="23" spans="1:8">
      <c r="A23" s="83" t="s">
        <v>1710</v>
      </c>
      <c r="B23" s="84"/>
      <c r="C23" s="85"/>
      <c r="D23" s="68" t="s">
        <v>61</v>
      </c>
      <c r="E23" s="86">
        <f>MATERIALES!D26</f>
        <v>802.33333333333337</v>
      </c>
      <c r="F23" s="69">
        <v>0.2</v>
      </c>
      <c r="G23" s="105">
        <f t="shared" si="0"/>
        <v>160.4666666666667</v>
      </c>
      <c r="H23" s="59"/>
    </row>
    <row r="24" spans="1:8">
      <c r="A24" s="83" t="s">
        <v>1716</v>
      </c>
      <c r="B24" s="84"/>
      <c r="C24" s="85"/>
      <c r="D24" s="68" t="s">
        <v>61</v>
      </c>
      <c r="E24" s="86">
        <f>MATERIALES!D215</f>
        <v>3510.16</v>
      </c>
      <c r="F24" s="69">
        <v>2</v>
      </c>
      <c r="G24" s="105">
        <f t="shared" si="0"/>
        <v>7020.32</v>
      </c>
      <c r="H24" s="59"/>
    </row>
    <row r="25" spans="1:8" ht="15.75" thickBot="1">
      <c r="A25" s="100" t="s">
        <v>1717</v>
      </c>
      <c r="B25" s="106"/>
      <c r="C25" s="101"/>
      <c r="D25" s="76" t="s">
        <v>61</v>
      </c>
      <c r="E25" s="77">
        <f>MATERIALES!D92</f>
        <v>435</v>
      </c>
      <c r="F25" s="78">
        <v>2</v>
      </c>
      <c r="G25" s="105">
        <f t="shared" si="0"/>
        <v>870</v>
      </c>
      <c r="H25" s="451"/>
    </row>
    <row r="26" spans="1:8" ht="15.75" thickBot="1">
      <c r="A26" s="61"/>
      <c r="B26" s="61"/>
      <c r="C26" s="61"/>
      <c r="D26" s="61"/>
      <c r="E26" s="61"/>
      <c r="F26" s="61"/>
      <c r="G26" s="81" t="s">
        <v>491</v>
      </c>
      <c r="H26" s="120">
        <f>SUM(G20:G25)</f>
        <v>38501.092480000007</v>
      </c>
    </row>
    <row r="27" spans="1:8" ht="15.75" thickBot="1">
      <c r="A27" s="92" t="s">
        <v>496</v>
      </c>
      <c r="B27" s="92"/>
      <c r="C27" s="90"/>
      <c r="D27" s="61"/>
      <c r="E27" s="61"/>
      <c r="F27" s="61"/>
      <c r="G27" s="61"/>
      <c r="H27" s="61"/>
    </row>
    <row r="28" spans="1:8">
      <c r="A28" s="338" t="s">
        <v>497</v>
      </c>
      <c r="B28" s="340"/>
      <c r="C28" s="93" t="s">
        <v>498</v>
      </c>
      <c r="D28" s="340" t="s">
        <v>499</v>
      </c>
      <c r="E28" s="340" t="s">
        <v>500</v>
      </c>
      <c r="F28" s="340" t="s">
        <v>501</v>
      </c>
      <c r="G28" s="94" t="s">
        <v>489</v>
      </c>
      <c r="H28" s="67"/>
    </row>
    <row r="29" spans="1:8">
      <c r="A29" s="83"/>
      <c r="B29" s="84"/>
      <c r="C29" s="95"/>
      <c r="D29" s="96"/>
      <c r="E29" s="96"/>
      <c r="F29" s="97"/>
      <c r="G29" s="97"/>
      <c r="H29" s="72"/>
    </row>
    <row r="30" spans="1:8">
      <c r="A30" s="83"/>
      <c r="B30" s="84"/>
      <c r="C30" s="98"/>
      <c r="D30" s="68"/>
      <c r="E30" s="96"/>
      <c r="F30" s="97"/>
      <c r="G30" s="97"/>
      <c r="H30" s="72"/>
    </row>
    <row r="31" spans="1:8" ht="15.75" thickBot="1">
      <c r="A31" s="100"/>
      <c r="B31" s="101"/>
      <c r="C31" s="76"/>
      <c r="D31" s="76"/>
      <c r="E31" s="211"/>
      <c r="F31" s="212"/>
      <c r="G31" s="76"/>
      <c r="H31" s="72"/>
    </row>
    <row r="32" spans="1:8" ht="15.75" thickBot="1">
      <c r="A32" s="61"/>
      <c r="B32" s="61"/>
      <c r="C32" s="61"/>
      <c r="D32" s="61"/>
      <c r="E32" s="61"/>
      <c r="F32" s="61"/>
      <c r="G32" s="81" t="s">
        <v>491</v>
      </c>
      <c r="H32" s="82">
        <f>SUM(G29:G31)</f>
        <v>0</v>
      </c>
    </row>
    <row r="33" spans="1:8" ht="15.75" thickBot="1">
      <c r="A33" s="92" t="s">
        <v>502</v>
      </c>
      <c r="B33" s="92"/>
      <c r="C33" s="61"/>
      <c r="D33" s="61"/>
      <c r="E33" s="61"/>
      <c r="F33" s="61"/>
      <c r="G33" s="61"/>
      <c r="H33" s="61"/>
    </row>
    <row r="34" spans="1:8">
      <c r="A34" s="338" t="s">
        <v>503</v>
      </c>
      <c r="B34" s="340"/>
      <c r="C34" s="340" t="s">
        <v>504</v>
      </c>
      <c r="D34" s="340" t="s">
        <v>505</v>
      </c>
      <c r="E34" s="124" t="s">
        <v>506</v>
      </c>
      <c r="F34" s="102" t="s">
        <v>488</v>
      </c>
      <c r="G34" s="339" t="s">
        <v>489</v>
      </c>
      <c r="H34" s="67"/>
    </row>
    <row r="35" spans="1:8">
      <c r="A35" s="83" t="s">
        <v>624</v>
      </c>
      <c r="B35" s="84"/>
      <c r="C35" s="103">
        <f>+SALARIOS!C50</f>
        <v>41660</v>
      </c>
      <c r="D35" s="104">
        <f>+SALARIOS!C48</f>
        <v>1.7846558312967005</v>
      </c>
      <c r="E35" s="69">
        <f>+C35*D35</f>
        <v>74348.76193182054</v>
      </c>
      <c r="F35" s="69">
        <v>15.5</v>
      </c>
      <c r="G35" s="105">
        <f>+E35/F35</f>
        <v>4796.6943181819706</v>
      </c>
      <c r="H35" s="72"/>
    </row>
    <row r="36" spans="1:8">
      <c r="A36" s="83"/>
      <c r="B36" s="84"/>
      <c r="C36" s="103"/>
      <c r="D36" s="334"/>
      <c r="E36" s="69"/>
      <c r="F36" s="69"/>
      <c r="G36" s="105"/>
      <c r="H36" s="72"/>
    </row>
    <row r="37" spans="1:8">
      <c r="A37" s="83"/>
      <c r="B37" s="84"/>
      <c r="C37" s="103"/>
      <c r="D37" s="104"/>
      <c r="E37" s="69"/>
      <c r="F37" s="69"/>
      <c r="G37" s="105"/>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4796.6943181819706</v>
      </c>
    </row>
    <row r="40" spans="1:8" ht="15.75" thickBot="1">
      <c r="A40" s="61"/>
      <c r="B40" s="61"/>
      <c r="C40" s="61"/>
      <c r="D40" s="61"/>
      <c r="E40" s="61"/>
      <c r="F40" s="61"/>
      <c r="G40" s="107"/>
      <c r="H40" s="58"/>
    </row>
    <row r="41" spans="1:8" ht="15.75" thickBot="1">
      <c r="A41" s="61"/>
      <c r="B41" s="61"/>
      <c r="C41" s="61"/>
      <c r="D41" s="61"/>
      <c r="E41" s="81" t="s">
        <v>508</v>
      </c>
      <c r="F41" s="107"/>
      <c r="G41" s="107"/>
      <c r="H41" s="82">
        <f>H17+H26+H32+H39</f>
        <v>43777.456230000178</v>
      </c>
    </row>
    <row r="42" spans="1:8" ht="15.75" thickBot="1">
      <c r="A42" s="63" t="s">
        <v>509</v>
      </c>
      <c r="B42" s="63"/>
      <c r="C42" s="61"/>
      <c r="D42" s="61"/>
      <c r="E42" s="61"/>
      <c r="F42" s="61"/>
      <c r="G42" s="61"/>
      <c r="H42" s="61"/>
    </row>
    <row r="43" spans="1:8">
      <c r="A43" s="233" t="s">
        <v>485</v>
      </c>
      <c r="B43" s="351"/>
      <c r="C43" s="351"/>
      <c r="D43" s="351"/>
      <c r="E43" s="352"/>
      <c r="F43" s="352" t="s">
        <v>510</v>
      </c>
      <c r="G43" s="351" t="s">
        <v>511</v>
      </c>
      <c r="H43" s="67"/>
    </row>
    <row r="44" spans="1:8">
      <c r="A44" s="83" t="s">
        <v>512</v>
      </c>
      <c r="B44" s="84"/>
      <c r="C44" s="84"/>
      <c r="D44" s="84"/>
      <c r="E44" s="85"/>
      <c r="F44" s="115">
        <f>+SALARIOS!C45</f>
        <v>0.15</v>
      </c>
      <c r="G44" s="116">
        <f>++F44*H41</f>
        <v>6566.6184345000265</v>
      </c>
      <c r="H44" s="117"/>
    </row>
    <row r="45" spans="1:8">
      <c r="A45" s="83" t="s">
        <v>513</v>
      </c>
      <c r="B45" s="84"/>
      <c r="C45" s="84"/>
      <c r="D45" s="84"/>
      <c r="E45" s="85"/>
      <c r="F45" s="115">
        <f>+SALARIOS!C46</f>
        <v>0.05</v>
      </c>
      <c r="G45" s="116">
        <f>+F45*H41</f>
        <v>2188.872811500009</v>
      </c>
      <c r="H45" s="117"/>
    </row>
    <row r="46" spans="1:8" ht="15.75" thickBot="1">
      <c r="A46" s="89" t="s">
        <v>514</v>
      </c>
      <c r="B46" s="90"/>
      <c r="C46" s="90"/>
      <c r="D46" s="90"/>
      <c r="E46" s="91"/>
      <c r="F46" s="118">
        <f>+SALARIOS!C47</f>
        <v>0.05</v>
      </c>
      <c r="G46" s="119">
        <f>+F46*H41</f>
        <v>2188.872811500009</v>
      </c>
      <c r="H46" s="80"/>
    </row>
    <row r="47" spans="1:8" ht="15.75" thickBot="1">
      <c r="A47" s="61"/>
      <c r="B47" s="61"/>
      <c r="C47" s="61"/>
      <c r="D47" s="61"/>
      <c r="E47" s="61"/>
      <c r="F47" s="61"/>
      <c r="G47" s="81" t="s">
        <v>491</v>
      </c>
      <c r="H47" s="120">
        <f>SUM(G44:G46)</f>
        <v>10944.364057500045</v>
      </c>
    </row>
    <row r="48" spans="1:8" ht="15.75" thickBot="1">
      <c r="A48" s="61"/>
      <c r="B48" s="61"/>
      <c r="C48" s="61"/>
      <c r="D48" s="61"/>
      <c r="E48" s="61"/>
      <c r="F48" s="61"/>
      <c r="G48" s="61"/>
      <c r="H48" s="61"/>
    </row>
    <row r="49" spans="1:8" ht="15.75" thickBot="1">
      <c r="A49" s="16"/>
      <c r="B49" s="16"/>
      <c r="C49" s="61"/>
      <c r="D49" s="81" t="s">
        <v>515</v>
      </c>
      <c r="E49" s="107"/>
      <c r="F49" s="107"/>
      <c r="G49" s="107"/>
      <c r="H49" s="82">
        <f>ROUND((H41+H47),0)</f>
        <v>54722</v>
      </c>
    </row>
  </sheetData>
  <mergeCells count="1">
    <mergeCell ref="A3:C4"/>
  </mergeCell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9"/>
  <sheetViews>
    <sheetView workbookViewId="0">
      <selection activeCell="G8" sqref="G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35" t="s">
        <v>520</v>
      </c>
      <c r="B5" s="336"/>
      <c r="C5" s="337"/>
      <c r="D5" s="341"/>
      <c r="E5" s="342"/>
      <c r="F5" s="342"/>
      <c r="G5" s="342"/>
      <c r="H5" s="343"/>
    </row>
    <row r="6" spans="1:8">
      <c r="A6" s="60"/>
      <c r="B6" s="61"/>
      <c r="C6" s="61"/>
      <c r="D6" s="61"/>
      <c r="E6" s="61"/>
      <c r="F6" s="61"/>
      <c r="G6" s="61"/>
      <c r="H6" s="61"/>
    </row>
    <row r="7" spans="1:8">
      <c r="A7" s="60" t="s">
        <v>1077</v>
      </c>
      <c r="B7" s="62"/>
      <c r="C7" s="61"/>
      <c r="D7" s="16"/>
      <c r="E7" s="62"/>
      <c r="F7" s="16"/>
      <c r="G7" s="62" t="s">
        <v>1176</v>
      </c>
      <c r="H7" s="61"/>
    </row>
    <row r="8" spans="1:8">
      <c r="A8" s="60" t="s">
        <v>1168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38" t="s">
        <v>485</v>
      </c>
      <c r="B11" s="339"/>
      <c r="C11" s="340"/>
      <c r="D11" s="340" t="s">
        <v>486</v>
      </c>
      <c r="E11" s="65" t="s">
        <v>487</v>
      </c>
      <c r="F11" s="340" t="s">
        <v>488</v>
      </c>
      <c r="G11" s="339" t="s">
        <v>489</v>
      </c>
      <c r="H11" s="67"/>
    </row>
    <row r="12" spans="1:8">
      <c r="A12" s="175" t="s">
        <v>1327</v>
      </c>
      <c r="B12" s="176"/>
      <c r="C12" s="174"/>
      <c r="D12" s="174"/>
      <c r="E12" s="173"/>
      <c r="F12" s="69"/>
      <c r="G12" s="173">
        <f>H39*10%</f>
        <v>743.48761931820536</v>
      </c>
      <c r="H12" s="72"/>
    </row>
    <row r="13" spans="1:8">
      <c r="A13" s="344"/>
      <c r="B13" s="345"/>
      <c r="C13" s="346"/>
      <c r="D13" s="73"/>
      <c r="E13" s="74"/>
      <c r="F13" s="69"/>
      <c r="G13" s="71"/>
      <c r="H13" s="72"/>
    </row>
    <row r="14" spans="1:8">
      <c r="A14" s="344"/>
      <c r="B14" s="345"/>
      <c r="C14" s="346"/>
      <c r="D14" s="73"/>
      <c r="E14" s="74"/>
      <c r="F14" s="69"/>
      <c r="G14" s="71"/>
      <c r="H14" s="72"/>
    </row>
    <row r="15" spans="1:8">
      <c r="A15" s="344"/>
      <c r="B15" s="345"/>
      <c r="C15" s="346"/>
      <c r="D15" s="73"/>
      <c r="E15" s="74"/>
      <c r="F15" s="69"/>
      <c r="G15" s="71"/>
      <c r="H15" s="72"/>
    </row>
    <row r="16" spans="1:8" ht="15.75" thickBot="1">
      <c r="A16" s="347"/>
      <c r="B16" s="348"/>
      <c r="C16" s="349"/>
      <c r="D16" s="76"/>
      <c r="E16" s="77"/>
      <c r="F16" s="78"/>
      <c r="G16" s="79"/>
      <c r="H16" s="80"/>
    </row>
    <row r="17" spans="1:8" ht="15.75" thickBot="1">
      <c r="A17" s="61"/>
      <c r="B17" s="61"/>
      <c r="C17" s="61"/>
      <c r="D17" s="61"/>
      <c r="E17" s="61"/>
      <c r="F17" s="61"/>
      <c r="G17" s="81" t="s">
        <v>491</v>
      </c>
      <c r="H17" s="82">
        <f>SUM(G12:G16)</f>
        <v>743.48761931820536</v>
      </c>
    </row>
    <row r="18" spans="1:8" ht="15.75" thickBot="1">
      <c r="A18" s="63" t="s">
        <v>492</v>
      </c>
      <c r="B18" s="63"/>
      <c r="C18" s="61"/>
      <c r="D18" s="61"/>
      <c r="E18" s="61"/>
      <c r="F18" s="61"/>
      <c r="G18" s="61"/>
      <c r="H18" s="61"/>
    </row>
    <row r="19" spans="1:8">
      <c r="A19" s="350" t="s">
        <v>485</v>
      </c>
      <c r="B19" s="351"/>
      <c r="C19" s="352"/>
      <c r="D19" s="352" t="s">
        <v>493</v>
      </c>
      <c r="E19" s="352" t="s">
        <v>494</v>
      </c>
      <c r="F19" s="352" t="s">
        <v>495</v>
      </c>
      <c r="G19" s="351" t="s">
        <v>489</v>
      </c>
      <c r="H19" s="67"/>
    </row>
    <row r="20" spans="1:8">
      <c r="A20" s="127" t="s">
        <v>1171</v>
      </c>
      <c r="B20" s="84"/>
      <c r="C20" s="85"/>
      <c r="D20" s="141" t="s">
        <v>61</v>
      </c>
      <c r="E20" s="139">
        <f>+MATERIALES!D162</f>
        <v>39300</v>
      </c>
      <c r="F20" s="163">
        <v>1</v>
      </c>
      <c r="G20" s="137">
        <f t="shared" ref="G20:G25" si="0">+E20*F20</f>
        <v>39300</v>
      </c>
      <c r="H20" s="59"/>
    </row>
    <row r="21" spans="1:8">
      <c r="A21" s="83" t="s">
        <v>1709</v>
      </c>
      <c r="B21" s="84"/>
      <c r="C21" s="85"/>
      <c r="D21" s="73" t="s">
        <v>61</v>
      </c>
      <c r="E21" s="142">
        <f>MATERIALES!D53</f>
        <v>31988.933333333331</v>
      </c>
      <c r="F21" s="69">
        <v>8.0000000000000002E-3</v>
      </c>
      <c r="G21" s="105">
        <f t="shared" si="0"/>
        <v>255.91146666666666</v>
      </c>
      <c r="H21" s="59"/>
    </row>
    <row r="22" spans="1:8">
      <c r="A22" s="83" t="s">
        <v>1158</v>
      </c>
      <c r="B22" s="84"/>
      <c r="C22" s="85"/>
      <c r="D22" s="68" t="s">
        <v>61</v>
      </c>
      <c r="E22" s="86">
        <f>MATERIALES!D42</f>
        <v>24299.293333333335</v>
      </c>
      <c r="F22" s="69">
        <v>8.0000000000000002E-3</v>
      </c>
      <c r="G22" s="105">
        <f t="shared" si="0"/>
        <v>194.39434666666668</v>
      </c>
      <c r="H22" s="59"/>
    </row>
    <row r="23" spans="1:8">
      <c r="A23" s="83" t="s">
        <v>1710</v>
      </c>
      <c r="B23" s="84"/>
      <c r="C23" s="85"/>
      <c r="D23" s="68" t="s">
        <v>61</v>
      </c>
      <c r="E23" s="86">
        <f>MATERIALES!D26</f>
        <v>802.33333333333337</v>
      </c>
      <c r="F23" s="69">
        <v>0.2</v>
      </c>
      <c r="G23" s="105">
        <f t="shared" si="0"/>
        <v>160.4666666666667</v>
      </c>
      <c r="H23" s="59"/>
    </row>
    <row r="24" spans="1:8">
      <c r="A24" s="83" t="s">
        <v>1719</v>
      </c>
      <c r="B24" s="84"/>
      <c r="C24" s="85"/>
      <c r="D24" s="68" t="s">
        <v>61</v>
      </c>
      <c r="E24" s="86">
        <f>MATERIALES!D216</f>
        <v>2700</v>
      </c>
      <c r="F24" s="69">
        <v>2</v>
      </c>
      <c r="G24" s="105">
        <f t="shared" si="0"/>
        <v>5400</v>
      </c>
      <c r="H24" s="59"/>
    </row>
    <row r="25" spans="1:8" ht="15.75" thickBot="1">
      <c r="A25" s="100" t="s">
        <v>1721</v>
      </c>
      <c r="B25" s="106"/>
      <c r="C25" s="101"/>
      <c r="D25" s="76" t="s">
        <v>61</v>
      </c>
      <c r="E25" s="77">
        <f>MATERIALES!D93</f>
        <v>788.4133333333333</v>
      </c>
      <c r="F25" s="78">
        <v>2</v>
      </c>
      <c r="G25" s="105">
        <f t="shared" si="0"/>
        <v>1576.8266666666666</v>
      </c>
      <c r="H25" s="59"/>
    </row>
    <row r="26" spans="1:8" ht="15.75" thickBot="1">
      <c r="A26" s="61"/>
      <c r="B26" s="61"/>
      <c r="C26" s="61"/>
      <c r="D26" s="61"/>
      <c r="E26" s="61"/>
      <c r="F26" s="61"/>
      <c r="G26" s="81" t="s">
        <v>491</v>
      </c>
      <c r="H26" s="82">
        <f>SUM(G20:G25)</f>
        <v>46887.599146666667</v>
      </c>
    </row>
    <row r="27" spans="1:8" ht="15.75" thickBot="1">
      <c r="A27" s="92" t="s">
        <v>496</v>
      </c>
      <c r="B27" s="92"/>
      <c r="C27" s="90"/>
      <c r="D27" s="61"/>
      <c r="E27" s="61"/>
      <c r="F27" s="61"/>
      <c r="G27" s="61"/>
      <c r="H27" s="61"/>
    </row>
    <row r="28" spans="1:8">
      <c r="A28" s="338" t="s">
        <v>497</v>
      </c>
      <c r="B28" s="340"/>
      <c r="C28" s="93" t="s">
        <v>498</v>
      </c>
      <c r="D28" s="340" t="s">
        <v>499</v>
      </c>
      <c r="E28" s="340" t="s">
        <v>500</v>
      </c>
      <c r="F28" s="340" t="s">
        <v>501</v>
      </c>
      <c r="G28" s="94" t="s">
        <v>489</v>
      </c>
      <c r="H28" s="67"/>
    </row>
    <row r="29" spans="1:8">
      <c r="A29" s="83"/>
      <c r="B29" s="84"/>
      <c r="C29" s="95"/>
      <c r="D29" s="96"/>
      <c r="E29" s="96"/>
      <c r="F29" s="97"/>
      <c r="G29" s="97"/>
      <c r="H29" s="72"/>
    </row>
    <row r="30" spans="1:8">
      <c r="A30" s="83"/>
      <c r="B30" s="84"/>
      <c r="C30" s="98"/>
      <c r="D30" s="68"/>
      <c r="E30" s="96"/>
      <c r="F30" s="97"/>
      <c r="G30" s="97"/>
      <c r="H30" s="72"/>
    </row>
    <row r="31" spans="1:8" ht="15.75" thickBot="1">
      <c r="A31" s="100"/>
      <c r="B31" s="101"/>
      <c r="C31" s="76"/>
      <c r="D31" s="76"/>
      <c r="E31" s="211"/>
      <c r="F31" s="212"/>
      <c r="G31" s="76"/>
      <c r="H31" s="72"/>
    </row>
    <row r="32" spans="1:8" ht="15.75" thickBot="1">
      <c r="A32" s="61"/>
      <c r="B32" s="61"/>
      <c r="C32" s="61"/>
      <c r="D32" s="61"/>
      <c r="E32" s="61"/>
      <c r="F32" s="61"/>
      <c r="G32" s="81" t="s">
        <v>491</v>
      </c>
      <c r="H32" s="82">
        <f>SUM(G29:G31)</f>
        <v>0</v>
      </c>
    </row>
    <row r="33" spans="1:8" ht="15.75" thickBot="1">
      <c r="A33" s="92" t="s">
        <v>502</v>
      </c>
      <c r="B33" s="92"/>
      <c r="C33" s="61"/>
      <c r="D33" s="61"/>
      <c r="E33" s="61"/>
      <c r="F33" s="61"/>
      <c r="G33" s="61"/>
      <c r="H33" s="61"/>
    </row>
    <row r="34" spans="1:8">
      <c r="A34" s="338" t="s">
        <v>503</v>
      </c>
      <c r="B34" s="340"/>
      <c r="C34" s="340" t="s">
        <v>504</v>
      </c>
      <c r="D34" s="340" t="s">
        <v>505</v>
      </c>
      <c r="E34" s="124" t="s">
        <v>506</v>
      </c>
      <c r="F34" s="102" t="s">
        <v>488</v>
      </c>
      <c r="G34" s="339" t="s">
        <v>489</v>
      </c>
      <c r="H34" s="67"/>
    </row>
    <row r="35" spans="1:8">
      <c r="A35" s="83" t="s">
        <v>624</v>
      </c>
      <c r="B35" s="84"/>
      <c r="C35" s="103">
        <f>+SALARIOS!C50</f>
        <v>41660</v>
      </c>
      <c r="D35" s="104">
        <f>+SALARIOS!C48</f>
        <v>1.7846558312967005</v>
      </c>
      <c r="E35" s="69">
        <f>+C35*D35</f>
        <v>74348.76193182054</v>
      </c>
      <c r="F35" s="69">
        <v>10</v>
      </c>
      <c r="G35" s="105">
        <f>+E35/F35</f>
        <v>7434.8761931820536</v>
      </c>
      <c r="H35" s="72"/>
    </row>
    <row r="36" spans="1:8">
      <c r="A36" s="83"/>
      <c r="B36" s="84"/>
      <c r="C36" s="103"/>
      <c r="D36" s="334"/>
      <c r="E36" s="69"/>
      <c r="F36" s="69"/>
      <c r="G36" s="105"/>
      <c r="H36" s="72"/>
    </row>
    <row r="37" spans="1:8">
      <c r="A37" s="83"/>
      <c r="B37" s="84"/>
      <c r="C37" s="103"/>
      <c r="D37" s="104"/>
      <c r="E37" s="69"/>
      <c r="F37" s="69"/>
      <c r="G37" s="105"/>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7434.8761931820536</v>
      </c>
    </row>
    <row r="40" spans="1:8" ht="15.75" thickBot="1">
      <c r="A40" s="61"/>
      <c r="B40" s="61"/>
      <c r="C40" s="61"/>
      <c r="D40" s="61"/>
      <c r="E40" s="61"/>
      <c r="F40" s="61"/>
      <c r="G40" s="107"/>
      <c r="H40" s="58"/>
    </row>
    <row r="41" spans="1:8" ht="15.75" thickBot="1">
      <c r="A41" s="61"/>
      <c r="B41" s="61"/>
      <c r="C41" s="61"/>
      <c r="D41" s="61"/>
      <c r="E41" s="81" t="s">
        <v>508</v>
      </c>
      <c r="F41" s="107"/>
      <c r="G41" s="107"/>
      <c r="H41" s="82">
        <f>H17+H26+H32+H39</f>
        <v>55065.962959166929</v>
      </c>
    </row>
    <row r="42" spans="1:8" ht="15.75" thickBot="1">
      <c r="A42" s="63" t="s">
        <v>509</v>
      </c>
      <c r="B42" s="63"/>
      <c r="C42" s="61"/>
      <c r="D42" s="61"/>
      <c r="E42" s="61"/>
      <c r="F42" s="61"/>
      <c r="G42" s="61"/>
      <c r="H42" s="61"/>
    </row>
    <row r="43" spans="1:8">
      <c r="A43" s="233" t="s">
        <v>485</v>
      </c>
      <c r="B43" s="351"/>
      <c r="C43" s="351"/>
      <c r="D43" s="351"/>
      <c r="E43" s="352"/>
      <c r="F43" s="352" t="s">
        <v>510</v>
      </c>
      <c r="G43" s="351" t="s">
        <v>511</v>
      </c>
      <c r="H43" s="67"/>
    </row>
    <row r="44" spans="1:8">
      <c r="A44" s="83" t="s">
        <v>512</v>
      </c>
      <c r="B44" s="84"/>
      <c r="C44" s="84"/>
      <c r="D44" s="84"/>
      <c r="E44" s="85"/>
      <c r="F44" s="115">
        <f>+SALARIOS!C45</f>
        <v>0.15</v>
      </c>
      <c r="G44" s="116">
        <f>++F44*H41</f>
        <v>8259.8944438750386</v>
      </c>
      <c r="H44" s="117"/>
    </row>
    <row r="45" spans="1:8">
      <c r="A45" s="83" t="s">
        <v>513</v>
      </c>
      <c r="B45" s="84"/>
      <c r="C45" s="84"/>
      <c r="D45" s="84"/>
      <c r="E45" s="85"/>
      <c r="F45" s="115">
        <f>+SALARIOS!C46</f>
        <v>0.05</v>
      </c>
      <c r="G45" s="116">
        <f>+F45*H41</f>
        <v>2753.2981479583468</v>
      </c>
      <c r="H45" s="117"/>
    </row>
    <row r="46" spans="1:8" ht="15.75" thickBot="1">
      <c r="A46" s="89" t="s">
        <v>514</v>
      </c>
      <c r="B46" s="90"/>
      <c r="C46" s="90"/>
      <c r="D46" s="90"/>
      <c r="E46" s="91"/>
      <c r="F46" s="118">
        <f>+SALARIOS!C47</f>
        <v>0.05</v>
      </c>
      <c r="G46" s="119">
        <f>+F46*H41</f>
        <v>2753.2981479583468</v>
      </c>
      <c r="H46" s="80"/>
    </row>
    <row r="47" spans="1:8" ht="15.75" thickBot="1">
      <c r="A47" s="61"/>
      <c r="B47" s="61"/>
      <c r="C47" s="61"/>
      <c r="D47" s="61"/>
      <c r="E47" s="61"/>
      <c r="F47" s="61"/>
      <c r="G47" s="81" t="s">
        <v>491</v>
      </c>
      <c r="H47" s="120">
        <f>SUM(G44:G46)</f>
        <v>13766.490739791732</v>
      </c>
    </row>
    <row r="48" spans="1:8" ht="15.75" thickBot="1">
      <c r="A48" s="61"/>
      <c r="B48" s="61"/>
      <c r="C48" s="61"/>
      <c r="D48" s="61"/>
      <c r="E48" s="61"/>
      <c r="F48" s="61"/>
      <c r="G48" s="61"/>
      <c r="H48" s="61"/>
    </row>
    <row r="49" spans="1:8" ht="15.75" thickBot="1">
      <c r="A49" s="16"/>
      <c r="B49" s="16"/>
      <c r="C49" s="61"/>
      <c r="D49" s="81" t="s">
        <v>515</v>
      </c>
      <c r="E49" s="107"/>
      <c r="F49" s="107"/>
      <c r="G49" s="107"/>
      <c r="H49" s="82">
        <f>ROUND((H41+H47),0)</f>
        <v>68832</v>
      </c>
    </row>
  </sheetData>
  <mergeCells count="1">
    <mergeCell ref="A3:C4"/>
  </mergeCell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9"/>
  <sheetViews>
    <sheetView workbookViewId="0">
      <selection activeCell="G8" sqref="G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1180</v>
      </c>
      <c r="H7" s="61"/>
    </row>
    <row r="8" spans="1:8">
      <c r="A8" s="60" t="s">
        <v>1173</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H39*10%</f>
        <v>743.48761931820536</v>
      </c>
      <c r="H12" s="72"/>
    </row>
    <row r="13" spans="1:8">
      <c r="A13" s="361"/>
      <c r="B13" s="362"/>
      <c r="C13" s="363"/>
      <c r="D13" s="73"/>
      <c r="E13" s="74"/>
      <c r="F13" s="69"/>
      <c r="G13" s="71"/>
      <c r="H13" s="72"/>
    </row>
    <row r="14" spans="1:8">
      <c r="A14" s="361"/>
      <c r="B14" s="362"/>
      <c r="C14" s="363"/>
      <c r="D14" s="73"/>
      <c r="E14" s="74"/>
      <c r="F14" s="69"/>
      <c r="G14" s="71"/>
      <c r="H14" s="72"/>
    </row>
    <row r="15" spans="1:8">
      <c r="A15" s="361"/>
      <c r="B15" s="362"/>
      <c r="C15" s="363"/>
      <c r="D15" s="73"/>
      <c r="E15" s="74"/>
      <c r="F15" s="69"/>
      <c r="G15" s="71"/>
      <c r="H15" s="72"/>
    </row>
    <row r="16" spans="1:8" ht="15.75" thickBot="1">
      <c r="A16" s="364"/>
      <c r="B16" s="365"/>
      <c r="C16" s="366"/>
      <c r="D16" s="76"/>
      <c r="E16" s="77"/>
      <c r="F16" s="78"/>
      <c r="G16" s="79"/>
      <c r="H16" s="80"/>
    </row>
    <row r="17" spans="1:8" ht="15.75" thickBot="1">
      <c r="A17" s="61"/>
      <c r="B17" s="61"/>
      <c r="C17" s="61"/>
      <c r="D17" s="61"/>
      <c r="E17" s="61"/>
      <c r="F17" s="61"/>
      <c r="G17" s="81" t="s">
        <v>491</v>
      </c>
      <c r="H17" s="82">
        <f>SUM(G12:G16)</f>
        <v>743.48761931820536</v>
      </c>
    </row>
    <row r="18" spans="1:8" ht="15.75" thickBot="1">
      <c r="A18" s="63" t="s">
        <v>492</v>
      </c>
      <c r="B18" s="63"/>
      <c r="C18" s="61"/>
      <c r="D18" s="61"/>
      <c r="E18" s="61"/>
      <c r="F18" s="61"/>
      <c r="G18" s="61"/>
      <c r="H18" s="61"/>
    </row>
    <row r="19" spans="1:8">
      <c r="A19" s="370" t="s">
        <v>485</v>
      </c>
      <c r="B19" s="371"/>
      <c r="C19" s="372"/>
      <c r="D19" s="372" t="s">
        <v>493</v>
      </c>
      <c r="E19" s="372" t="s">
        <v>494</v>
      </c>
      <c r="F19" s="372" t="s">
        <v>495</v>
      </c>
      <c r="G19" s="371" t="s">
        <v>489</v>
      </c>
      <c r="H19" s="67"/>
    </row>
    <row r="20" spans="1:8">
      <c r="A20" s="127" t="s">
        <v>1174</v>
      </c>
      <c r="B20" s="84"/>
      <c r="C20" s="85"/>
      <c r="D20" s="141" t="s">
        <v>61</v>
      </c>
      <c r="E20" s="139">
        <f>+MATERIALES!D163</f>
        <v>54900</v>
      </c>
      <c r="F20" s="163">
        <v>1</v>
      </c>
      <c r="G20" s="137">
        <f t="shared" ref="G20:G25" si="0">+E20*F20</f>
        <v>54900</v>
      </c>
      <c r="H20" s="59"/>
    </row>
    <row r="21" spans="1:8">
      <c r="A21" s="83" t="s">
        <v>1709</v>
      </c>
      <c r="B21" s="84"/>
      <c r="C21" s="85"/>
      <c r="D21" s="73" t="s">
        <v>61</v>
      </c>
      <c r="E21" s="142">
        <f>MATERIALES!D53</f>
        <v>31988.933333333331</v>
      </c>
      <c r="F21" s="69">
        <v>8.0000000000000002E-3</v>
      </c>
      <c r="G21" s="105">
        <f t="shared" si="0"/>
        <v>255.91146666666666</v>
      </c>
      <c r="H21" s="59"/>
    </row>
    <row r="22" spans="1:8">
      <c r="A22" s="83" t="s">
        <v>1158</v>
      </c>
      <c r="B22" s="84"/>
      <c r="C22" s="85"/>
      <c r="D22" s="68" t="s">
        <v>61</v>
      </c>
      <c r="E22" s="86">
        <f>MATERIALES!D42</f>
        <v>24299.293333333335</v>
      </c>
      <c r="F22" s="69">
        <v>8.0000000000000002E-3</v>
      </c>
      <c r="G22" s="105">
        <f t="shared" si="0"/>
        <v>194.39434666666668</v>
      </c>
      <c r="H22" s="59"/>
    </row>
    <row r="23" spans="1:8">
      <c r="A23" s="83" t="s">
        <v>1710</v>
      </c>
      <c r="B23" s="84"/>
      <c r="C23" s="85"/>
      <c r="D23" s="68" t="s">
        <v>61</v>
      </c>
      <c r="E23" s="86">
        <f>MATERIALES!D26</f>
        <v>802.33333333333337</v>
      </c>
      <c r="F23" s="69">
        <v>0.2</v>
      </c>
      <c r="G23" s="105">
        <f t="shared" si="0"/>
        <v>160.4666666666667</v>
      </c>
      <c r="H23" s="59"/>
    </row>
    <row r="24" spans="1:8">
      <c r="A24" s="83" t="s">
        <v>1723</v>
      </c>
      <c r="B24" s="84"/>
      <c r="C24" s="85"/>
      <c r="D24" s="68" t="s">
        <v>61</v>
      </c>
      <c r="E24" s="86">
        <f>MATERIALES!D217</f>
        <v>9407.2133333333331</v>
      </c>
      <c r="F24" s="69">
        <v>2</v>
      </c>
      <c r="G24" s="105">
        <f t="shared" si="0"/>
        <v>18814.426666666666</v>
      </c>
      <c r="H24" s="59"/>
    </row>
    <row r="25" spans="1:8" ht="15.75" thickBot="1">
      <c r="A25" s="100" t="s">
        <v>1724</v>
      </c>
      <c r="B25" s="106"/>
      <c r="C25" s="101"/>
      <c r="D25" s="76" t="s">
        <v>61</v>
      </c>
      <c r="E25" s="77">
        <f>MATERIALES!D94</f>
        <v>1648.7466666666667</v>
      </c>
      <c r="F25" s="78">
        <v>2</v>
      </c>
      <c r="G25" s="105">
        <f t="shared" si="0"/>
        <v>3297.4933333333333</v>
      </c>
      <c r="H25" s="59"/>
    </row>
    <row r="26" spans="1:8" ht="15.75" thickBot="1">
      <c r="A26" s="61"/>
      <c r="B26" s="61"/>
      <c r="C26" s="61"/>
      <c r="D26" s="61"/>
      <c r="E26" s="61"/>
      <c r="F26" s="61"/>
      <c r="G26" s="81" t="s">
        <v>491</v>
      </c>
      <c r="H26" s="82">
        <f>SUM(G20:G25)</f>
        <v>77622.692479999998</v>
      </c>
    </row>
    <row r="27" spans="1:8" ht="15.75" thickBot="1">
      <c r="A27" s="92" t="s">
        <v>496</v>
      </c>
      <c r="B27" s="92"/>
      <c r="C27" s="90"/>
      <c r="D27" s="61"/>
      <c r="E27" s="61"/>
      <c r="F27" s="61"/>
      <c r="G27" s="61"/>
      <c r="H27" s="61"/>
    </row>
    <row r="28" spans="1:8">
      <c r="A28" s="358" t="s">
        <v>497</v>
      </c>
      <c r="B28" s="360"/>
      <c r="C28" s="93" t="s">
        <v>498</v>
      </c>
      <c r="D28" s="360" t="s">
        <v>499</v>
      </c>
      <c r="E28" s="360" t="s">
        <v>500</v>
      </c>
      <c r="F28" s="360" t="s">
        <v>501</v>
      </c>
      <c r="G28" s="94" t="s">
        <v>489</v>
      </c>
      <c r="H28" s="67"/>
    </row>
    <row r="29" spans="1:8">
      <c r="A29" s="83"/>
      <c r="B29" s="84"/>
      <c r="C29" s="95"/>
      <c r="D29" s="96"/>
      <c r="E29" s="96"/>
      <c r="F29" s="97"/>
      <c r="G29" s="97"/>
      <c r="H29" s="72"/>
    </row>
    <row r="30" spans="1:8">
      <c r="A30" s="83"/>
      <c r="B30" s="84"/>
      <c r="C30" s="98"/>
      <c r="D30" s="68"/>
      <c r="E30" s="96"/>
      <c r="F30" s="97"/>
      <c r="G30" s="97"/>
      <c r="H30" s="72"/>
    </row>
    <row r="31" spans="1:8" ht="15.75" thickBot="1">
      <c r="A31" s="100"/>
      <c r="B31" s="101"/>
      <c r="C31" s="76"/>
      <c r="D31" s="76"/>
      <c r="E31" s="211"/>
      <c r="F31" s="212"/>
      <c r="G31" s="76"/>
      <c r="H31" s="72"/>
    </row>
    <row r="32" spans="1:8" ht="15.75" thickBot="1">
      <c r="A32" s="61"/>
      <c r="B32" s="61"/>
      <c r="C32" s="61"/>
      <c r="D32" s="61"/>
      <c r="E32" s="61"/>
      <c r="F32" s="61"/>
      <c r="G32" s="81" t="s">
        <v>491</v>
      </c>
      <c r="H32" s="82">
        <f>SUM(G29:G31)</f>
        <v>0</v>
      </c>
    </row>
    <row r="33" spans="1:8" ht="15.75" thickBot="1">
      <c r="A33" s="92" t="s">
        <v>502</v>
      </c>
      <c r="B33" s="92"/>
      <c r="C33" s="61"/>
      <c r="D33" s="61"/>
      <c r="E33" s="61"/>
      <c r="F33" s="61"/>
      <c r="G33" s="61"/>
      <c r="H33" s="61"/>
    </row>
    <row r="34" spans="1:8">
      <c r="A34" s="358" t="s">
        <v>503</v>
      </c>
      <c r="B34" s="360"/>
      <c r="C34" s="360" t="s">
        <v>504</v>
      </c>
      <c r="D34" s="360" t="s">
        <v>505</v>
      </c>
      <c r="E34" s="124" t="s">
        <v>506</v>
      </c>
      <c r="F34" s="102" t="s">
        <v>488</v>
      </c>
      <c r="G34" s="359" t="s">
        <v>489</v>
      </c>
      <c r="H34" s="67"/>
    </row>
    <row r="35" spans="1:8">
      <c r="A35" s="83" t="s">
        <v>624</v>
      </c>
      <c r="B35" s="84"/>
      <c r="C35" s="103">
        <f>+SALARIOS!C50</f>
        <v>41660</v>
      </c>
      <c r="D35" s="104">
        <f>+SALARIOS!C48</f>
        <v>1.7846558312967005</v>
      </c>
      <c r="E35" s="69">
        <f>+C35*D35</f>
        <v>74348.76193182054</v>
      </c>
      <c r="F35" s="69">
        <v>10</v>
      </c>
      <c r="G35" s="105">
        <f>+E35/F35</f>
        <v>7434.8761931820536</v>
      </c>
      <c r="H35" s="72"/>
    </row>
    <row r="36" spans="1:8">
      <c r="A36" s="83"/>
      <c r="B36" s="84"/>
      <c r="C36" s="103"/>
      <c r="D36" s="334"/>
      <c r="E36" s="69"/>
      <c r="F36" s="69"/>
      <c r="G36" s="105"/>
      <c r="H36" s="72"/>
    </row>
    <row r="37" spans="1:8">
      <c r="A37" s="83"/>
      <c r="B37" s="84"/>
      <c r="C37" s="103"/>
      <c r="D37" s="104"/>
      <c r="E37" s="69"/>
      <c r="F37" s="69"/>
      <c r="G37" s="105"/>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7434.8761931820536</v>
      </c>
    </row>
    <row r="40" spans="1:8" ht="15.75" thickBot="1">
      <c r="A40" s="61"/>
      <c r="B40" s="61"/>
      <c r="C40" s="61"/>
      <c r="D40" s="61"/>
      <c r="E40" s="61"/>
      <c r="F40" s="61"/>
      <c r="G40" s="107"/>
      <c r="H40" s="58"/>
    </row>
    <row r="41" spans="1:8" ht="15.75" thickBot="1">
      <c r="A41" s="61"/>
      <c r="B41" s="61"/>
      <c r="C41" s="61"/>
      <c r="D41" s="61"/>
      <c r="E41" s="81" t="s">
        <v>508</v>
      </c>
      <c r="F41" s="107"/>
      <c r="G41" s="107"/>
      <c r="H41" s="82">
        <f>H17+H26+H32+H39</f>
        <v>85801.056292500245</v>
      </c>
    </row>
    <row r="42" spans="1:8" ht="15.75" thickBot="1">
      <c r="A42" s="63" t="s">
        <v>509</v>
      </c>
      <c r="B42" s="63"/>
      <c r="C42" s="61"/>
      <c r="D42" s="61"/>
      <c r="E42" s="61"/>
      <c r="F42" s="61"/>
      <c r="G42" s="61"/>
      <c r="H42" s="61"/>
    </row>
    <row r="43" spans="1:8">
      <c r="A43" s="233" t="s">
        <v>485</v>
      </c>
      <c r="B43" s="371"/>
      <c r="C43" s="371"/>
      <c r="D43" s="371"/>
      <c r="E43" s="372"/>
      <c r="F43" s="372" t="s">
        <v>510</v>
      </c>
      <c r="G43" s="371" t="s">
        <v>511</v>
      </c>
      <c r="H43" s="67"/>
    </row>
    <row r="44" spans="1:8">
      <c r="A44" s="83" t="s">
        <v>512</v>
      </c>
      <c r="B44" s="84"/>
      <c r="C44" s="84"/>
      <c r="D44" s="84"/>
      <c r="E44" s="85"/>
      <c r="F44" s="115">
        <f>+SALARIOS!C45</f>
        <v>0.15</v>
      </c>
      <c r="G44" s="116">
        <f>++F44*H41</f>
        <v>12870.158443875036</v>
      </c>
      <c r="H44" s="117"/>
    </row>
    <row r="45" spans="1:8">
      <c r="A45" s="83" t="s">
        <v>513</v>
      </c>
      <c r="B45" s="84"/>
      <c r="C45" s="84"/>
      <c r="D45" s="84"/>
      <c r="E45" s="85"/>
      <c r="F45" s="115">
        <f>+SALARIOS!C46</f>
        <v>0.05</v>
      </c>
      <c r="G45" s="116">
        <f>+F45*H41</f>
        <v>4290.0528146250126</v>
      </c>
      <c r="H45" s="117"/>
    </row>
    <row r="46" spans="1:8" ht="15.75" thickBot="1">
      <c r="A46" s="89" t="s">
        <v>514</v>
      </c>
      <c r="B46" s="90"/>
      <c r="C46" s="90"/>
      <c r="D46" s="90"/>
      <c r="E46" s="91"/>
      <c r="F46" s="118">
        <f>+SALARIOS!C47</f>
        <v>0.05</v>
      </c>
      <c r="G46" s="119">
        <f>+F46*H41</f>
        <v>4290.0528146250126</v>
      </c>
      <c r="H46" s="80"/>
    </row>
    <row r="47" spans="1:8" ht="15.75" thickBot="1">
      <c r="A47" s="61"/>
      <c r="B47" s="61"/>
      <c r="C47" s="61"/>
      <c r="D47" s="61"/>
      <c r="E47" s="61"/>
      <c r="F47" s="61"/>
      <c r="G47" s="81" t="s">
        <v>491</v>
      </c>
      <c r="H47" s="120">
        <f>SUM(G44:G46)</f>
        <v>21450.264073125065</v>
      </c>
    </row>
    <row r="48" spans="1:8" ht="15.75" thickBot="1">
      <c r="A48" s="61"/>
      <c r="B48" s="61"/>
      <c r="C48" s="61"/>
      <c r="D48" s="61"/>
      <c r="E48" s="61"/>
      <c r="F48" s="61"/>
      <c r="G48" s="61"/>
      <c r="H48" s="61"/>
    </row>
    <row r="49" spans="1:8" ht="15.75" thickBot="1">
      <c r="A49" s="16"/>
      <c r="B49" s="16"/>
      <c r="C49" s="61"/>
      <c r="D49" s="81" t="s">
        <v>515</v>
      </c>
      <c r="E49" s="107"/>
      <c r="F49" s="107"/>
      <c r="G49" s="107"/>
      <c r="H49" s="82">
        <f>ROUND((H41+H47),0)</f>
        <v>107251</v>
      </c>
    </row>
  </sheetData>
  <mergeCells count="1">
    <mergeCell ref="A3:C4"/>
  </mergeCell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9"/>
  <sheetViews>
    <sheetView workbookViewId="0">
      <selection activeCell="G8" sqref="G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1184</v>
      </c>
      <c r="H7" s="61"/>
    </row>
    <row r="8" spans="1:8">
      <c r="A8" s="60" t="s">
        <v>1177</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H39*10%</f>
        <v>743.48761931820536</v>
      </c>
      <c r="H12" s="72"/>
    </row>
    <row r="13" spans="1:8">
      <c r="A13" s="361"/>
      <c r="B13" s="362"/>
      <c r="C13" s="363"/>
      <c r="D13" s="73"/>
      <c r="E13" s="74"/>
      <c r="F13" s="69"/>
      <c r="G13" s="71"/>
      <c r="H13" s="72"/>
    </row>
    <row r="14" spans="1:8">
      <c r="A14" s="361"/>
      <c r="B14" s="362"/>
      <c r="C14" s="363"/>
      <c r="D14" s="73"/>
      <c r="E14" s="74"/>
      <c r="F14" s="69"/>
      <c r="G14" s="71"/>
      <c r="H14" s="72"/>
    </row>
    <row r="15" spans="1:8">
      <c r="A15" s="361"/>
      <c r="B15" s="362"/>
      <c r="C15" s="363"/>
      <c r="D15" s="73"/>
      <c r="E15" s="74"/>
      <c r="F15" s="69"/>
      <c r="G15" s="71"/>
      <c r="H15" s="72"/>
    </row>
    <row r="16" spans="1:8" ht="15.75" thickBot="1">
      <c r="A16" s="364"/>
      <c r="B16" s="365"/>
      <c r="C16" s="366"/>
      <c r="D16" s="76"/>
      <c r="E16" s="77"/>
      <c r="F16" s="78"/>
      <c r="G16" s="79"/>
      <c r="H16" s="80"/>
    </row>
    <row r="17" spans="1:8" ht="15.75" thickBot="1">
      <c r="A17" s="61"/>
      <c r="B17" s="61"/>
      <c r="C17" s="61"/>
      <c r="D17" s="61"/>
      <c r="E17" s="61"/>
      <c r="F17" s="61"/>
      <c r="G17" s="81" t="s">
        <v>491</v>
      </c>
      <c r="H17" s="82">
        <f>SUM(G12:G16)</f>
        <v>743.48761931820536</v>
      </c>
    </row>
    <row r="18" spans="1:8" ht="15.75" thickBot="1">
      <c r="A18" s="63" t="s">
        <v>492</v>
      </c>
      <c r="B18" s="63"/>
      <c r="C18" s="61"/>
      <c r="D18" s="61"/>
      <c r="E18" s="61"/>
      <c r="F18" s="61"/>
      <c r="G18" s="61"/>
      <c r="H18" s="61"/>
    </row>
    <row r="19" spans="1:8">
      <c r="A19" s="370" t="s">
        <v>485</v>
      </c>
      <c r="B19" s="371"/>
      <c r="C19" s="372"/>
      <c r="D19" s="372" t="s">
        <v>493</v>
      </c>
      <c r="E19" s="372" t="s">
        <v>494</v>
      </c>
      <c r="F19" s="372" t="s">
        <v>495</v>
      </c>
      <c r="G19" s="371" t="s">
        <v>489</v>
      </c>
      <c r="H19" s="67"/>
    </row>
    <row r="20" spans="1:8">
      <c r="A20" s="127" t="s">
        <v>1178</v>
      </c>
      <c r="B20" s="84"/>
      <c r="C20" s="85"/>
      <c r="D20" s="141" t="s">
        <v>61</v>
      </c>
      <c r="E20" s="139">
        <f>+MATERIALES!D164</f>
        <v>162370</v>
      </c>
      <c r="F20" s="163">
        <v>1</v>
      </c>
      <c r="G20" s="137">
        <f t="shared" ref="G20:G25" si="0">+E20*F20</f>
        <v>162370</v>
      </c>
      <c r="H20" s="59"/>
    </row>
    <row r="21" spans="1:8">
      <c r="A21" s="83" t="s">
        <v>1709</v>
      </c>
      <c r="B21" s="84"/>
      <c r="C21" s="85"/>
      <c r="D21" s="73" t="s">
        <v>61</v>
      </c>
      <c r="E21" s="142">
        <f>MATERIALES!D53</f>
        <v>31988.933333333331</v>
      </c>
      <c r="F21" s="69">
        <v>8.0000000000000002E-3</v>
      </c>
      <c r="G21" s="105">
        <f t="shared" si="0"/>
        <v>255.91146666666666</v>
      </c>
      <c r="H21" s="59"/>
    </row>
    <row r="22" spans="1:8">
      <c r="A22" s="83" t="s">
        <v>1158</v>
      </c>
      <c r="B22" s="84"/>
      <c r="C22" s="85"/>
      <c r="D22" s="68" t="s">
        <v>61</v>
      </c>
      <c r="E22" s="86">
        <f>MATERIALES!D42</f>
        <v>24299.293333333335</v>
      </c>
      <c r="F22" s="69">
        <v>8.0000000000000002E-3</v>
      </c>
      <c r="G22" s="105">
        <f t="shared" si="0"/>
        <v>194.39434666666668</v>
      </c>
      <c r="H22" s="59"/>
    </row>
    <row r="23" spans="1:8">
      <c r="A23" s="83" t="s">
        <v>1710</v>
      </c>
      <c r="B23" s="84"/>
      <c r="C23" s="85"/>
      <c r="D23" s="68" t="s">
        <v>61</v>
      </c>
      <c r="E23" s="86">
        <f>MATERIALES!D26</f>
        <v>802.33333333333337</v>
      </c>
      <c r="F23" s="69">
        <v>0.2</v>
      </c>
      <c r="G23" s="105">
        <f t="shared" si="0"/>
        <v>160.4666666666667</v>
      </c>
      <c r="H23" s="59"/>
    </row>
    <row r="24" spans="1:8">
      <c r="A24" s="83" t="s">
        <v>1726</v>
      </c>
      <c r="B24" s="84"/>
      <c r="C24" s="85"/>
      <c r="D24" s="68" t="s">
        <v>61</v>
      </c>
      <c r="E24" s="86">
        <f>MATERIALES!D218</f>
        <v>6500</v>
      </c>
      <c r="F24" s="69">
        <v>2</v>
      </c>
      <c r="G24" s="105">
        <f t="shared" si="0"/>
        <v>13000</v>
      </c>
      <c r="H24" s="59"/>
    </row>
    <row r="25" spans="1:8" ht="15.75" thickBot="1">
      <c r="A25" s="100" t="s">
        <v>1727</v>
      </c>
      <c r="B25" s="106"/>
      <c r="C25" s="101"/>
      <c r="D25" s="76" t="s">
        <v>61</v>
      </c>
      <c r="E25" s="77">
        <f>MATERIALES!D95</f>
        <v>5804.6399999999994</v>
      </c>
      <c r="F25" s="78">
        <v>2</v>
      </c>
      <c r="G25" s="105">
        <f t="shared" si="0"/>
        <v>11609.279999999999</v>
      </c>
      <c r="H25" s="59"/>
    </row>
    <row r="26" spans="1:8" ht="15.75" thickBot="1">
      <c r="A26" s="61"/>
      <c r="B26" s="61"/>
      <c r="C26" s="61"/>
      <c r="D26" s="61"/>
      <c r="E26" s="61"/>
      <c r="F26" s="61"/>
      <c r="G26" s="81" t="s">
        <v>491</v>
      </c>
      <c r="H26" s="82">
        <f>SUM(G20:G25)</f>
        <v>187590.05248000001</v>
      </c>
    </row>
    <row r="27" spans="1:8" ht="15.75" thickBot="1">
      <c r="A27" s="92" t="s">
        <v>496</v>
      </c>
      <c r="B27" s="92"/>
      <c r="C27" s="90"/>
      <c r="D27" s="61"/>
      <c r="E27" s="61"/>
      <c r="F27" s="61"/>
      <c r="G27" s="61"/>
      <c r="H27" s="61"/>
    </row>
    <row r="28" spans="1:8">
      <c r="A28" s="358" t="s">
        <v>497</v>
      </c>
      <c r="B28" s="360"/>
      <c r="C28" s="93" t="s">
        <v>498</v>
      </c>
      <c r="D28" s="360" t="s">
        <v>499</v>
      </c>
      <c r="E28" s="360" t="s">
        <v>500</v>
      </c>
      <c r="F28" s="360" t="s">
        <v>501</v>
      </c>
      <c r="G28" s="94" t="s">
        <v>489</v>
      </c>
      <c r="H28" s="67"/>
    </row>
    <row r="29" spans="1:8">
      <c r="A29" s="83"/>
      <c r="B29" s="84"/>
      <c r="C29" s="95"/>
      <c r="D29" s="96"/>
      <c r="E29" s="96"/>
      <c r="F29" s="97"/>
      <c r="G29" s="97"/>
      <c r="H29" s="72"/>
    </row>
    <row r="30" spans="1:8">
      <c r="A30" s="83"/>
      <c r="B30" s="84"/>
      <c r="C30" s="98"/>
      <c r="D30" s="68"/>
      <c r="E30" s="96"/>
      <c r="F30" s="97"/>
      <c r="G30" s="97"/>
      <c r="H30" s="72"/>
    </row>
    <row r="31" spans="1:8" ht="15.75" thickBot="1">
      <c r="A31" s="100"/>
      <c r="B31" s="101"/>
      <c r="C31" s="76"/>
      <c r="D31" s="76"/>
      <c r="E31" s="211"/>
      <c r="F31" s="212"/>
      <c r="G31" s="76"/>
      <c r="H31" s="72"/>
    </row>
    <row r="32" spans="1:8" ht="15.75" thickBot="1">
      <c r="A32" s="61"/>
      <c r="B32" s="61"/>
      <c r="C32" s="61"/>
      <c r="D32" s="61"/>
      <c r="E32" s="61"/>
      <c r="F32" s="61"/>
      <c r="G32" s="81" t="s">
        <v>491</v>
      </c>
      <c r="H32" s="82">
        <f>SUM(G29:G31)</f>
        <v>0</v>
      </c>
    </row>
    <row r="33" spans="1:8" ht="15.75" thickBot="1">
      <c r="A33" s="92" t="s">
        <v>502</v>
      </c>
      <c r="B33" s="92"/>
      <c r="C33" s="61"/>
      <c r="D33" s="61"/>
      <c r="E33" s="61"/>
      <c r="F33" s="61"/>
      <c r="G33" s="61"/>
      <c r="H33" s="61"/>
    </row>
    <row r="34" spans="1:8">
      <c r="A34" s="358" t="s">
        <v>503</v>
      </c>
      <c r="B34" s="360"/>
      <c r="C34" s="360" t="s">
        <v>504</v>
      </c>
      <c r="D34" s="360" t="s">
        <v>505</v>
      </c>
      <c r="E34" s="124" t="s">
        <v>506</v>
      </c>
      <c r="F34" s="102" t="s">
        <v>488</v>
      </c>
      <c r="G34" s="359" t="s">
        <v>489</v>
      </c>
      <c r="H34" s="67"/>
    </row>
    <row r="35" spans="1:8">
      <c r="A35" s="83" t="s">
        <v>624</v>
      </c>
      <c r="B35" s="84"/>
      <c r="C35" s="103">
        <f>+SALARIOS!C50</f>
        <v>41660</v>
      </c>
      <c r="D35" s="104">
        <f>+SALARIOS!C48</f>
        <v>1.7846558312967005</v>
      </c>
      <c r="E35" s="69">
        <f>+C35*D35</f>
        <v>74348.76193182054</v>
      </c>
      <c r="F35" s="69">
        <v>10</v>
      </c>
      <c r="G35" s="105">
        <f>+E35/F35</f>
        <v>7434.8761931820536</v>
      </c>
      <c r="H35" s="72"/>
    </row>
    <row r="36" spans="1:8">
      <c r="A36" s="83"/>
      <c r="B36" s="84"/>
      <c r="C36" s="103"/>
      <c r="D36" s="334"/>
      <c r="E36" s="69"/>
      <c r="F36" s="69"/>
      <c r="G36" s="105"/>
      <c r="H36" s="72"/>
    </row>
    <row r="37" spans="1:8">
      <c r="A37" s="83"/>
      <c r="B37" s="84"/>
      <c r="C37" s="103"/>
      <c r="D37" s="104"/>
      <c r="E37" s="69"/>
      <c r="F37" s="69"/>
      <c r="G37" s="105"/>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7434.8761931820536</v>
      </c>
    </row>
    <row r="40" spans="1:8" ht="15.75" thickBot="1">
      <c r="A40" s="61"/>
      <c r="B40" s="61"/>
      <c r="C40" s="61"/>
      <c r="D40" s="61"/>
      <c r="E40" s="61"/>
      <c r="F40" s="61"/>
      <c r="G40" s="107"/>
      <c r="H40" s="58"/>
    </row>
    <row r="41" spans="1:8" ht="15.75" thickBot="1">
      <c r="A41" s="61"/>
      <c r="B41" s="61"/>
      <c r="C41" s="61"/>
      <c r="D41" s="61"/>
      <c r="E41" s="81" t="s">
        <v>508</v>
      </c>
      <c r="F41" s="107"/>
      <c r="G41" s="107"/>
      <c r="H41" s="82">
        <f>H17+H26+H32+H39</f>
        <v>195768.41629250027</v>
      </c>
    </row>
    <row r="42" spans="1:8" ht="15.75" thickBot="1">
      <c r="A42" s="63" t="s">
        <v>509</v>
      </c>
      <c r="B42" s="63"/>
      <c r="C42" s="61"/>
      <c r="D42" s="61"/>
      <c r="E42" s="61"/>
      <c r="F42" s="61"/>
      <c r="G42" s="61"/>
      <c r="H42" s="61"/>
    </row>
    <row r="43" spans="1:8">
      <c r="A43" s="233" t="s">
        <v>485</v>
      </c>
      <c r="B43" s="371"/>
      <c r="C43" s="371"/>
      <c r="D43" s="371"/>
      <c r="E43" s="372"/>
      <c r="F43" s="372" t="s">
        <v>510</v>
      </c>
      <c r="G43" s="371" t="s">
        <v>511</v>
      </c>
      <c r="H43" s="67"/>
    </row>
    <row r="44" spans="1:8">
      <c r="A44" s="83" t="s">
        <v>512</v>
      </c>
      <c r="B44" s="84"/>
      <c r="C44" s="84"/>
      <c r="D44" s="84"/>
      <c r="E44" s="85"/>
      <c r="F44" s="115">
        <f>+SALARIOS!C45</f>
        <v>0.15</v>
      </c>
      <c r="G44" s="116">
        <f>++F44*H41</f>
        <v>29365.262443875039</v>
      </c>
      <c r="H44" s="117"/>
    </row>
    <row r="45" spans="1:8">
      <c r="A45" s="83" t="s">
        <v>513</v>
      </c>
      <c r="B45" s="84"/>
      <c r="C45" s="84"/>
      <c r="D45" s="84"/>
      <c r="E45" s="85"/>
      <c r="F45" s="115">
        <f>+SALARIOS!C46</f>
        <v>0.05</v>
      </c>
      <c r="G45" s="116">
        <f>+F45*H41</f>
        <v>9788.4208146250148</v>
      </c>
      <c r="H45" s="117"/>
    </row>
    <row r="46" spans="1:8" ht="15.75" thickBot="1">
      <c r="A46" s="89" t="s">
        <v>514</v>
      </c>
      <c r="B46" s="90"/>
      <c r="C46" s="90"/>
      <c r="D46" s="90"/>
      <c r="E46" s="91"/>
      <c r="F46" s="118">
        <f>+SALARIOS!C47</f>
        <v>0.05</v>
      </c>
      <c r="G46" s="119">
        <f>+F46*H41</f>
        <v>9788.4208146250148</v>
      </c>
      <c r="H46" s="80"/>
    </row>
    <row r="47" spans="1:8" ht="15.75" thickBot="1">
      <c r="A47" s="61"/>
      <c r="B47" s="61"/>
      <c r="C47" s="61"/>
      <c r="D47" s="61"/>
      <c r="E47" s="61"/>
      <c r="F47" s="61"/>
      <c r="G47" s="81" t="s">
        <v>491</v>
      </c>
      <c r="H47" s="120">
        <f>SUM(G44:G46)</f>
        <v>48942.104073125069</v>
      </c>
    </row>
    <row r="48" spans="1:8" ht="15.75" thickBot="1">
      <c r="A48" s="61"/>
      <c r="B48" s="61"/>
      <c r="C48" s="61"/>
      <c r="D48" s="61"/>
      <c r="E48" s="61"/>
      <c r="F48" s="61"/>
      <c r="G48" s="61"/>
      <c r="H48" s="61"/>
    </row>
    <row r="49" spans="1:8" ht="15.75" thickBot="1">
      <c r="A49" s="16"/>
      <c r="B49" s="16"/>
      <c r="C49" s="61"/>
      <c r="D49" s="81" t="s">
        <v>515</v>
      </c>
      <c r="E49" s="107"/>
      <c r="F49" s="107"/>
      <c r="G49" s="107"/>
      <c r="H49" s="82">
        <f>ROUND((H41+H47),0)</f>
        <v>244711</v>
      </c>
    </row>
  </sheetData>
  <mergeCells count="1">
    <mergeCell ref="A3:C4"/>
  </mergeCells>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1188</v>
      </c>
      <c r="H7" s="61"/>
    </row>
    <row r="8" spans="1:8">
      <c r="A8" s="60" t="s">
        <v>1181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1199.8598084973976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1182</v>
      </c>
      <c r="B21" s="84"/>
      <c r="C21" s="85"/>
      <c r="D21" s="141"/>
      <c r="E21" s="139">
        <f>+MATERIALES!D165</f>
        <v>7759</v>
      </c>
      <c r="F21" s="163">
        <v>1</v>
      </c>
      <c r="G21" s="137">
        <f>+E21*F21</f>
        <v>7759</v>
      </c>
      <c r="H21" s="59"/>
    </row>
    <row r="22" spans="1:8">
      <c r="A22" s="127"/>
      <c r="B22" s="84"/>
      <c r="C22" s="85"/>
      <c r="D22" s="68"/>
      <c r="E22" s="142"/>
      <c r="F22" s="69"/>
      <c r="G22" s="69"/>
      <c r="H22" s="59"/>
    </row>
    <row r="23" spans="1:8">
      <c r="A23" s="128"/>
      <c r="B23" s="129"/>
      <c r="C23" s="130"/>
      <c r="D23" s="131"/>
      <c r="E23" s="132"/>
      <c r="F23" s="37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7759</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104">
        <f>+SALARIOS!C48</f>
        <v>1.7846558312967005</v>
      </c>
      <c r="E34" s="69">
        <f>+C34*D34</f>
        <v>74348.76193182054</v>
      </c>
      <c r="F34" s="69">
        <v>10</v>
      </c>
      <c r="G34" s="105">
        <f>+E34/F34</f>
        <v>7434.8761931820536</v>
      </c>
      <c r="H34" s="72"/>
    </row>
    <row r="35" spans="1:8">
      <c r="A35" s="83" t="s">
        <v>697</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20957.457893471372</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f>+SALARIOS!C45</f>
        <v>0.15</v>
      </c>
      <c r="G43" s="116">
        <f>++F43*H40</f>
        <v>3143.6186840207056</v>
      </c>
      <c r="H43" s="117"/>
    </row>
    <row r="44" spans="1:8">
      <c r="A44" s="83" t="s">
        <v>513</v>
      </c>
      <c r="B44" s="84"/>
      <c r="C44" s="84"/>
      <c r="D44" s="84"/>
      <c r="E44" s="85"/>
      <c r="F44" s="115">
        <f>+SALARIOS!C46</f>
        <v>0.05</v>
      </c>
      <c r="G44" s="116">
        <f>+F44*H40</f>
        <v>1047.8728946735687</v>
      </c>
      <c r="H44" s="117"/>
    </row>
    <row r="45" spans="1:8" ht="15.75" thickBot="1">
      <c r="A45" s="89" t="s">
        <v>514</v>
      </c>
      <c r="B45" s="90"/>
      <c r="C45" s="90"/>
      <c r="D45" s="90"/>
      <c r="E45" s="91"/>
      <c r="F45" s="118">
        <f>+SALARIOS!C47</f>
        <v>0.05</v>
      </c>
      <c r="G45" s="119">
        <f>+F45*H40</f>
        <v>1047.8728946735687</v>
      </c>
      <c r="H45" s="80"/>
    </row>
    <row r="46" spans="1:8" ht="15.75" thickBot="1">
      <c r="A46" s="61"/>
      <c r="B46" s="61"/>
      <c r="C46" s="61"/>
      <c r="D46" s="61"/>
      <c r="E46" s="61"/>
      <c r="F46" s="61"/>
      <c r="G46" s="81" t="s">
        <v>491</v>
      </c>
      <c r="H46" s="120">
        <f>SUM(G43:G45)</f>
        <v>5239.3644733678429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26197</v>
      </c>
    </row>
  </sheetData>
  <mergeCells count="1">
    <mergeCell ref="A3:C4"/>
  </mergeCells>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1189</v>
      </c>
      <c r="H7" s="61"/>
    </row>
    <row r="8" spans="1:8">
      <c r="A8" s="60" t="s">
        <v>1185</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1199.8598084973976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1186</v>
      </c>
      <c r="B21" s="84"/>
      <c r="C21" s="85"/>
      <c r="D21" s="141"/>
      <c r="E21" s="139">
        <f>+MATERIALES!D166</f>
        <v>7328</v>
      </c>
      <c r="F21" s="163">
        <v>1</v>
      </c>
      <c r="G21" s="137">
        <f>+E21*F21</f>
        <v>7328</v>
      </c>
      <c r="H21" s="59"/>
    </row>
    <row r="22" spans="1:8">
      <c r="A22" s="127"/>
      <c r="B22" s="84"/>
      <c r="C22" s="85"/>
      <c r="D22" s="68"/>
      <c r="E22" s="142"/>
      <c r="F22" s="69"/>
      <c r="G22" s="69"/>
      <c r="H22" s="59"/>
    </row>
    <row r="23" spans="1:8">
      <c r="A23" s="128"/>
      <c r="B23" s="129"/>
      <c r="C23" s="130"/>
      <c r="D23" s="131"/>
      <c r="E23" s="132"/>
      <c r="F23" s="37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7328</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104">
        <f>+SALARIOS!C48</f>
        <v>1.7846558312967005</v>
      </c>
      <c r="E34" s="69">
        <f>+C34*D34</f>
        <v>74348.76193182054</v>
      </c>
      <c r="F34" s="69">
        <v>10</v>
      </c>
      <c r="G34" s="105">
        <f>+E34/F34</f>
        <v>7434.8761931820536</v>
      </c>
      <c r="H34" s="72"/>
    </row>
    <row r="35" spans="1:8">
      <c r="A35" s="83" t="s">
        <v>697</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20526.457893471372</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f>+SALARIOS!C45</f>
        <v>0.15</v>
      </c>
      <c r="G43" s="116">
        <f>++F43*H40</f>
        <v>3078.9686840207055</v>
      </c>
      <c r="H43" s="117"/>
    </row>
    <row r="44" spans="1:8">
      <c r="A44" s="83" t="s">
        <v>513</v>
      </c>
      <c r="B44" s="84"/>
      <c r="C44" s="84"/>
      <c r="D44" s="84"/>
      <c r="E44" s="85"/>
      <c r="F44" s="115">
        <f>+SALARIOS!C46</f>
        <v>0.05</v>
      </c>
      <c r="G44" s="116">
        <f>+F44*H40</f>
        <v>1026.3228946735687</v>
      </c>
      <c r="H44" s="117"/>
    </row>
    <row r="45" spans="1:8" ht="15.75" thickBot="1">
      <c r="A45" s="89" t="s">
        <v>514</v>
      </c>
      <c r="B45" s="90"/>
      <c r="C45" s="90"/>
      <c r="D45" s="90"/>
      <c r="E45" s="91"/>
      <c r="F45" s="118">
        <f>+SALARIOS!C47</f>
        <v>0.05</v>
      </c>
      <c r="G45" s="119">
        <f>+F45*H40</f>
        <v>1026.3228946735687</v>
      </c>
      <c r="H45" s="80"/>
    </row>
    <row r="46" spans="1:8" ht="15.75" thickBot="1">
      <c r="A46" s="61"/>
      <c r="B46" s="61"/>
      <c r="C46" s="61"/>
      <c r="D46" s="61"/>
      <c r="E46" s="61"/>
      <c r="F46" s="61"/>
      <c r="G46" s="81" t="s">
        <v>491</v>
      </c>
      <c r="H46" s="120">
        <f>SUM(G43:G45)</f>
        <v>5131.6144733678429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25658</v>
      </c>
    </row>
  </sheetData>
  <mergeCells count="1">
    <mergeCell ref="A3:C4"/>
  </mergeCell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7"/>
  <sheetViews>
    <sheetView topLeftCell="A22" workbookViewId="0">
      <selection activeCell="F33" sqref="F3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1190</v>
      </c>
      <c r="H7" s="61"/>
    </row>
    <row r="8" spans="1:8">
      <c r="A8" s="60" t="s">
        <v>1731</v>
      </c>
      <c r="B8" s="62"/>
      <c r="C8" s="61"/>
      <c r="D8" s="62"/>
      <c r="E8" s="62"/>
      <c r="F8" s="62"/>
      <c r="G8" s="62"/>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H37*10%</f>
        <v>148.69752386364107</v>
      </c>
      <c r="H12" s="72"/>
    </row>
    <row r="13" spans="1:8">
      <c r="A13" s="361"/>
      <c r="B13" s="362"/>
      <c r="C13" s="363"/>
      <c r="D13" s="73"/>
      <c r="E13" s="74"/>
      <c r="F13" s="69"/>
      <c r="G13" s="71"/>
      <c r="H13" s="72"/>
    </row>
    <row r="14" spans="1:8">
      <c r="A14" s="361"/>
      <c r="B14" s="362"/>
      <c r="C14" s="363"/>
      <c r="D14" s="73"/>
      <c r="E14" s="74"/>
      <c r="F14" s="69"/>
      <c r="G14" s="71"/>
      <c r="H14" s="72"/>
    </row>
    <row r="15" spans="1:8">
      <c r="A15" s="361"/>
      <c r="B15" s="362"/>
      <c r="C15" s="363"/>
      <c r="D15" s="73"/>
      <c r="E15" s="74"/>
      <c r="F15" s="69"/>
      <c r="G15" s="71"/>
      <c r="H15" s="72"/>
    </row>
    <row r="16" spans="1:8" ht="15.75" thickBot="1">
      <c r="A16" s="364"/>
      <c r="B16" s="365"/>
      <c r="C16" s="366"/>
      <c r="D16" s="76"/>
      <c r="E16" s="77"/>
      <c r="F16" s="78"/>
      <c r="G16" s="79"/>
      <c r="H16" s="80"/>
    </row>
    <row r="17" spans="1:8" ht="15.75" thickBot="1">
      <c r="A17" s="61"/>
      <c r="B17" s="61"/>
      <c r="C17" s="61"/>
      <c r="D17" s="61"/>
      <c r="E17" s="61"/>
      <c r="F17" s="61"/>
      <c r="G17" s="81" t="s">
        <v>491</v>
      </c>
      <c r="H17" s="82">
        <f>SUM(G12:G16)</f>
        <v>148.69752386364107</v>
      </c>
    </row>
    <row r="18" spans="1:8" ht="15.75" thickBot="1">
      <c r="A18" s="63" t="s">
        <v>492</v>
      </c>
      <c r="B18" s="63"/>
      <c r="C18" s="61"/>
      <c r="D18" s="61"/>
      <c r="E18" s="61"/>
      <c r="F18" s="61"/>
      <c r="G18" s="61"/>
      <c r="H18" s="61"/>
    </row>
    <row r="19" spans="1:8">
      <c r="A19" s="370" t="s">
        <v>485</v>
      </c>
      <c r="B19" s="371"/>
      <c r="C19" s="372"/>
      <c r="D19" s="372" t="s">
        <v>493</v>
      </c>
      <c r="E19" s="372" t="s">
        <v>494</v>
      </c>
      <c r="F19" s="372" t="s">
        <v>495</v>
      </c>
      <c r="G19" s="371" t="s">
        <v>489</v>
      </c>
      <c r="H19" s="67"/>
    </row>
    <row r="20" spans="1:8">
      <c r="A20" s="127" t="s">
        <v>1425</v>
      </c>
      <c r="B20" s="84"/>
      <c r="C20" s="85"/>
      <c r="D20" s="141"/>
      <c r="E20" s="139">
        <f>+MATERIALES!D167</f>
        <v>3350.1444444444446</v>
      </c>
      <c r="F20" s="137">
        <v>1</v>
      </c>
      <c r="G20" s="137">
        <f>+E20*F20</f>
        <v>3350.1444444444446</v>
      </c>
      <c r="H20" s="59"/>
    </row>
    <row r="21" spans="1:8">
      <c r="A21" s="127"/>
      <c r="B21" s="84"/>
      <c r="C21" s="85"/>
      <c r="D21" s="68"/>
      <c r="E21" s="142"/>
      <c r="F21" s="69"/>
      <c r="G21" s="69"/>
      <c r="H21" s="59"/>
    </row>
    <row r="22" spans="1:8">
      <c r="A22" s="128"/>
      <c r="B22" s="129"/>
      <c r="C22" s="130"/>
      <c r="D22" s="131"/>
      <c r="E22" s="132"/>
      <c r="F22" s="375"/>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3350.1444444444446</v>
      </c>
    </row>
    <row r="25" spans="1:8" ht="15.75" thickBot="1">
      <c r="A25" s="92" t="s">
        <v>496</v>
      </c>
      <c r="B25" s="92"/>
      <c r="C25" s="90"/>
      <c r="D25" s="61"/>
      <c r="E25" s="61"/>
      <c r="F25" s="61"/>
      <c r="G25" s="61"/>
      <c r="H25" s="61"/>
    </row>
    <row r="26" spans="1:8">
      <c r="A26" s="358" t="s">
        <v>497</v>
      </c>
      <c r="B26" s="360"/>
      <c r="C26" s="93" t="s">
        <v>498</v>
      </c>
      <c r="D26" s="360" t="s">
        <v>499</v>
      </c>
      <c r="E26" s="360" t="s">
        <v>500</v>
      </c>
      <c r="F26" s="36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58" t="s">
        <v>503</v>
      </c>
      <c r="B32" s="360"/>
      <c r="C32" s="360" t="s">
        <v>504</v>
      </c>
      <c r="D32" s="360" t="s">
        <v>505</v>
      </c>
      <c r="E32" s="124" t="s">
        <v>506</v>
      </c>
      <c r="F32" s="102" t="s">
        <v>488</v>
      </c>
      <c r="G32" s="359" t="s">
        <v>489</v>
      </c>
      <c r="H32" s="67"/>
    </row>
    <row r="33" spans="1:8">
      <c r="A33" s="83" t="s">
        <v>624</v>
      </c>
      <c r="B33" s="84"/>
      <c r="C33" s="103">
        <f>+SALARIOS!C50</f>
        <v>41660</v>
      </c>
      <c r="D33" s="104">
        <f>+SALARIOS!C48</f>
        <v>1.7846558312967005</v>
      </c>
      <c r="E33" s="69">
        <f>+C33*D33</f>
        <v>74348.76193182054</v>
      </c>
      <c r="F33" s="69">
        <v>50</v>
      </c>
      <c r="G33" s="105">
        <f>+E33/F33</f>
        <v>1486.9752386364107</v>
      </c>
      <c r="H33" s="72"/>
    </row>
    <row r="34" spans="1:8">
      <c r="A34" s="83"/>
      <c r="B34" s="84"/>
      <c r="C34" s="103"/>
      <c r="D34" s="33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1486.9752386364107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4985.8172069444963</v>
      </c>
    </row>
    <row r="40" spans="1:8" ht="15.75" thickBot="1">
      <c r="A40" s="63" t="s">
        <v>509</v>
      </c>
      <c r="B40" s="63"/>
      <c r="C40" s="61"/>
      <c r="D40" s="61"/>
      <c r="E40" s="61"/>
      <c r="F40" s="61"/>
      <c r="G40" s="61"/>
      <c r="H40" s="61"/>
    </row>
    <row r="41" spans="1:8">
      <c r="A41" s="233" t="s">
        <v>485</v>
      </c>
      <c r="B41" s="371"/>
      <c r="C41" s="371"/>
      <c r="D41" s="371"/>
      <c r="E41" s="372"/>
      <c r="F41" s="372" t="s">
        <v>510</v>
      </c>
      <c r="G41" s="371" t="s">
        <v>511</v>
      </c>
      <c r="H41" s="67"/>
    </row>
    <row r="42" spans="1:8">
      <c r="A42" s="83" t="s">
        <v>512</v>
      </c>
      <c r="B42" s="84"/>
      <c r="C42" s="84"/>
      <c r="D42" s="84"/>
      <c r="E42" s="85"/>
      <c r="F42" s="115">
        <f>+SALARIOS!C45</f>
        <v>0.15</v>
      </c>
      <c r="G42" s="116">
        <f>++F42*H39</f>
        <v>747.87258104167438</v>
      </c>
      <c r="H42" s="117"/>
    </row>
    <row r="43" spans="1:8">
      <c r="A43" s="83" t="s">
        <v>513</v>
      </c>
      <c r="B43" s="84"/>
      <c r="C43" s="84"/>
      <c r="D43" s="84"/>
      <c r="E43" s="85"/>
      <c r="F43" s="115">
        <f>+SALARIOS!C46</f>
        <v>0.05</v>
      </c>
      <c r="G43" s="116">
        <f>+F43*H39</f>
        <v>249.29086034722482</v>
      </c>
      <c r="H43" s="117"/>
    </row>
    <row r="44" spans="1:8" ht="15.75" thickBot="1">
      <c r="A44" s="89" t="s">
        <v>514</v>
      </c>
      <c r="B44" s="90"/>
      <c r="C44" s="90"/>
      <c r="D44" s="90"/>
      <c r="E44" s="91"/>
      <c r="F44" s="118">
        <f>+SALARIOS!C47</f>
        <v>0.05</v>
      </c>
      <c r="G44" s="119">
        <f>+F44*H39</f>
        <v>249.29086034722482</v>
      </c>
      <c r="H44" s="80"/>
    </row>
    <row r="45" spans="1:8" ht="15.75" thickBot="1">
      <c r="A45" s="61"/>
      <c r="B45" s="61"/>
      <c r="C45" s="61"/>
      <c r="D45" s="61"/>
      <c r="E45" s="61"/>
      <c r="F45" s="61"/>
      <c r="G45" s="81" t="s">
        <v>491</v>
      </c>
      <c r="H45" s="120">
        <f>SUM(G42:G44)</f>
        <v>1246.4543017361241</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6232</v>
      </c>
    </row>
  </sheetData>
  <mergeCells count="1">
    <mergeCell ref="A3:C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25" workbookViewId="0">
      <selection activeCell="F34" sqref="F3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586</v>
      </c>
      <c r="B7" s="62"/>
      <c r="C7" s="61"/>
      <c r="D7" s="16"/>
      <c r="E7" s="62"/>
      <c r="F7" s="16"/>
      <c r="G7" s="62" t="s">
        <v>577</v>
      </c>
      <c r="H7" s="61"/>
    </row>
    <row r="8" spans="1:8">
      <c r="A8" s="60" t="s">
        <v>579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8" t="s">
        <v>486</v>
      </c>
      <c r="E11" s="65" t="s">
        <v>487</v>
      </c>
      <c r="F11" s="158" t="s">
        <v>488</v>
      </c>
      <c r="G11" s="157" t="s">
        <v>489</v>
      </c>
      <c r="H11" s="67"/>
    </row>
    <row r="12" spans="1:8">
      <c r="A12" s="1463" t="s">
        <v>1327</v>
      </c>
      <c r="B12" s="1464"/>
      <c r="C12" s="1465"/>
      <c r="D12" s="68"/>
      <c r="E12" s="86"/>
      <c r="F12" s="161"/>
      <c r="G12" s="71">
        <f>H38*7%</f>
        <v>1726.8136887861326</v>
      </c>
      <c r="H12" s="72"/>
    </row>
    <row r="13" spans="1:8">
      <c r="A13" s="168"/>
      <c r="B13" s="165"/>
      <c r="C13" s="166"/>
      <c r="D13" s="68"/>
      <c r="E13" s="86"/>
      <c r="F13" s="161"/>
      <c r="G13" s="71"/>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1726.8136887861326</v>
      </c>
    </row>
    <row r="19" spans="1:8" ht="15.75" thickBot="1">
      <c r="A19" s="63" t="s">
        <v>492</v>
      </c>
      <c r="B19" s="63"/>
      <c r="C19" s="61"/>
      <c r="D19" s="61"/>
      <c r="E19" s="61"/>
      <c r="F19" s="61"/>
      <c r="G19" s="61"/>
      <c r="H19" s="61"/>
    </row>
    <row r="20" spans="1:8">
      <c r="A20" s="1472" t="s">
        <v>485</v>
      </c>
      <c r="B20" s="1473"/>
      <c r="C20" s="1474"/>
      <c r="D20" s="160" t="s">
        <v>493</v>
      </c>
      <c r="E20" s="160" t="s">
        <v>494</v>
      </c>
      <c r="F20" s="160" t="s">
        <v>495</v>
      </c>
      <c r="G20" s="15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8" t="s">
        <v>499</v>
      </c>
      <c r="E27" s="158" t="s">
        <v>500</v>
      </c>
      <c r="F27" s="15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8" t="s">
        <v>504</v>
      </c>
      <c r="D33" s="158" t="s">
        <v>505</v>
      </c>
      <c r="E33" s="124" t="s">
        <v>506</v>
      </c>
      <c r="F33" s="102" t="s">
        <v>488</v>
      </c>
      <c r="G33" s="157" t="s">
        <v>489</v>
      </c>
      <c r="H33" s="67"/>
    </row>
    <row r="34" spans="1:8">
      <c r="A34" s="83" t="s">
        <v>554</v>
      </c>
      <c r="B34" s="84"/>
      <c r="C34" s="103">
        <f>+SALARIOS!C49*2</f>
        <v>51144</v>
      </c>
      <c r="D34" s="104">
        <f>+SALARIOS!C48</f>
        <v>1.7846558312967005</v>
      </c>
      <c r="E34" s="69">
        <f>(C34*D34)</f>
        <v>91274.437835838442</v>
      </c>
      <c r="F34" s="69">
        <v>3.7</v>
      </c>
      <c r="G34" s="105">
        <f>E34/F34</f>
        <v>24668.766982659035</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24668.766982659035</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26395.580671445168</v>
      </c>
    </row>
    <row r="41" spans="1:8" ht="15.75" thickBot="1">
      <c r="A41" s="63" t="s">
        <v>509</v>
      </c>
      <c r="B41" s="63"/>
      <c r="C41" s="61"/>
      <c r="D41" s="61"/>
      <c r="E41" s="61"/>
      <c r="F41" s="61"/>
      <c r="G41" s="61"/>
      <c r="H41" s="61"/>
    </row>
    <row r="42" spans="1:8">
      <c r="A42" s="110" t="s">
        <v>485</v>
      </c>
      <c r="B42" s="111"/>
      <c r="C42" s="111"/>
      <c r="D42" s="111"/>
      <c r="E42" s="112"/>
      <c r="F42" s="160" t="s">
        <v>510</v>
      </c>
      <c r="G42" s="159" t="s">
        <v>511</v>
      </c>
      <c r="H42" s="67"/>
    </row>
    <row r="43" spans="1:8">
      <c r="A43" s="83" t="s">
        <v>512</v>
      </c>
      <c r="B43" s="84"/>
      <c r="C43" s="84"/>
      <c r="D43" s="84"/>
      <c r="E43" s="85"/>
      <c r="F43" s="115">
        <f>(SALARIOS!C45)</f>
        <v>0.15</v>
      </c>
      <c r="G43" s="116">
        <f>++F43*H40</f>
        <v>3959.3371007167752</v>
      </c>
      <c r="H43" s="117"/>
    </row>
    <row r="44" spans="1:8">
      <c r="A44" s="83" t="s">
        <v>513</v>
      </c>
      <c r="B44" s="84"/>
      <c r="C44" s="84"/>
      <c r="D44" s="84"/>
      <c r="E44" s="85"/>
      <c r="F44" s="115">
        <f>(SALARIOS!C46)</f>
        <v>0.05</v>
      </c>
      <c r="G44" s="116">
        <f>+F44*H40</f>
        <v>1319.7790335722584</v>
      </c>
      <c r="H44" s="117"/>
    </row>
    <row r="45" spans="1:8" ht="15.75" thickBot="1">
      <c r="A45" s="89" t="s">
        <v>514</v>
      </c>
      <c r="B45" s="90"/>
      <c r="C45" s="90"/>
      <c r="D45" s="90"/>
      <c r="E45" s="91"/>
      <c r="F45" s="118">
        <f>(SALARIOS!C47)</f>
        <v>0.05</v>
      </c>
      <c r="G45" s="119">
        <f>+F45*H40</f>
        <v>1319.7790335722584</v>
      </c>
      <c r="H45" s="80"/>
    </row>
    <row r="46" spans="1:8" ht="15.75" thickBot="1">
      <c r="A46" s="61"/>
      <c r="B46" s="61"/>
      <c r="C46" s="61"/>
      <c r="D46" s="61"/>
      <c r="E46" s="61"/>
      <c r="F46" s="61"/>
      <c r="G46" s="81" t="s">
        <v>491</v>
      </c>
      <c r="H46" s="120">
        <f>SUM(G43:G45)</f>
        <v>6598.8951678612921</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32994</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1193</v>
      </c>
      <c r="H7" s="61"/>
    </row>
    <row r="8" spans="1:8">
      <c r="A8" s="60" t="s">
        <v>1732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688">
        <f>H37*10%</f>
        <v>148.69752386364107</v>
      </c>
      <c r="H12" s="72"/>
    </row>
    <row r="13" spans="1:8">
      <c r="A13" s="361"/>
      <c r="B13" s="362"/>
      <c r="C13" s="363"/>
      <c r="D13" s="73"/>
      <c r="E13" s="74"/>
      <c r="F13" s="69"/>
      <c r="G13" s="71"/>
      <c r="H13" s="72"/>
    </row>
    <row r="14" spans="1:8">
      <c r="A14" s="361"/>
      <c r="B14" s="362"/>
      <c r="C14" s="363"/>
      <c r="D14" s="73"/>
      <c r="E14" s="74"/>
      <c r="F14" s="69"/>
      <c r="G14" s="71"/>
      <c r="H14" s="72"/>
    </row>
    <row r="15" spans="1:8">
      <c r="A15" s="361"/>
      <c r="B15" s="362"/>
      <c r="C15" s="363"/>
      <c r="D15" s="73"/>
      <c r="E15" s="74"/>
      <c r="F15" s="69"/>
      <c r="G15" s="71"/>
      <c r="H15" s="72"/>
    </row>
    <row r="16" spans="1:8" ht="15.75" thickBot="1">
      <c r="A16" s="364"/>
      <c r="B16" s="365"/>
      <c r="C16" s="366"/>
      <c r="D16" s="76"/>
      <c r="E16" s="77"/>
      <c r="F16" s="78"/>
      <c r="G16" s="79"/>
      <c r="H16" s="80"/>
    </row>
    <row r="17" spans="1:8" ht="15.75" thickBot="1">
      <c r="A17" s="61"/>
      <c r="B17" s="61"/>
      <c r="C17" s="61"/>
      <c r="D17" s="61"/>
      <c r="E17" s="61"/>
      <c r="F17" s="61"/>
      <c r="G17" s="81" t="s">
        <v>491</v>
      </c>
      <c r="H17" s="82">
        <f>SUM(G12:G16)</f>
        <v>148.69752386364107</v>
      </c>
    </row>
    <row r="18" spans="1:8" ht="15.75" thickBot="1">
      <c r="A18" s="63" t="s">
        <v>492</v>
      </c>
      <c r="B18" s="63"/>
      <c r="C18" s="61"/>
      <c r="D18" s="61"/>
      <c r="E18" s="61"/>
      <c r="F18" s="61"/>
      <c r="G18" s="61"/>
      <c r="H18" s="61"/>
    </row>
    <row r="19" spans="1:8">
      <c r="A19" s="370" t="s">
        <v>485</v>
      </c>
      <c r="B19" s="371"/>
      <c r="C19" s="372"/>
      <c r="D19" s="372" t="s">
        <v>493</v>
      </c>
      <c r="E19" s="372" t="s">
        <v>494</v>
      </c>
      <c r="F19" s="372" t="s">
        <v>495</v>
      </c>
      <c r="G19" s="371" t="s">
        <v>489</v>
      </c>
      <c r="H19" s="67"/>
    </row>
    <row r="20" spans="1:8">
      <c r="A20" s="127" t="s">
        <v>1730</v>
      </c>
      <c r="B20" s="84"/>
      <c r="C20" s="85"/>
      <c r="D20" s="141"/>
      <c r="E20" s="139">
        <f>+MATERIALES!D168</f>
        <v>6585.3801481481487</v>
      </c>
      <c r="F20" s="163">
        <v>1</v>
      </c>
      <c r="G20" s="88">
        <f>+E20*F20</f>
        <v>6585.3801481481487</v>
      </c>
      <c r="H20" s="72"/>
    </row>
    <row r="21" spans="1:8">
      <c r="A21" s="127"/>
      <c r="B21" s="84"/>
      <c r="C21" s="85"/>
      <c r="D21" s="68"/>
      <c r="E21" s="142"/>
      <c r="F21" s="69"/>
      <c r="G21" s="71"/>
      <c r="H21" s="72"/>
    </row>
    <row r="22" spans="1:8">
      <c r="A22" s="128"/>
      <c r="B22" s="129"/>
      <c r="C22" s="130"/>
      <c r="D22" s="131"/>
      <c r="E22" s="132"/>
      <c r="F22" s="375"/>
      <c r="G22" s="155"/>
      <c r="H22" s="72"/>
    </row>
    <row r="23" spans="1:8" ht="15.75" thickBot="1">
      <c r="A23" s="89"/>
      <c r="B23" s="90"/>
      <c r="C23" s="91"/>
      <c r="D23" s="76"/>
      <c r="E23" s="77"/>
      <c r="F23" s="78"/>
      <c r="G23" s="79"/>
      <c r="H23" s="80"/>
    </row>
    <row r="24" spans="1:8" ht="15.75" thickBot="1">
      <c r="A24" s="61"/>
      <c r="B24" s="61"/>
      <c r="C24" s="61"/>
      <c r="D24" s="61"/>
      <c r="E24" s="61"/>
      <c r="F24" s="61"/>
      <c r="G24" s="81" t="s">
        <v>491</v>
      </c>
      <c r="H24" s="82">
        <f>SUM(G20:G23)</f>
        <v>6585.3801481481487</v>
      </c>
    </row>
    <row r="25" spans="1:8" ht="15.75" thickBot="1">
      <c r="A25" s="92" t="s">
        <v>496</v>
      </c>
      <c r="B25" s="92"/>
      <c r="C25" s="90"/>
      <c r="D25" s="61"/>
      <c r="E25" s="61"/>
      <c r="F25" s="61"/>
      <c r="G25" s="61"/>
      <c r="H25" s="61"/>
    </row>
    <row r="26" spans="1:8">
      <c r="A26" s="358" t="s">
        <v>497</v>
      </c>
      <c r="B26" s="360"/>
      <c r="C26" s="93" t="s">
        <v>498</v>
      </c>
      <c r="D26" s="360" t="s">
        <v>499</v>
      </c>
      <c r="E26" s="360" t="s">
        <v>500</v>
      </c>
      <c r="F26" s="36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58" t="s">
        <v>503</v>
      </c>
      <c r="B32" s="360"/>
      <c r="C32" s="360" t="s">
        <v>504</v>
      </c>
      <c r="D32" s="360" t="s">
        <v>505</v>
      </c>
      <c r="E32" s="124" t="s">
        <v>506</v>
      </c>
      <c r="F32" s="102" t="s">
        <v>488</v>
      </c>
      <c r="G32" s="359" t="s">
        <v>489</v>
      </c>
      <c r="H32" s="67"/>
    </row>
    <row r="33" spans="1:8">
      <c r="A33" s="83" t="s">
        <v>624</v>
      </c>
      <c r="B33" s="84"/>
      <c r="C33" s="103">
        <f>+SALARIOS!C50</f>
        <v>41660</v>
      </c>
      <c r="D33" s="104">
        <f>+SALARIOS!C48</f>
        <v>1.7846558312967005</v>
      </c>
      <c r="E33" s="69">
        <f>+C33*D33</f>
        <v>74348.76193182054</v>
      </c>
      <c r="F33" s="69">
        <v>50</v>
      </c>
      <c r="G33" s="105">
        <f>+E33/F33</f>
        <v>1486.9752386364107</v>
      </c>
      <c r="H33" s="72"/>
    </row>
    <row r="34" spans="1:8">
      <c r="A34" s="83"/>
      <c r="B34" s="84"/>
      <c r="C34" s="103"/>
      <c r="D34" s="33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1486.9752386364107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8221.0529106482009</v>
      </c>
    </row>
    <row r="40" spans="1:8" ht="15.75" thickBot="1">
      <c r="A40" s="63" t="s">
        <v>509</v>
      </c>
      <c r="B40" s="63"/>
      <c r="C40" s="61"/>
      <c r="D40" s="61"/>
      <c r="E40" s="61"/>
      <c r="F40" s="61"/>
      <c r="G40" s="61"/>
      <c r="H40" s="61"/>
    </row>
    <row r="41" spans="1:8">
      <c r="A41" s="233" t="s">
        <v>485</v>
      </c>
      <c r="B41" s="371"/>
      <c r="C41" s="371"/>
      <c r="D41" s="371"/>
      <c r="E41" s="372"/>
      <c r="F41" s="372" t="s">
        <v>510</v>
      </c>
      <c r="G41" s="371" t="s">
        <v>511</v>
      </c>
      <c r="H41" s="67"/>
    </row>
    <row r="42" spans="1:8">
      <c r="A42" s="83" t="s">
        <v>512</v>
      </c>
      <c r="B42" s="84"/>
      <c r="C42" s="84"/>
      <c r="D42" s="84"/>
      <c r="E42" s="85"/>
      <c r="F42" s="115">
        <f>+SALARIOS!C45</f>
        <v>0.15</v>
      </c>
      <c r="G42" s="116">
        <f>++F42*H39</f>
        <v>1233.15793659723</v>
      </c>
      <c r="H42" s="117"/>
    </row>
    <row r="43" spans="1:8">
      <c r="A43" s="83" t="s">
        <v>513</v>
      </c>
      <c r="B43" s="84"/>
      <c r="C43" s="84"/>
      <c r="D43" s="84"/>
      <c r="E43" s="85"/>
      <c r="F43" s="115">
        <f>+SALARIOS!C46</f>
        <v>0.05</v>
      </c>
      <c r="G43" s="116">
        <f>+F43*H39</f>
        <v>411.05264553241005</v>
      </c>
      <c r="H43" s="117"/>
    </row>
    <row r="44" spans="1:8" ht="15.75" thickBot="1">
      <c r="A44" s="89" t="s">
        <v>514</v>
      </c>
      <c r="B44" s="90"/>
      <c r="C44" s="90"/>
      <c r="D44" s="90"/>
      <c r="E44" s="91"/>
      <c r="F44" s="118">
        <f>+SALARIOS!C47</f>
        <v>0.05</v>
      </c>
      <c r="G44" s="119">
        <f>+F44*H39</f>
        <v>411.05264553241005</v>
      </c>
      <c r="H44" s="80"/>
    </row>
    <row r="45" spans="1:8" ht="15.75" thickBot="1">
      <c r="A45" s="61"/>
      <c r="B45" s="61"/>
      <c r="C45" s="61"/>
      <c r="D45" s="61"/>
      <c r="E45" s="61"/>
      <c r="F45" s="61"/>
      <c r="G45" s="81" t="s">
        <v>491</v>
      </c>
      <c r="H45" s="120">
        <f>SUM(G42:G44)</f>
        <v>2055.2632276620502</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10276</v>
      </c>
    </row>
  </sheetData>
  <mergeCells count="1">
    <mergeCell ref="A3:C4"/>
  </mergeCell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workbookViewId="0">
      <selection activeCell="G8" sqref="G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1196</v>
      </c>
      <c r="H7" s="61"/>
    </row>
    <row r="8" spans="1:8">
      <c r="A8" s="60" t="s">
        <v>1191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1199.8598084973976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1192</v>
      </c>
      <c r="B21" s="84"/>
      <c r="C21" s="85"/>
      <c r="D21" s="141" t="s">
        <v>61</v>
      </c>
      <c r="E21" s="139">
        <f>+MATERIALES!D140</f>
        <v>17199.319999999996</v>
      </c>
      <c r="F21" s="163">
        <v>1</v>
      </c>
      <c r="G21" s="137">
        <f>+E21*F21</f>
        <v>17199.319999999996</v>
      </c>
      <c r="H21" s="59"/>
    </row>
    <row r="22" spans="1:8">
      <c r="A22" s="127"/>
      <c r="B22" s="84"/>
      <c r="C22" s="85"/>
      <c r="D22" s="68"/>
      <c r="E22" s="142"/>
      <c r="F22" s="69"/>
      <c r="G22" s="69"/>
      <c r="H22" s="59"/>
    </row>
    <row r="23" spans="1:8">
      <c r="A23" s="128"/>
      <c r="B23" s="129"/>
      <c r="C23" s="130"/>
      <c r="D23" s="131"/>
      <c r="E23" s="132"/>
      <c r="F23" s="37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17199.319999999996</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104">
        <f>+SALARIOS!C48</f>
        <v>1.7846558312967005</v>
      </c>
      <c r="E34" s="69">
        <f>+C34*D34</f>
        <v>74348.76193182054</v>
      </c>
      <c r="F34" s="69">
        <v>10</v>
      </c>
      <c r="G34" s="105">
        <f>+E34/F34</f>
        <v>7434.8761931820536</v>
      </c>
      <c r="H34" s="72"/>
    </row>
    <row r="35" spans="1:8">
      <c r="A35" s="83" t="s">
        <v>697</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30397.777893471368</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f>+SALARIOS!C45</f>
        <v>0.15</v>
      </c>
      <c r="G43" s="116">
        <f>++F43*H40</f>
        <v>4559.6666840207054</v>
      </c>
      <c r="H43" s="117"/>
    </row>
    <row r="44" spans="1:8">
      <c r="A44" s="83" t="s">
        <v>513</v>
      </c>
      <c r="B44" s="84"/>
      <c r="C44" s="84"/>
      <c r="D44" s="84"/>
      <c r="E44" s="85"/>
      <c r="F44" s="115">
        <f>+SALARIOS!C46</f>
        <v>0.05</v>
      </c>
      <c r="G44" s="116">
        <f>+F44*H40</f>
        <v>1519.8888946735685</v>
      </c>
      <c r="H44" s="117"/>
    </row>
    <row r="45" spans="1:8" ht="15.75" thickBot="1">
      <c r="A45" s="89" t="s">
        <v>514</v>
      </c>
      <c r="B45" s="90"/>
      <c r="C45" s="90"/>
      <c r="D45" s="90"/>
      <c r="E45" s="91"/>
      <c r="F45" s="118">
        <f>+SALARIOS!C47</f>
        <v>0.05</v>
      </c>
      <c r="G45" s="119">
        <f>+F45*H40</f>
        <v>1519.8888946735685</v>
      </c>
      <c r="H45" s="80"/>
    </row>
    <row r="46" spans="1:8" ht="15.75" thickBot="1">
      <c r="A46" s="61"/>
      <c r="B46" s="61"/>
      <c r="C46" s="61"/>
      <c r="D46" s="61"/>
      <c r="E46" s="61"/>
      <c r="F46" s="61"/>
      <c r="G46" s="81" t="s">
        <v>491</v>
      </c>
      <c r="H46" s="120">
        <f>SUM(G43:G45)</f>
        <v>7599.4444733678429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37997</v>
      </c>
    </row>
  </sheetData>
  <mergeCells count="1">
    <mergeCell ref="A3:C4"/>
  </mergeCell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workbookViewId="0">
      <selection activeCell="G8" sqref="G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1200</v>
      </c>
      <c r="H7" s="61"/>
    </row>
    <row r="8" spans="1:8">
      <c r="A8" s="60" t="s">
        <v>1194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1199.8598084973976</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1195</v>
      </c>
      <c r="B21" s="84"/>
      <c r="C21" s="85"/>
      <c r="D21" s="141" t="s">
        <v>61</v>
      </c>
      <c r="E21" s="139">
        <f>+MATERIALES!D141</f>
        <v>15134.519999999999</v>
      </c>
      <c r="F21" s="163">
        <v>1</v>
      </c>
      <c r="G21" s="137">
        <f>+E21*F21</f>
        <v>15134.519999999999</v>
      </c>
      <c r="H21" s="59"/>
    </row>
    <row r="22" spans="1:8">
      <c r="A22" s="127"/>
      <c r="B22" s="84"/>
      <c r="C22" s="85"/>
      <c r="D22" s="68"/>
      <c r="E22" s="142"/>
      <c r="F22" s="69"/>
      <c r="G22" s="69"/>
      <c r="H22" s="59"/>
    </row>
    <row r="23" spans="1:8">
      <c r="A23" s="128"/>
      <c r="B23" s="129"/>
      <c r="C23" s="130"/>
      <c r="D23" s="131"/>
      <c r="E23" s="132"/>
      <c r="F23" s="37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15134.519999999999</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104">
        <f>+SALARIOS!C48</f>
        <v>1.7846558312967005</v>
      </c>
      <c r="E34" s="69">
        <f>+C34*D34</f>
        <v>74348.76193182054</v>
      </c>
      <c r="F34" s="69">
        <v>10</v>
      </c>
      <c r="G34" s="105">
        <f>+E34/F34</f>
        <v>7434.8761931820536</v>
      </c>
      <c r="H34" s="72"/>
    </row>
    <row r="35" spans="1:8">
      <c r="A35" s="83" t="s">
        <v>697</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28332.977893471372</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f>+SALARIOS!C45</f>
        <v>0.15</v>
      </c>
      <c r="G43" s="116">
        <f>++F43*H40</f>
        <v>4249.946684020706</v>
      </c>
      <c r="H43" s="117"/>
    </row>
    <row r="44" spans="1:8">
      <c r="A44" s="83" t="s">
        <v>513</v>
      </c>
      <c r="B44" s="84"/>
      <c r="C44" s="84"/>
      <c r="D44" s="84"/>
      <c r="E44" s="85"/>
      <c r="F44" s="115">
        <f>+SALARIOS!C46</f>
        <v>0.05</v>
      </c>
      <c r="G44" s="116">
        <f>+F44*H40</f>
        <v>1416.6488946735687</v>
      </c>
      <c r="H44" s="117"/>
    </row>
    <row r="45" spans="1:8" ht="15.75" thickBot="1">
      <c r="A45" s="89" t="s">
        <v>514</v>
      </c>
      <c r="B45" s="90"/>
      <c r="C45" s="90"/>
      <c r="D45" s="90"/>
      <c r="E45" s="91"/>
      <c r="F45" s="118">
        <f>+SALARIOS!C47</f>
        <v>0.05</v>
      </c>
      <c r="G45" s="119">
        <f>+F45*H40</f>
        <v>1416.6488946735687</v>
      </c>
      <c r="H45" s="80"/>
    </row>
    <row r="46" spans="1:8" ht="15.75" thickBot="1">
      <c r="A46" s="61"/>
      <c r="B46" s="61"/>
      <c r="C46" s="61"/>
      <c r="D46" s="61"/>
      <c r="E46" s="61"/>
      <c r="F46" s="61"/>
      <c r="G46" s="81" t="s">
        <v>491</v>
      </c>
      <c r="H46" s="120">
        <f>SUM(G43:G45)</f>
        <v>7083.244473367844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35416</v>
      </c>
    </row>
  </sheetData>
  <mergeCells count="1">
    <mergeCell ref="A3:C4"/>
  </mergeCells>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1203</v>
      </c>
      <c r="H7" s="61"/>
    </row>
    <row r="8" spans="1:8">
      <c r="A8" s="60" t="s">
        <v>1197</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1199.8598084973976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1198</v>
      </c>
      <c r="B21" s="84"/>
      <c r="C21" s="85"/>
      <c r="D21" s="141" t="s">
        <v>61</v>
      </c>
      <c r="E21" s="139">
        <f>MATERIALES!D139</f>
        <v>36656</v>
      </c>
      <c r="F21" s="163">
        <v>1</v>
      </c>
      <c r="G21" s="137">
        <f>+E21*F21</f>
        <v>36656</v>
      </c>
      <c r="H21" s="59"/>
    </row>
    <row r="22" spans="1:8">
      <c r="A22" s="127"/>
      <c r="B22" s="84"/>
      <c r="C22" s="85"/>
      <c r="D22" s="68"/>
      <c r="E22" s="142"/>
      <c r="F22" s="69"/>
      <c r="G22" s="69"/>
      <c r="H22" s="59"/>
    </row>
    <row r="23" spans="1:8">
      <c r="A23" s="128"/>
      <c r="B23" s="129"/>
      <c r="C23" s="130"/>
      <c r="D23" s="131"/>
      <c r="E23" s="132"/>
      <c r="F23" s="37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36656</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104">
        <f>+SALARIOS!C48</f>
        <v>1.7846558312967005</v>
      </c>
      <c r="E34" s="69">
        <f>+C34*D34</f>
        <v>74348.76193182054</v>
      </c>
      <c r="F34" s="69">
        <v>10</v>
      </c>
      <c r="G34" s="105">
        <f>+E34/F34</f>
        <v>7434.8761931820536</v>
      </c>
      <c r="H34" s="72"/>
    </row>
    <row r="35" spans="1:8">
      <c r="A35" s="83" t="s">
        <v>697</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49854.457893471379</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f>+SALARIOS!C45</f>
        <v>0.15</v>
      </c>
      <c r="G43" s="116">
        <f>++F43*H40</f>
        <v>7478.1686840207067</v>
      </c>
      <c r="H43" s="117"/>
    </row>
    <row r="44" spans="1:8">
      <c r="A44" s="83" t="s">
        <v>513</v>
      </c>
      <c r="B44" s="84"/>
      <c r="C44" s="84"/>
      <c r="D44" s="84"/>
      <c r="E44" s="85"/>
      <c r="F44" s="115">
        <f>+SALARIOS!C46</f>
        <v>0.05</v>
      </c>
      <c r="G44" s="116">
        <f>+F44*H40</f>
        <v>2492.722894673569</v>
      </c>
      <c r="H44" s="117"/>
    </row>
    <row r="45" spans="1:8" ht="15.75" thickBot="1">
      <c r="A45" s="89" t="s">
        <v>514</v>
      </c>
      <c r="B45" s="90"/>
      <c r="C45" s="90"/>
      <c r="D45" s="90"/>
      <c r="E45" s="91"/>
      <c r="F45" s="118">
        <f>+SALARIOS!C47</f>
        <v>0.05</v>
      </c>
      <c r="G45" s="119">
        <f>+F45*H40</f>
        <v>2492.722894673569</v>
      </c>
      <c r="H45" s="80"/>
    </row>
    <row r="46" spans="1:8" ht="15.75" thickBot="1">
      <c r="A46" s="61"/>
      <c r="B46" s="61"/>
      <c r="C46" s="61"/>
      <c r="D46" s="61"/>
      <c r="E46" s="61"/>
      <c r="F46" s="61"/>
      <c r="G46" s="81" t="s">
        <v>491</v>
      </c>
      <c r="H46" s="120">
        <f>SUM(G43:G45)</f>
        <v>12463.614473367845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62318</v>
      </c>
    </row>
  </sheetData>
  <mergeCells count="1">
    <mergeCell ref="A3:C4"/>
  </mergeCells>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1206</v>
      </c>
      <c r="H7" s="61"/>
    </row>
    <row r="8" spans="1:8">
      <c r="A8" s="60" t="s">
        <v>1201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H37*10%</f>
        <v>599.92990424869879</v>
      </c>
      <c r="H12" s="72"/>
    </row>
    <row r="13" spans="1:8">
      <c r="A13" s="361"/>
      <c r="B13" s="362"/>
      <c r="C13" s="363"/>
      <c r="D13" s="73"/>
      <c r="E13" s="74"/>
      <c r="F13" s="69"/>
      <c r="G13" s="71"/>
      <c r="H13" s="72"/>
    </row>
    <row r="14" spans="1:8">
      <c r="A14" s="361"/>
      <c r="B14" s="362"/>
      <c r="C14" s="363"/>
      <c r="D14" s="73"/>
      <c r="E14" s="74"/>
      <c r="F14" s="69"/>
      <c r="G14" s="71"/>
      <c r="H14" s="72"/>
    </row>
    <row r="15" spans="1:8">
      <c r="A15" s="361"/>
      <c r="B15" s="362"/>
      <c r="C15" s="363"/>
      <c r="D15" s="73"/>
      <c r="E15" s="74"/>
      <c r="F15" s="69"/>
      <c r="G15" s="71"/>
      <c r="H15" s="72"/>
    </row>
    <row r="16" spans="1:8" ht="15.75" thickBot="1">
      <c r="A16" s="364"/>
      <c r="B16" s="365"/>
      <c r="C16" s="366"/>
      <c r="D16" s="76"/>
      <c r="E16" s="77"/>
      <c r="F16" s="78"/>
      <c r="G16" s="79"/>
      <c r="H16" s="80"/>
    </row>
    <row r="17" spans="1:8" ht="15.75" thickBot="1">
      <c r="A17" s="61"/>
      <c r="B17" s="61"/>
      <c r="C17" s="61"/>
      <c r="D17" s="61"/>
      <c r="E17" s="61"/>
      <c r="F17" s="61"/>
      <c r="G17" s="81" t="s">
        <v>491</v>
      </c>
      <c r="H17" s="82">
        <f>SUM(G12:G16)</f>
        <v>599.92990424869879</v>
      </c>
    </row>
    <row r="18" spans="1:8" ht="15.75" thickBot="1">
      <c r="A18" s="63" t="s">
        <v>492</v>
      </c>
      <c r="B18" s="63"/>
      <c r="C18" s="61"/>
      <c r="D18" s="61"/>
      <c r="E18" s="61"/>
      <c r="F18" s="61"/>
      <c r="G18" s="61"/>
      <c r="H18" s="61"/>
    </row>
    <row r="19" spans="1:8">
      <c r="A19" s="370" t="s">
        <v>485</v>
      </c>
      <c r="B19" s="371"/>
      <c r="C19" s="372"/>
      <c r="D19" s="372" t="s">
        <v>493</v>
      </c>
      <c r="E19" s="372" t="s">
        <v>494</v>
      </c>
      <c r="F19" s="372" t="s">
        <v>495</v>
      </c>
      <c r="G19" s="371" t="s">
        <v>489</v>
      </c>
      <c r="H19" s="67"/>
    </row>
    <row r="20" spans="1:8">
      <c r="A20" s="127" t="s">
        <v>1202</v>
      </c>
      <c r="B20" s="84"/>
      <c r="C20" s="85"/>
      <c r="D20" s="141" t="s">
        <v>61</v>
      </c>
      <c r="E20" s="139">
        <f>+MATERIALES!D142</f>
        <v>19531.306666666667</v>
      </c>
      <c r="F20" s="163">
        <v>1</v>
      </c>
      <c r="G20" s="137">
        <f>+E20*F20</f>
        <v>19531.306666666667</v>
      </c>
      <c r="H20" s="59"/>
    </row>
    <row r="21" spans="1:8">
      <c r="A21" s="127"/>
      <c r="B21" s="84"/>
      <c r="C21" s="85"/>
      <c r="D21" s="68"/>
      <c r="E21" s="142"/>
      <c r="F21" s="69"/>
      <c r="G21" s="69"/>
      <c r="H21" s="59"/>
    </row>
    <row r="22" spans="1:8">
      <c r="A22" s="128"/>
      <c r="B22" s="129"/>
      <c r="C22" s="130"/>
      <c r="D22" s="131"/>
      <c r="E22" s="132"/>
      <c r="F22" s="375"/>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19531.306666666667</v>
      </c>
    </row>
    <row r="25" spans="1:8" ht="15.75" thickBot="1">
      <c r="A25" s="92" t="s">
        <v>496</v>
      </c>
      <c r="B25" s="92"/>
      <c r="C25" s="90"/>
      <c r="D25" s="61"/>
      <c r="E25" s="61"/>
      <c r="F25" s="61"/>
      <c r="G25" s="61"/>
      <c r="H25" s="61"/>
    </row>
    <row r="26" spans="1:8">
      <c r="A26" s="358" t="s">
        <v>497</v>
      </c>
      <c r="B26" s="360"/>
      <c r="C26" s="93" t="s">
        <v>498</v>
      </c>
      <c r="D26" s="360" t="s">
        <v>499</v>
      </c>
      <c r="E26" s="360" t="s">
        <v>500</v>
      </c>
      <c r="F26" s="36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58" t="s">
        <v>503</v>
      </c>
      <c r="B32" s="360"/>
      <c r="C32" s="360" t="s">
        <v>504</v>
      </c>
      <c r="D32" s="360" t="s">
        <v>505</v>
      </c>
      <c r="E32" s="124" t="s">
        <v>506</v>
      </c>
      <c r="F32" s="102" t="s">
        <v>488</v>
      </c>
      <c r="G32" s="359" t="s">
        <v>489</v>
      </c>
      <c r="H32" s="67"/>
    </row>
    <row r="33" spans="1:8">
      <c r="A33" s="83" t="s">
        <v>624</v>
      </c>
      <c r="B33" s="84"/>
      <c r="C33" s="103">
        <f>+SALARIOS!C50</f>
        <v>41660</v>
      </c>
      <c r="D33" s="104">
        <f>+SALARIOS!C48</f>
        <v>1.7846558312967005</v>
      </c>
      <c r="E33" s="69">
        <f>+C33*D33</f>
        <v>74348.76193182054</v>
      </c>
      <c r="F33" s="69">
        <v>20</v>
      </c>
      <c r="G33" s="105">
        <f>+E33/F33</f>
        <v>3717.4380965910268</v>
      </c>
      <c r="H33" s="72"/>
    </row>
    <row r="34" spans="1:8">
      <c r="A34" s="83" t="s">
        <v>697</v>
      </c>
      <c r="B34" s="84"/>
      <c r="C34" s="103">
        <f>+SALARIOS!C49*1</f>
        <v>25572</v>
      </c>
      <c r="D34" s="334">
        <f>+SALARIOS!C48</f>
        <v>1.7846558312967005</v>
      </c>
      <c r="E34" s="69">
        <f>+C34*D34</f>
        <v>45637.218917919221</v>
      </c>
      <c r="F34" s="69">
        <v>20</v>
      </c>
      <c r="G34" s="105">
        <f>+E34/F34</f>
        <v>2281.8609458959609</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5999.2990424869877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26130.535613402353</v>
      </c>
    </row>
    <row r="40" spans="1:8" ht="15.75" thickBot="1">
      <c r="A40" s="63" t="s">
        <v>509</v>
      </c>
      <c r="B40" s="63"/>
      <c r="C40" s="61"/>
      <c r="D40" s="61"/>
      <c r="E40" s="61"/>
      <c r="F40" s="61"/>
      <c r="G40" s="61"/>
      <c r="H40" s="61"/>
    </row>
    <row r="41" spans="1:8">
      <c r="A41" s="233" t="s">
        <v>485</v>
      </c>
      <c r="B41" s="371"/>
      <c r="C41" s="371"/>
      <c r="D41" s="371"/>
      <c r="E41" s="372"/>
      <c r="F41" s="372" t="s">
        <v>510</v>
      </c>
      <c r="G41" s="371" t="s">
        <v>511</v>
      </c>
      <c r="H41" s="67"/>
    </row>
    <row r="42" spans="1:8">
      <c r="A42" s="83" t="s">
        <v>512</v>
      </c>
      <c r="B42" s="84"/>
      <c r="C42" s="84"/>
      <c r="D42" s="84"/>
      <c r="E42" s="85"/>
      <c r="F42" s="115">
        <f>+SALARIOS!C45</f>
        <v>0.15</v>
      </c>
      <c r="G42" s="116">
        <f>++F42*H39</f>
        <v>3919.580342010353</v>
      </c>
      <c r="H42" s="117"/>
    </row>
    <row r="43" spans="1:8">
      <c r="A43" s="83" t="s">
        <v>513</v>
      </c>
      <c r="B43" s="84"/>
      <c r="C43" s="84"/>
      <c r="D43" s="84"/>
      <c r="E43" s="85"/>
      <c r="F43" s="115">
        <f>+SALARIOS!C46</f>
        <v>0.05</v>
      </c>
      <c r="G43" s="116">
        <f>+F43*H39</f>
        <v>1306.5267806701177</v>
      </c>
      <c r="H43" s="117"/>
    </row>
    <row r="44" spans="1:8" ht="15.75" thickBot="1">
      <c r="A44" s="89" t="s">
        <v>514</v>
      </c>
      <c r="B44" s="90"/>
      <c r="C44" s="90"/>
      <c r="D44" s="90"/>
      <c r="E44" s="91"/>
      <c r="F44" s="118">
        <f>+SALARIOS!C47</f>
        <v>0.05</v>
      </c>
      <c r="G44" s="119">
        <f>+F44*H39</f>
        <v>1306.5267806701177</v>
      </c>
      <c r="H44" s="80"/>
    </row>
    <row r="45" spans="1:8" ht="15.75" thickBot="1">
      <c r="A45" s="61"/>
      <c r="B45" s="61"/>
      <c r="C45" s="61"/>
      <c r="D45" s="61"/>
      <c r="E45" s="61"/>
      <c r="F45" s="61"/>
      <c r="G45" s="81" t="s">
        <v>491</v>
      </c>
      <c r="H45" s="120">
        <f>SUM(G42:G44)</f>
        <v>6532.6339033505883</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32663</v>
      </c>
    </row>
  </sheetData>
  <mergeCells count="1">
    <mergeCell ref="A3:C4"/>
  </mergeCells>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28"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1210</v>
      </c>
      <c r="H7" s="61"/>
    </row>
    <row r="8" spans="1:8">
      <c r="A8" s="60" t="s">
        <v>1204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1199.8598084973976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1205</v>
      </c>
      <c r="B21" s="84"/>
      <c r="C21" s="85"/>
      <c r="D21" s="141" t="s">
        <v>61</v>
      </c>
      <c r="E21" s="139">
        <f>+MATERIALES!D143</f>
        <v>18568.89333333333</v>
      </c>
      <c r="F21" s="163">
        <v>1</v>
      </c>
      <c r="G21" s="137">
        <f>+E21*F21</f>
        <v>18568.89333333333</v>
      </c>
      <c r="H21" s="59"/>
    </row>
    <row r="22" spans="1:8">
      <c r="A22" s="127"/>
      <c r="B22" s="84"/>
      <c r="C22" s="85"/>
      <c r="D22" s="68"/>
      <c r="E22" s="142"/>
      <c r="F22" s="69"/>
      <c r="G22" s="69"/>
      <c r="H22" s="59"/>
    </row>
    <row r="23" spans="1:8">
      <c r="A23" s="128"/>
      <c r="B23" s="129"/>
      <c r="C23" s="130"/>
      <c r="D23" s="131"/>
      <c r="E23" s="132"/>
      <c r="F23" s="37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18568.89333333333</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104">
        <f>+SALARIOS!C48</f>
        <v>1.7846558312967005</v>
      </c>
      <c r="E34" s="69">
        <f>+C34*D34</f>
        <v>74348.76193182054</v>
      </c>
      <c r="F34" s="69">
        <v>10</v>
      </c>
      <c r="G34" s="105">
        <f>+E34/F34</f>
        <v>7434.8761931820536</v>
      </c>
      <c r="H34" s="72"/>
    </row>
    <row r="35" spans="1:8">
      <c r="A35" s="83" t="s">
        <v>697</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31767.351226804702</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f>+SALARIOS!C45</f>
        <v>0.15</v>
      </c>
      <c r="G43" s="116">
        <f>++F43*H40</f>
        <v>4765.1026840207051</v>
      </c>
      <c r="H43" s="117"/>
    </row>
    <row r="44" spans="1:8">
      <c r="A44" s="83" t="s">
        <v>513</v>
      </c>
      <c r="B44" s="84"/>
      <c r="C44" s="84"/>
      <c r="D44" s="84"/>
      <c r="E44" s="85"/>
      <c r="F44" s="115">
        <f>+SALARIOS!C46</f>
        <v>0.05</v>
      </c>
      <c r="G44" s="116">
        <f>+F44*H40</f>
        <v>1588.3675613402352</v>
      </c>
      <c r="H44" s="117"/>
    </row>
    <row r="45" spans="1:8" ht="15.75" thickBot="1">
      <c r="A45" s="89" t="s">
        <v>514</v>
      </c>
      <c r="B45" s="90"/>
      <c r="C45" s="90"/>
      <c r="D45" s="90"/>
      <c r="E45" s="91"/>
      <c r="F45" s="118">
        <f>+SALARIOS!C47</f>
        <v>0.05</v>
      </c>
      <c r="G45" s="119">
        <f>+F45*H40</f>
        <v>1588.3675613402352</v>
      </c>
      <c r="H45" s="80"/>
    </row>
    <row r="46" spans="1:8" ht="15.75" thickBot="1">
      <c r="A46" s="61"/>
      <c r="B46" s="61"/>
      <c r="C46" s="61"/>
      <c r="D46" s="61"/>
      <c r="E46" s="61"/>
      <c r="F46" s="61"/>
      <c r="G46" s="81" t="s">
        <v>491</v>
      </c>
      <c r="H46" s="120">
        <f>SUM(G43:G45)</f>
        <v>7941.8378067011763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39709</v>
      </c>
    </row>
  </sheetData>
  <mergeCells count="1">
    <mergeCell ref="A3:C4"/>
  </mergeCells>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31"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1214</v>
      </c>
      <c r="H7" s="61"/>
    </row>
    <row r="8" spans="1:8">
      <c r="A8" s="60" t="s">
        <v>1207</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1199.8598084973976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1208</v>
      </c>
      <c r="B21" s="84"/>
      <c r="C21" s="85"/>
      <c r="D21" s="141" t="s">
        <v>61</v>
      </c>
      <c r="E21" s="139">
        <f>MATERIALES!D138</f>
        <v>40774</v>
      </c>
      <c r="F21" s="163">
        <v>1</v>
      </c>
      <c r="G21" s="137">
        <f>+E21*F21</f>
        <v>40774</v>
      </c>
      <c r="H21" s="59"/>
    </row>
    <row r="22" spans="1:8">
      <c r="A22" s="127"/>
      <c r="B22" s="84"/>
      <c r="C22" s="85"/>
      <c r="D22" s="68"/>
      <c r="E22" s="142"/>
      <c r="F22" s="69"/>
      <c r="G22" s="69"/>
      <c r="H22" s="59"/>
    </row>
    <row r="23" spans="1:8">
      <c r="A23" s="128"/>
      <c r="B23" s="129"/>
      <c r="C23" s="130"/>
      <c r="D23" s="131"/>
      <c r="E23" s="132"/>
      <c r="F23" s="37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40774</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104">
        <f>+SALARIOS!C48</f>
        <v>1.7846558312967005</v>
      </c>
      <c r="E34" s="69">
        <f>+C34*D34</f>
        <v>74348.76193182054</v>
      </c>
      <c r="F34" s="69">
        <v>10</v>
      </c>
      <c r="G34" s="105">
        <f>+E34/F34</f>
        <v>7434.8761931820536</v>
      </c>
      <c r="H34" s="72"/>
    </row>
    <row r="35" spans="1:8">
      <c r="A35" s="83" t="s">
        <v>697</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53972.457893471379</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f>+SALARIOS!C45</f>
        <v>0.15</v>
      </c>
      <c r="G43" s="116">
        <f>++F43*H40</f>
        <v>8095.8686840207065</v>
      </c>
      <c r="H43" s="117"/>
    </row>
    <row r="44" spans="1:8">
      <c r="A44" s="83" t="s">
        <v>513</v>
      </c>
      <c r="B44" s="84"/>
      <c r="C44" s="84"/>
      <c r="D44" s="84"/>
      <c r="E44" s="85"/>
      <c r="F44" s="115">
        <f>+SALARIOS!C46</f>
        <v>0.05</v>
      </c>
      <c r="G44" s="116">
        <f>+F44*H40</f>
        <v>2698.6228946735691</v>
      </c>
      <c r="H44" s="117"/>
    </row>
    <row r="45" spans="1:8" ht="15.75" thickBot="1">
      <c r="A45" s="89" t="s">
        <v>514</v>
      </c>
      <c r="B45" s="90"/>
      <c r="C45" s="90"/>
      <c r="D45" s="90"/>
      <c r="E45" s="91"/>
      <c r="F45" s="118">
        <f>+SALARIOS!C47</f>
        <v>0.05</v>
      </c>
      <c r="G45" s="119">
        <f>+F45*H40</f>
        <v>2698.6228946735691</v>
      </c>
      <c r="H45" s="80"/>
    </row>
    <row r="46" spans="1:8" ht="15.75" thickBot="1">
      <c r="A46" s="61"/>
      <c r="B46" s="61"/>
      <c r="C46" s="61"/>
      <c r="D46" s="61"/>
      <c r="E46" s="61"/>
      <c r="F46" s="61"/>
      <c r="G46" s="81" t="s">
        <v>491</v>
      </c>
      <c r="H46" s="120">
        <f>SUM(G43:G45)</f>
        <v>13493.114473367845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67466</v>
      </c>
    </row>
  </sheetData>
  <mergeCells count="1">
    <mergeCell ref="A3:C4"/>
  </mergeCells>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28"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1077</v>
      </c>
      <c r="B7" s="62"/>
      <c r="C7" s="61"/>
      <c r="D7" s="16"/>
      <c r="E7" s="62"/>
      <c r="F7" s="16"/>
      <c r="G7" s="62" t="s">
        <v>1217</v>
      </c>
      <c r="H7" s="61"/>
    </row>
    <row r="8" spans="1:8">
      <c r="A8" s="60" t="s">
        <v>1211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1199.8598084973976</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1212</v>
      </c>
      <c r="B21" s="84"/>
      <c r="C21" s="85"/>
      <c r="D21" s="141" t="s">
        <v>61</v>
      </c>
      <c r="E21" s="139">
        <f>+MATERIALES!D139</f>
        <v>36656</v>
      </c>
      <c r="F21" s="163">
        <v>1</v>
      </c>
      <c r="G21" s="137">
        <f>+E21*F21</f>
        <v>36656</v>
      </c>
      <c r="H21" s="59"/>
    </row>
    <row r="22" spans="1:8">
      <c r="A22" s="127"/>
      <c r="B22" s="84"/>
      <c r="C22" s="85"/>
      <c r="D22" s="68"/>
      <c r="E22" s="142"/>
      <c r="F22" s="69"/>
      <c r="G22" s="69"/>
      <c r="H22" s="59"/>
    </row>
    <row r="23" spans="1:8">
      <c r="A23" s="128"/>
      <c r="B23" s="129"/>
      <c r="C23" s="130"/>
      <c r="D23" s="131"/>
      <c r="E23" s="132"/>
      <c r="F23" s="37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36656</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104">
        <f>+SALARIOS!C48</f>
        <v>1.7846558312967005</v>
      </c>
      <c r="E34" s="69">
        <f>+C34*D34</f>
        <v>74348.76193182054</v>
      </c>
      <c r="F34" s="69">
        <v>10</v>
      </c>
      <c r="G34" s="105">
        <f>+E34/F34</f>
        <v>7434.8761931820536</v>
      </c>
      <c r="H34" s="72"/>
    </row>
    <row r="35" spans="1:8">
      <c r="A35" s="83" t="s">
        <v>697</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49854.457893471379</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f>+SALARIOS!C45</f>
        <v>0.15</v>
      </c>
      <c r="G43" s="116">
        <f>++F43*H40</f>
        <v>7478.1686840207067</v>
      </c>
      <c r="H43" s="117"/>
    </row>
    <row r="44" spans="1:8">
      <c r="A44" s="83" t="s">
        <v>513</v>
      </c>
      <c r="B44" s="84"/>
      <c r="C44" s="84"/>
      <c r="D44" s="84"/>
      <c r="E44" s="85"/>
      <c r="F44" s="115">
        <f>+SALARIOS!C46</f>
        <v>0.05</v>
      </c>
      <c r="G44" s="116">
        <f>+F44*H40</f>
        <v>2492.722894673569</v>
      </c>
      <c r="H44" s="117"/>
    </row>
    <row r="45" spans="1:8" ht="15.75" thickBot="1">
      <c r="A45" s="89" t="s">
        <v>514</v>
      </c>
      <c r="B45" s="90"/>
      <c r="C45" s="90"/>
      <c r="D45" s="90"/>
      <c r="E45" s="91"/>
      <c r="F45" s="118">
        <f>+SALARIOS!C47</f>
        <v>0.05</v>
      </c>
      <c r="G45" s="119">
        <f>+F45*H40</f>
        <v>2492.722894673569</v>
      </c>
      <c r="H45" s="80"/>
    </row>
    <row r="46" spans="1:8" ht="15.75" thickBot="1">
      <c r="A46" s="61"/>
      <c r="B46" s="61"/>
      <c r="C46" s="61"/>
      <c r="D46" s="61"/>
      <c r="E46" s="61"/>
      <c r="F46" s="61"/>
      <c r="G46" s="81" t="s">
        <v>491</v>
      </c>
      <c r="H46" s="120">
        <f>SUM(G43:G45)</f>
        <v>12463.614473367845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62318</v>
      </c>
    </row>
  </sheetData>
  <mergeCells count="1">
    <mergeCell ref="A3:C4"/>
  </mergeCells>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1220</v>
      </c>
      <c r="H7" s="61"/>
    </row>
    <row r="8" spans="1:8">
      <c r="A8" s="60" t="s">
        <v>1215</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1199.8598084973976</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1216</v>
      </c>
      <c r="B21" s="84"/>
      <c r="C21" s="85"/>
      <c r="D21" s="141" t="s">
        <v>61</v>
      </c>
      <c r="E21" s="139">
        <f>+MATERIALES!D138</f>
        <v>40774</v>
      </c>
      <c r="F21" s="163">
        <v>1</v>
      </c>
      <c r="G21" s="137">
        <f>+E21*F21</f>
        <v>40774</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40774</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104">
        <f>+SALARIOS!C48</f>
        <v>1.7846558312967005</v>
      </c>
      <c r="E34" s="69">
        <f>+C34*D34</f>
        <v>74348.76193182054</v>
      </c>
      <c r="F34" s="69">
        <v>10</v>
      </c>
      <c r="G34" s="105">
        <f>+E34/F34</f>
        <v>7434.8761931820536</v>
      </c>
      <c r="H34" s="72"/>
    </row>
    <row r="35" spans="1:8">
      <c r="A35" s="83" t="s">
        <v>1132</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53972.457893471379</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8095.8686840207065</v>
      </c>
      <c r="H43" s="117"/>
    </row>
    <row r="44" spans="1:8">
      <c r="A44" s="83" t="s">
        <v>513</v>
      </c>
      <c r="B44" s="84"/>
      <c r="C44" s="84"/>
      <c r="D44" s="84"/>
      <c r="E44" s="85"/>
      <c r="F44" s="115">
        <v>0.05</v>
      </c>
      <c r="G44" s="116">
        <f>+F44*H40</f>
        <v>2698.6228946735691</v>
      </c>
      <c r="H44" s="117"/>
    </row>
    <row r="45" spans="1:8" ht="15.75" thickBot="1">
      <c r="A45" s="89" t="s">
        <v>514</v>
      </c>
      <c r="B45" s="90"/>
      <c r="C45" s="90"/>
      <c r="D45" s="90"/>
      <c r="E45" s="91"/>
      <c r="F45" s="118">
        <v>0.05</v>
      </c>
      <c r="G45" s="119">
        <f>+F45*H40</f>
        <v>2698.6228946735691</v>
      </c>
      <c r="H45" s="80"/>
    </row>
    <row r="46" spans="1:8" ht="15.75" thickBot="1">
      <c r="A46" s="61"/>
      <c r="B46" s="61"/>
      <c r="C46" s="61"/>
      <c r="D46" s="61"/>
      <c r="E46" s="61"/>
      <c r="F46" s="61"/>
      <c r="G46" s="81" t="s">
        <v>491</v>
      </c>
      <c r="H46" s="120">
        <f>SUM(G43:G45)</f>
        <v>13493.114473367845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67466</v>
      </c>
    </row>
  </sheetData>
  <mergeCells count="1">
    <mergeCell ref="A3:C4"/>
  </mergeCells>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28"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1223</v>
      </c>
      <c r="H7" s="61"/>
    </row>
    <row r="8" spans="1:8">
      <c r="A8" s="60" t="s">
        <v>1218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1090.9545741838808</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1090.9545741838808</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1219</v>
      </c>
      <c r="B21" s="84"/>
      <c r="C21" s="85"/>
      <c r="D21" s="141" t="s">
        <v>61</v>
      </c>
      <c r="E21" s="139">
        <f>+MATERIALES!D139</f>
        <v>36656</v>
      </c>
      <c r="F21" s="163">
        <v>1</v>
      </c>
      <c r="G21" s="137">
        <f>+E21*F21</f>
        <v>36656</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36656</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v>42000</v>
      </c>
      <c r="D34" s="334">
        <v>1.744606166638224</v>
      </c>
      <c r="E34" s="69">
        <f>+C34*D34</f>
        <v>73273.458998805407</v>
      </c>
      <c r="F34" s="69">
        <v>10</v>
      </c>
      <c r="G34" s="105">
        <f>+E34/F34</f>
        <v>7327.3458998805409</v>
      </c>
      <c r="H34" s="72"/>
    </row>
    <row r="35" spans="1:8">
      <c r="A35" s="83" t="s">
        <v>1132</v>
      </c>
      <c r="B35" s="84"/>
      <c r="C35" s="103">
        <v>20533</v>
      </c>
      <c r="D35" s="334">
        <v>1.744606166638224</v>
      </c>
      <c r="E35" s="69">
        <f>+C35*D35</f>
        <v>35821.998419582655</v>
      </c>
      <c r="F35" s="69">
        <v>10</v>
      </c>
      <c r="G35" s="105">
        <f>+E35/F35</f>
        <v>3582.1998419582656</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10909.545741838807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48656.500316022692</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7298.4750474034036</v>
      </c>
      <c r="H43" s="117"/>
    </row>
    <row r="44" spans="1:8">
      <c r="A44" s="83" t="s">
        <v>513</v>
      </c>
      <c r="B44" s="84"/>
      <c r="C44" s="84"/>
      <c r="D44" s="84"/>
      <c r="E44" s="85"/>
      <c r="F44" s="115">
        <v>0.05</v>
      </c>
      <c r="G44" s="116">
        <f>+F44*H40</f>
        <v>2432.8250158011347</v>
      </c>
      <c r="H44" s="117"/>
    </row>
    <row r="45" spans="1:8" ht="15.75" thickBot="1">
      <c r="A45" s="89" t="s">
        <v>514</v>
      </c>
      <c r="B45" s="90"/>
      <c r="C45" s="90"/>
      <c r="D45" s="90"/>
      <c r="E45" s="91"/>
      <c r="F45" s="118">
        <v>0.05</v>
      </c>
      <c r="G45" s="119">
        <f>+F45*H40</f>
        <v>2432.8250158011347</v>
      </c>
      <c r="H45" s="80"/>
    </row>
    <row r="46" spans="1:8" ht="15.75" thickBot="1">
      <c r="A46" s="61"/>
      <c r="B46" s="61"/>
      <c r="C46" s="61"/>
      <c r="D46" s="61"/>
      <c r="E46" s="61"/>
      <c r="F46" s="61"/>
      <c r="G46" s="81" t="s">
        <v>491</v>
      </c>
      <c r="H46" s="120">
        <f>SUM(G43:G45)</f>
        <v>12164.125079005673</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60821</v>
      </c>
    </row>
  </sheetData>
  <mergeCells count="1">
    <mergeCell ref="A3:C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28" workbookViewId="0">
      <selection activeCell="F34" sqref="F3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586</v>
      </c>
      <c r="B7" s="62"/>
      <c r="C7" s="61"/>
      <c r="D7" s="16"/>
      <c r="E7" s="62"/>
      <c r="F7" s="16"/>
      <c r="G7" s="62" t="s">
        <v>580</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8" t="s">
        <v>486</v>
      </c>
      <c r="E11" s="65" t="s">
        <v>487</v>
      </c>
      <c r="F11" s="158" t="s">
        <v>488</v>
      </c>
      <c r="G11" s="157" t="s">
        <v>489</v>
      </c>
      <c r="H11" s="67"/>
    </row>
    <row r="12" spans="1:8">
      <c r="A12" s="1480" t="s">
        <v>1487</v>
      </c>
      <c r="B12" s="1481"/>
      <c r="C12" s="1482"/>
      <c r="D12" s="68"/>
      <c r="E12" s="86"/>
      <c r="F12" s="161"/>
      <c r="G12" s="71">
        <f>H38*10%</f>
        <v>4278.4892735549274</v>
      </c>
      <c r="H12" s="72"/>
    </row>
    <row r="13" spans="1:8">
      <c r="A13" s="175" t="s">
        <v>63</v>
      </c>
      <c r="B13" s="176"/>
      <c r="C13" s="174"/>
      <c r="D13" s="174" t="s">
        <v>17</v>
      </c>
      <c r="E13" s="173">
        <f>+'EQUIPOS '!D9</f>
        <v>84100</v>
      </c>
      <c r="F13" s="173">
        <v>15.49</v>
      </c>
      <c r="G13" s="173">
        <f>+E13/F13</f>
        <v>5429.3092317624269</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9707.7985053173543</v>
      </c>
    </row>
    <row r="19" spans="1:8" ht="15.75" thickBot="1">
      <c r="A19" s="63" t="s">
        <v>492</v>
      </c>
      <c r="B19" s="63"/>
      <c r="C19" s="61"/>
      <c r="D19" s="61"/>
      <c r="E19" s="61"/>
      <c r="F19" s="61"/>
      <c r="G19" s="61"/>
      <c r="H19" s="61"/>
    </row>
    <row r="20" spans="1:8">
      <c r="A20" s="1472" t="s">
        <v>485</v>
      </c>
      <c r="B20" s="1473"/>
      <c r="C20" s="1474"/>
      <c r="D20" s="160" t="s">
        <v>493</v>
      </c>
      <c r="E20" s="160" t="s">
        <v>494</v>
      </c>
      <c r="F20" s="160" t="s">
        <v>495</v>
      </c>
      <c r="G20" s="15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8" t="s">
        <v>499</v>
      </c>
      <c r="E27" s="158" t="s">
        <v>500</v>
      </c>
      <c r="F27" s="15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8" t="s">
        <v>504</v>
      </c>
      <c r="D33" s="158" t="s">
        <v>505</v>
      </c>
      <c r="E33" s="124" t="s">
        <v>506</v>
      </c>
      <c r="F33" s="102" t="s">
        <v>488</v>
      </c>
      <c r="G33" s="157" t="s">
        <v>489</v>
      </c>
      <c r="H33" s="67"/>
    </row>
    <row r="34" spans="1:8">
      <c r="A34" s="83" t="s">
        <v>564</v>
      </c>
      <c r="B34" s="84"/>
      <c r="C34" s="103">
        <f>+SALARIOS!C49*3</f>
        <v>76716</v>
      </c>
      <c r="D34" s="104">
        <f>+SALARIOS!C48</f>
        <v>1.7846558312967005</v>
      </c>
      <c r="E34" s="69">
        <f>(C34*D34)</f>
        <v>136911.65675375768</v>
      </c>
      <c r="F34" s="69">
        <v>3.2</v>
      </c>
      <c r="G34" s="105">
        <f>E34/F34</f>
        <v>42784.892735549271</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42784.892735549271</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52492.691240866625</v>
      </c>
    </row>
    <row r="41" spans="1:8" ht="15.75" thickBot="1">
      <c r="A41" s="63" t="s">
        <v>509</v>
      </c>
      <c r="B41" s="63"/>
      <c r="C41" s="61"/>
      <c r="D41" s="61"/>
      <c r="E41" s="61"/>
      <c r="F41" s="61"/>
      <c r="G41" s="61"/>
      <c r="H41" s="61"/>
    </row>
    <row r="42" spans="1:8">
      <c r="A42" s="110" t="s">
        <v>485</v>
      </c>
      <c r="B42" s="111"/>
      <c r="C42" s="111"/>
      <c r="D42" s="111"/>
      <c r="E42" s="112"/>
      <c r="F42" s="160" t="s">
        <v>510</v>
      </c>
      <c r="G42" s="159" t="s">
        <v>511</v>
      </c>
      <c r="H42" s="67"/>
    </row>
    <row r="43" spans="1:8">
      <c r="A43" s="83" t="s">
        <v>512</v>
      </c>
      <c r="B43" s="84"/>
      <c r="C43" s="84"/>
      <c r="D43" s="84"/>
      <c r="E43" s="85"/>
      <c r="F43" s="115">
        <f>(SALARIOS!C45)</f>
        <v>0.15</v>
      </c>
      <c r="G43" s="116">
        <f>++F43*H40</f>
        <v>7873.9036861299937</v>
      </c>
      <c r="H43" s="117"/>
    </row>
    <row r="44" spans="1:8">
      <c r="A44" s="83" t="s">
        <v>513</v>
      </c>
      <c r="B44" s="84"/>
      <c r="C44" s="84"/>
      <c r="D44" s="84"/>
      <c r="E44" s="85"/>
      <c r="F44" s="115">
        <f>(SALARIOS!C46)</f>
        <v>0.05</v>
      </c>
      <c r="G44" s="116">
        <f>+F44*H40</f>
        <v>2624.6345620433312</v>
      </c>
      <c r="H44" s="117"/>
    </row>
    <row r="45" spans="1:8" ht="15.75" thickBot="1">
      <c r="A45" s="89" t="s">
        <v>514</v>
      </c>
      <c r="B45" s="90"/>
      <c r="C45" s="90"/>
      <c r="D45" s="90"/>
      <c r="E45" s="91"/>
      <c r="F45" s="118">
        <f>(SALARIOS!C47)</f>
        <v>0.05</v>
      </c>
      <c r="G45" s="119">
        <f>+F45*H40</f>
        <v>2624.6345620433312</v>
      </c>
      <c r="H45" s="80"/>
    </row>
    <row r="46" spans="1:8" ht="15.75" thickBot="1">
      <c r="A46" s="61"/>
      <c r="B46" s="61"/>
      <c r="C46" s="61"/>
      <c r="D46" s="61"/>
      <c r="E46" s="61"/>
      <c r="F46" s="61"/>
      <c r="G46" s="81" t="s">
        <v>491</v>
      </c>
      <c r="H46" s="120">
        <f>SUM(G43:G45)</f>
        <v>13123.172810216656</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65616</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31"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1226</v>
      </c>
      <c r="H7" s="61"/>
    </row>
    <row r="8" spans="1:8">
      <c r="A8" s="60" t="s">
        <v>1221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1199.8598084973976</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1222</v>
      </c>
      <c r="B21" s="84"/>
      <c r="C21" s="85"/>
      <c r="D21" s="141" t="s">
        <v>61</v>
      </c>
      <c r="E21" s="139">
        <f>+MATERIALES!D219</f>
        <v>495686.56</v>
      </c>
      <c r="F21" s="163">
        <v>1</v>
      </c>
      <c r="G21" s="137">
        <f>+E21*F21</f>
        <v>495686.56</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495686.56</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v>
      </c>
      <c r="G34" s="105">
        <f>+E34/F34</f>
        <v>7434.8761931820536</v>
      </c>
      <c r="H34" s="72"/>
    </row>
    <row r="35" spans="1:8">
      <c r="A35" s="83" t="s">
        <v>1132</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508885.01789347141</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76332.752684020714</v>
      </c>
      <c r="H43" s="117"/>
    </row>
    <row r="44" spans="1:8">
      <c r="A44" s="83" t="s">
        <v>513</v>
      </c>
      <c r="B44" s="84"/>
      <c r="C44" s="84"/>
      <c r="D44" s="84"/>
      <c r="E44" s="85"/>
      <c r="F44" s="115">
        <v>0.05</v>
      </c>
      <c r="G44" s="116">
        <f>+F44*H40</f>
        <v>25444.250894673572</v>
      </c>
      <c r="H44" s="117"/>
    </row>
    <row r="45" spans="1:8" ht="15.75" thickBot="1">
      <c r="A45" s="89" t="s">
        <v>514</v>
      </c>
      <c r="B45" s="90"/>
      <c r="C45" s="90"/>
      <c r="D45" s="90"/>
      <c r="E45" s="91"/>
      <c r="F45" s="118">
        <v>0.05</v>
      </c>
      <c r="G45" s="119">
        <f>+F45*H40</f>
        <v>25444.250894673572</v>
      </c>
      <c r="H45" s="80"/>
    </row>
    <row r="46" spans="1:8" ht="15.75" thickBot="1">
      <c r="A46" s="61"/>
      <c r="B46" s="61"/>
      <c r="C46" s="61"/>
      <c r="D46" s="61"/>
      <c r="E46" s="61"/>
      <c r="F46" s="61"/>
      <c r="G46" s="81" t="s">
        <v>491</v>
      </c>
      <c r="H46" s="120">
        <f>SUM(G43:G45)</f>
        <v>127221.25447336787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636106</v>
      </c>
    </row>
  </sheetData>
  <mergeCells count="1">
    <mergeCell ref="A3:C4"/>
  </mergeCells>
  <pageMargins left="0.7" right="0.7" top="0.75" bottom="0.75" header="0.3" footer="0.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workbookViewId="0">
      <selection activeCell="E21" sqref="E21"/>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1228</v>
      </c>
      <c r="H7" s="61"/>
    </row>
    <row r="8" spans="1:8">
      <c r="A8" s="60" t="s">
        <v>1224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1199.8598084973976</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1225</v>
      </c>
      <c r="B21" s="84"/>
      <c r="C21" s="85"/>
      <c r="D21" s="141" t="s">
        <v>61</v>
      </c>
      <c r="E21" s="139">
        <f>+MATERIALES!D220</f>
        <v>810691.1333333333</v>
      </c>
      <c r="F21" s="163">
        <v>1</v>
      </c>
      <c r="G21" s="137">
        <f>+E21*F21</f>
        <v>810691.1333333333</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810691.1333333333</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v>
      </c>
      <c r="G34" s="105">
        <f>+E34/F34</f>
        <v>7434.8761931820536</v>
      </c>
      <c r="H34" s="72"/>
    </row>
    <row r="35" spans="1:8">
      <c r="A35" s="83" t="s">
        <v>1132</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823889.59122680465</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123583.43868402069</v>
      </c>
      <c r="H43" s="117"/>
    </row>
    <row r="44" spans="1:8">
      <c r="A44" s="83" t="s">
        <v>513</v>
      </c>
      <c r="B44" s="84"/>
      <c r="C44" s="84"/>
      <c r="D44" s="84"/>
      <c r="E44" s="85"/>
      <c r="F44" s="115">
        <v>0.05</v>
      </c>
      <c r="G44" s="116">
        <f>+F44*H40</f>
        <v>41194.479561340238</v>
      </c>
      <c r="H44" s="117"/>
    </row>
    <row r="45" spans="1:8" ht="15.75" thickBot="1">
      <c r="A45" s="89" t="s">
        <v>514</v>
      </c>
      <c r="B45" s="90"/>
      <c r="C45" s="90"/>
      <c r="D45" s="90"/>
      <c r="E45" s="91"/>
      <c r="F45" s="118">
        <v>0.05</v>
      </c>
      <c r="G45" s="119">
        <f>+F45*H40</f>
        <v>41194.479561340238</v>
      </c>
      <c r="H45" s="80"/>
    </row>
    <row r="46" spans="1:8" ht="15.75" thickBot="1">
      <c r="A46" s="61"/>
      <c r="B46" s="61"/>
      <c r="C46" s="61"/>
      <c r="D46" s="61"/>
      <c r="E46" s="61"/>
      <c r="F46" s="61"/>
      <c r="G46" s="81" t="s">
        <v>491</v>
      </c>
      <c r="H46" s="120">
        <f>SUM(G43:G45)</f>
        <v>205972.39780670116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1029862</v>
      </c>
    </row>
  </sheetData>
  <mergeCells count="1">
    <mergeCell ref="A3:C4"/>
  </mergeCells>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19" workbookViewId="0">
      <selection activeCell="E22" sqref="E2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1230</v>
      </c>
      <c r="H7" s="61"/>
    </row>
    <row r="8" spans="1:8">
      <c r="A8" s="60" t="s">
        <v>1227</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1199.8598084973976</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1225</v>
      </c>
      <c r="B21" s="84"/>
      <c r="C21" s="85"/>
      <c r="D21" s="141" t="s">
        <v>61</v>
      </c>
      <c r="E21" s="139">
        <f>+MATERIALES!D221</f>
        <v>940258.87999999989</v>
      </c>
      <c r="F21" s="163">
        <v>1</v>
      </c>
      <c r="G21" s="137">
        <f>+E21*F21</f>
        <v>940258.87999999989</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940258.87999999989</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v>
      </c>
      <c r="G34" s="105">
        <f>+E34/F34</f>
        <v>7434.8761931820536</v>
      </c>
      <c r="H34" s="72"/>
    </row>
    <row r="35" spans="1:8">
      <c r="A35" s="83" t="s">
        <v>1132</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953457.33789347124</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143018.60068402067</v>
      </c>
      <c r="H43" s="117"/>
    </row>
    <row r="44" spans="1:8">
      <c r="A44" s="83" t="s">
        <v>513</v>
      </c>
      <c r="B44" s="84"/>
      <c r="C44" s="84"/>
      <c r="D44" s="84"/>
      <c r="E44" s="85"/>
      <c r="F44" s="115">
        <v>0.05</v>
      </c>
      <c r="G44" s="116">
        <f>+F44*H40</f>
        <v>47672.866894673563</v>
      </c>
      <c r="H44" s="117"/>
    </row>
    <row r="45" spans="1:8" ht="15.75" thickBot="1">
      <c r="A45" s="89" t="s">
        <v>514</v>
      </c>
      <c r="B45" s="90"/>
      <c r="C45" s="90"/>
      <c r="D45" s="90"/>
      <c r="E45" s="91"/>
      <c r="F45" s="118">
        <v>0.05</v>
      </c>
      <c r="G45" s="119">
        <f>+F45*H40</f>
        <v>47672.866894673563</v>
      </c>
      <c r="H45" s="80"/>
    </row>
    <row r="46" spans="1:8" ht="15.75" thickBot="1">
      <c r="A46" s="61"/>
      <c r="B46" s="61"/>
      <c r="C46" s="61"/>
      <c r="D46" s="61"/>
      <c r="E46" s="61"/>
      <c r="F46" s="61"/>
      <c r="G46" s="81" t="s">
        <v>491</v>
      </c>
      <c r="H46" s="120">
        <f>SUM(G43:G45)</f>
        <v>238364.33447336778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1191822</v>
      </c>
    </row>
  </sheetData>
  <mergeCells count="1">
    <mergeCell ref="A3:C4"/>
  </mergeCell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28"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1233</v>
      </c>
      <c r="H7" s="61"/>
    </row>
    <row r="8" spans="1:8">
      <c r="A8" s="60" t="s">
        <v>1227</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1199.8598084973976</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1229</v>
      </c>
      <c r="B21" s="84"/>
      <c r="C21" s="85"/>
      <c r="D21" s="141" t="s">
        <v>61</v>
      </c>
      <c r="E21" s="139">
        <f>+MATERIALES!D222</f>
        <v>1816328.3866666665</v>
      </c>
      <c r="F21" s="163">
        <v>1</v>
      </c>
      <c r="G21" s="137">
        <f>+E21*F21</f>
        <v>1816328.3866666665</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1816328.3866666665</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v>
      </c>
      <c r="G34" s="105">
        <f>+E34/F34</f>
        <v>7434.8761931820536</v>
      </c>
      <c r="H34" s="72"/>
    </row>
    <row r="35" spans="1:8">
      <c r="A35" s="83" t="s">
        <v>1132</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1829526.8445601377</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274429.02668402065</v>
      </c>
      <c r="H43" s="117"/>
    </row>
    <row r="44" spans="1:8">
      <c r="A44" s="83" t="s">
        <v>513</v>
      </c>
      <c r="B44" s="84"/>
      <c r="C44" s="84"/>
      <c r="D44" s="84"/>
      <c r="E44" s="85"/>
      <c r="F44" s="115">
        <v>0.05</v>
      </c>
      <c r="G44" s="116">
        <f>+F44*H40</f>
        <v>91476.342228006892</v>
      </c>
      <c r="H44" s="117"/>
    </row>
    <row r="45" spans="1:8" ht="15.75" thickBot="1">
      <c r="A45" s="89" t="s">
        <v>514</v>
      </c>
      <c r="B45" s="90"/>
      <c r="C45" s="90"/>
      <c r="D45" s="90"/>
      <c r="E45" s="91"/>
      <c r="F45" s="118">
        <v>0.05</v>
      </c>
      <c r="G45" s="119">
        <f>+F45*H40</f>
        <v>91476.342228006892</v>
      </c>
      <c r="H45" s="80"/>
    </row>
    <row r="46" spans="1:8" ht="15.75" thickBot="1">
      <c r="A46" s="61"/>
      <c r="B46" s="61"/>
      <c r="C46" s="61"/>
      <c r="D46" s="61"/>
      <c r="E46" s="61"/>
      <c r="F46" s="61"/>
      <c r="G46" s="81" t="s">
        <v>491</v>
      </c>
      <c r="H46" s="120">
        <f>SUM(G43:G45)</f>
        <v>457381.71114003449</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2286909</v>
      </c>
    </row>
  </sheetData>
  <mergeCells count="1">
    <mergeCell ref="A3:C4"/>
  </mergeCells>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34"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1236</v>
      </c>
      <c r="H7" s="61"/>
    </row>
    <row r="8" spans="1:8">
      <c r="A8" s="60" t="s">
        <v>1231</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1199.8598084973976</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1199.8598084973976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1232</v>
      </c>
      <c r="B21" s="84"/>
      <c r="C21" s="85"/>
      <c r="D21" s="141" t="s">
        <v>61</v>
      </c>
      <c r="E21" s="139">
        <f>+MATERIALES!D223</f>
        <v>3145291.28</v>
      </c>
      <c r="F21" s="163">
        <v>1</v>
      </c>
      <c r="G21" s="137">
        <f>+E21*F21</f>
        <v>3145291.28</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3145291.28</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v>
      </c>
      <c r="G34" s="105">
        <f>+E34/F34</f>
        <v>7434.8761931820536</v>
      </c>
      <c r="H34" s="72"/>
    </row>
    <row r="35" spans="1:8">
      <c r="A35" s="83" t="s">
        <v>1132</v>
      </c>
      <c r="B35" s="84"/>
      <c r="C35" s="103">
        <f>+SALARIOS!C49*1</f>
        <v>25572</v>
      </c>
      <c r="D35" s="334">
        <f>+SALARIOS!C48</f>
        <v>1.7846558312967005</v>
      </c>
      <c r="E35" s="69">
        <f>+C35*D35</f>
        <v>45637.218917919221</v>
      </c>
      <c r="F35" s="69">
        <v>10</v>
      </c>
      <c r="G35" s="105">
        <f>+E35/F35</f>
        <v>4563.7218917919217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11998.598084973975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3158489.7378934715</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473773.46068402071</v>
      </c>
      <c r="H43" s="117"/>
    </row>
    <row r="44" spans="1:8">
      <c r="A44" s="83" t="s">
        <v>513</v>
      </c>
      <c r="B44" s="84"/>
      <c r="C44" s="84"/>
      <c r="D44" s="84"/>
      <c r="E44" s="85"/>
      <c r="F44" s="115">
        <v>0.05</v>
      </c>
      <c r="G44" s="116">
        <f>+F44*H40</f>
        <v>157924.48689467358</v>
      </c>
      <c r="H44" s="117"/>
    </row>
    <row r="45" spans="1:8" ht="15.75" thickBot="1">
      <c r="A45" s="89" t="s">
        <v>514</v>
      </c>
      <c r="B45" s="90"/>
      <c r="C45" s="90"/>
      <c r="D45" s="90"/>
      <c r="E45" s="91"/>
      <c r="F45" s="118">
        <v>0.05</v>
      </c>
      <c r="G45" s="119">
        <f>+F45*H40</f>
        <v>157924.48689467358</v>
      </c>
      <c r="H45" s="80"/>
    </row>
    <row r="46" spans="1:8" ht="15.75" thickBot="1">
      <c r="A46" s="61"/>
      <c r="B46" s="61"/>
      <c r="C46" s="61"/>
      <c r="D46" s="61"/>
      <c r="E46" s="61"/>
      <c r="F46" s="61"/>
      <c r="G46" s="81" t="s">
        <v>491</v>
      </c>
      <c r="H46" s="120">
        <f>SUM(G43:G45)</f>
        <v>789622.43447336787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3948112</v>
      </c>
    </row>
  </sheetData>
  <mergeCells count="1">
    <mergeCell ref="A3:C4"/>
  </mergeCells>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34"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1236</v>
      </c>
      <c r="H7" s="61"/>
    </row>
    <row r="8" spans="1:8">
      <c r="A8" s="60" t="s">
        <v>1234</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373"/>
      <c r="C12" s="374"/>
      <c r="D12" s="68"/>
      <c r="E12" s="86"/>
      <c r="F12" s="161"/>
      <c r="G12" s="71">
        <f>H38*10%</f>
        <v>1656.2319976765896</v>
      </c>
      <c r="H12" s="72"/>
    </row>
    <row r="13" spans="1:8">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1656.2319976765896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1235</v>
      </c>
      <c r="B21" s="84"/>
      <c r="C21" s="85"/>
      <c r="D21" s="141" t="s">
        <v>61</v>
      </c>
      <c r="E21" s="139">
        <f>MATERIALES!D238</f>
        <v>241280</v>
      </c>
      <c r="F21" s="163">
        <v>1</v>
      </c>
      <c r="G21" s="137">
        <f>+E21*F21</f>
        <v>241280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241280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v>
      </c>
      <c r="G34" s="105">
        <f>+E34/F34</f>
        <v>7434.8761931820536</v>
      </c>
      <c r="H34" s="72"/>
    </row>
    <row r="35" spans="1:8">
      <c r="A35" s="83" t="s">
        <v>554</v>
      </c>
      <c r="B35" s="84"/>
      <c r="C35" s="103">
        <f>+SALARIOS!C49*2</f>
        <v>51144</v>
      </c>
      <c r="D35" s="334">
        <f>+SALARIOS!C48</f>
        <v>1.7846558312967005</v>
      </c>
      <c r="E35" s="69">
        <f>+C35*D35</f>
        <v>91274.437835838442</v>
      </c>
      <c r="F35" s="69">
        <v>10</v>
      </c>
      <c r="G35" s="105">
        <f>+E35/F35</f>
        <v>9127.4437835838435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16562.319976765895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259498.5519744425</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38924.782796166372</v>
      </c>
      <c r="H43" s="117"/>
    </row>
    <row r="44" spans="1:8">
      <c r="A44" s="83" t="s">
        <v>513</v>
      </c>
      <c r="B44" s="84"/>
      <c r="C44" s="84"/>
      <c r="D44" s="84"/>
      <c r="E44" s="85"/>
      <c r="F44" s="115">
        <v>0.05</v>
      </c>
      <c r="G44" s="116">
        <f>+F44*H40</f>
        <v>12974.927598722126</v>
      </c>
      <c r="H44" s="117"/>
    </row>
    <row r="45" spans="1:8" ht="15.75" thickBot="1">
      <c r="A45" s="89" t="s">
        <v>514</v>
      </c>
      <c r="B45" s="90"/>
      <c r="C45" s="90"/>
      <c r="D45" s="90"/>
      <c r="E45" s="91"/>
      <c r="F45" s="118">
        <v>0.05</v>
      </c>
      <c r="G45" s="119">
        <f>+F45*H40</f>
        <v>12974.927598722126</v>
      </c>
      <c r="H45" s="80"/>
    </row>
    <row r="46" spans="1:8" ht="15.75" thickBot="1">
      <c r="A46" s="61"/>
      <c r="B46" s="61"/>
      <c r="C46" s="61"/>
      <c r="D46" s="61"/>
      <c r="E46" s="61"/>
      <c r="F46" s="61"/>
      <c r="G46" s="81" t="s">
        <v>491</v>
      </c>
      <c r="H46" s="120">
        <f>SUM(G43:G45)</f>
        <v>64874.637993610624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324373</v>
      </c>
    </row>
  </sheetData>
  <mergeCells count="1">
    <mergeCell ref="A3:C4"/>
  </mergeCell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31"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1241</v>
      </c>
      <c r="H7" s="61"/>
    </row>
    <row r="8" spans="1:8">
      <c r="A8" s="60" t="s">
        <v>1237</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090"/>
      <c r="C12" s="1091"/>
      <c r="D12" s="68"/>
      <c r="E12" s="86"/>
      <c r="F12" s="161"/>
      <c r="G12" s="71">
        <f>H38*10%</f>
        <v>1656.2319976765896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1656.2319976765896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1238</v>
      </c>
      <c r="B21" s="84"/>
      <c r="C21" s="85"/>
      <c r="D21" s="141" t="s">
        <v>61</v>
      </c>
      <c r="E21" s="139">
        <f>MATERIALES!D239</f>
        <v>464000</v>
      </c>
      <c r="F21" s="163">
        <v>1</v>
      </c>
      <c r="G21" s="137">
        <f>+E21*F21</f>
        <v>464000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464000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v>
      </c>
      <c r="G34" s="105">
        <f>+E34/F34</f>
        <v>7434.8761931820536</v>
      </c>
      <c r="H34" s="72"/>
    </row>
    <row r="35" spans="1:8">
      <c r="A35" s="83" t="s">
        <v>554</v>
      </c>
      <c r="B35" s="84"/>
      <c r="C35" s="103">
        <f>+SALARIOS!C49*2</f>
        <v>51144</v>
      </c>
      <c r="D35" s="334">
        <f>+SALARIOS!C48</f>
        <v>1.7846558312967005</v>
      </c>
      <c r="E35" s="69">
        <f>+C35*D35</f>
        <v>91274.437835838442</v>
      </c>
      <c r="F35" s="69">
        <v>10</v>
      </c>
      <c r="G35" s="105">
        <f>+E35/F35</f>
        <v>9127.4437835838435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16562.319976765895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482218.5519744425</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72332.782796166372</v>
      </c>
      <c r="H43" s="117"/>
    </row>
    <row r="44" spans="1:8">
      <c r="A44" s="83" t="s">
        <v>513</v>
      </c>
      <c r="B44" s="84"/>
      <c r="C44" s="84"/>
      <c r="D44" s="84"/>
      <c r="E44" s="85"/>
      <c r="F44" s="115">
        <v>0.05</v>
      </c>
      <c r="G44" s="116">
        <f>+F44*H40</f>
        <v>24110.927598722126</v>
      </c>
      <c r="H44" s="117"/>
    </row>
    <row r="45" spans="1:8" ht="15.75" thickBot="1">
      <c r="A45" s="89" t="s">
        <v>514</v>
      </c>
      <c r="B45" s="90"/>
      <c r="C45" s="90"/>
      <c r="D45" s="90"/>
      <c r="E45" s="91"/>
      <c r="F45" s="118">
        <v>0.05</v>
      </c>
      <c r="G45" s="119">
        <f>+F45*H40</f>
        <v>24110.927598722126</v>
      </c>
      <c r="H45" s="80"/>
    </row>
    <row r="46" spans="1:8" ht="15.75" thickBot="1">
      <c r="A46" s="61"/>
      <c r="B46" s="61"/>
      <c r="C46" s="61"/>
      <c r="D46" s="61"/>
      <c r="E46" s="61"/>
      <c r="F46" s="61"/>
      <c r="G46" s="81" t="s">
        <v>491</v>
      </c>
      <c r="H46" s="120">
        <f>SUM(G43:G45)</f>
        <v>120554.63799361064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602773</v>
      </c>
    </row>
  </sheetData>
  <mergeCells count="1">
    <mergeCell ref="A3:C4"/>
  </mergeCell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28"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1244</v>
      </c>
      <c r="H7" s="61"/>
    </row>
    <row r="8" spans="1:8">
      <c r="A8" s="60" t="s">
        <v>1239</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090"/>
      <c r="C12" s="1091"/>
      <c r="D12" s="68"/>
      <c r="E12" s="86"/>
      <c r="F12" s="161"/>
      <c r="G12" s="71">
        <f>H38*10%</f>
        <v>1656.2319976765896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1656.2319976765896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1240</v>
      </c>
      <c r="B21" s="84"/>
      <c r="C21" s="85"/>
      <c r="D21" s="141" t="s">
        <v>61</v>
      </c>
      <c r="E21" s="139">
        <f>MATERIALES!D240</f>
        <v>737760</v>
      </c>
      <c r="F21" s="163">
        <v>1</v>
      </c>
      <c r="G21" s="137">
        <f>+E21*F21</f>
        <v>737760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737760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v>
      </c>
      <c r="G34" s="105">
        <f>+E34/F34</f>
        <v>7434.8761931820536</v>
      </c>
      <c r="H34" s="72"/>
    </row>
    <row r="35" spans="1:8">
      <c r="A35" s="83" t="s">
        <v>554</v>
      </c>
      <c r="B35" s="84"/>
      <c r="C35" s="103">
        <f>+SALARIOS!C49*2</f>
        <v>51144</v>
      </c>
      <c r="D35" s="334">
        <f>+SALARIOS!C48</f>
        <v>1.7846558312967005</v>
      </c>
      <c r="E35" s="69">
        <f>+C35*D35</f>
        <v>91274.437835838442</v>
      </c>
      <c r="F35" s="69">
        <v>10</v>
      </c>
      <c r="G35" s="105">
        <f>+E35/F35</f>
        <v>9127.4437835838435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16562.319976765895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755978.55197444244</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113396.78279616636</v>
      </c>
      <c r="H43" s="117"/>
    </row>
    <row r="44" spans="1:8">
      <c r="A44" s="83" t="s">
        <v>513</v>
      </c>
      <c r="B44" s="84"/>
      <c r="C44" s="84"/>
      <c r="D44" s="84"/>
      <c r="E44" s="85"/>
      <c r="F44" s="115">
        <v>0.05</v>
      </c>
      <c r="G44" s="116">
        <f>+F44*H40</f>
        <v>37798.927598722126</v>
      </c>
      <c r="H44" s="117"/>
    </row>
    <row r="45" spans="1:8" ht="15.75" thickBot="1">
      <c r="A45" s="89" t="s">
        <v>514</v>
      </c>
      <c r="B45" s="90"/>
      <c r="C45" s="90"/>
      <c r="D45" s="90"/>
      <c r="E45" s="91"/>
      <c r="F45" s="118">
        <v>0.05</v>
      </c>
      <c r="G45" s="119">
        <f>+F45*H40</f>
        <v>37798.927598722126</v>
      </c>
      <c r="H45" s="80"/>
    </row>
    <row r="46" spans="1:8" ht="15.75" thickBot="1">
      <c r="A46" s="61"/>
      <c r="B46" s="61"/>
      <c r="C46" s="61"/>
      <c r="D46" s="61"/>
      <c r="E46" s="61"/>
      <c r="F46" s="61"/>
      <c r="G46" s="81" t="s">
        <v>491</v>
      </c>
      <c r="H46" s="120">
        <f>SUM(G43:G45)</f>
        <v>188994.63799361061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944973</v>
      </c>
    </row>
  </sheetData>
  <mergeCells count="1">
    <mergeCell ref="A3:C4"/>
  </mergeCell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34"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1247</v>
      </c>
      <c r="H7" s="61"/>
    </row>
    <row r="8" spans="1:8">
      <c r="A8" s="60" t="s">
        <v>1242</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090"/>
      <c r="C12" s="1091"/>
      <c r="D12" s="68"/>
      <c r="E12" s="86"/>
      <c r="F12" s="161"/>
      <c r="G12" s="71">
        <f>H38*10%</f>
        <v>1656.2319976765896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1656.2319976765896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1243</v>
      </c>
      <c r="B21" s="84"/>
      <c r="C21" s="85"/>
      <c r="D21" s="141" t="s">
        <v>61</v>
      </c>
      <c r="E21" s="139">
        <f>MATERIALES!D241</f>
        <v>1040520</v>
      </c>
      <c r="F21" s="163">
        <v>1</v>
      </c>
      <c r="G21" s="137">
        <f>+E21*F21</f>
        <v>1040520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1040520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v>
      </c>
      <c r="G34" s="105">
        <f>+E34/F34</f>
        <v>7434.8761931820536</v>
      </c>
      <c r="H34" s="72"/>
    </row>
    <row r="35" spans="1:8">
      <c r="A35" s="83" t="s">
        <v>554</v>
      </c>
      <c r="B35" s="84"/>
      <c r="C35" s="103">
        <f>+SALARIOS!C49*2</f>
        <v>51144</v>
      </c>
      <c r="D35" s="334">
        <f>+SALARIOS!C48</f>
        <v>1.7846558312967005</v>
      </c>
      <c r="E35" s="69">
        <f>+C35*D35</f>
        <v>91274.437835838442</v>
      </c>
      <c r="F35" s="69">
        <v>10</v>
      </c>
      <c r="G35" s="105">
        <f>+E35/F35</f>
        <v>9127.4437835838435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16562.319976765895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1058738.5519744423</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158810.78279616634</v>
      </c>
      <c r="H43" s="117"/>
    </row>
    <row r="44" spans="1:8">
      <c r="A44" s="83" t="s">
        <v>513</v>
      </c>
      <c r="B44" s="84"/>
      <c r="C44" s="84"/>
      <c r="D44" s="84"/>
      <c r="E44" s="85"/>
      <c r="F44" s="115">
        <v>0.05</v>
      </c>
      <c r="G44" s="116">
        <f>+F44*H40</f>
        <v>52936.927598722119</v>
      </c>
      <c r="H44" s="117"/>
    </row>
    <row r="45" spans="1:8" ht="15.75" thickBot="1">
      <c r="A45" s="89" t="s">
        <v>514</v>
      </c>
      <c r="B45" s="90"/>
      <c r="C45" s="90"/>
      <c r="D45" s="90"/>
      <c r="E45" s="91"/>
      <c r="F45" s="118">
        <v>0.05</v>
      </c>
      <c r="G45" s="119">
        <f>+F45*H40</f>
        <v>52936.927598722119</v>
      </c>
      <c r="H45" s="80"/>
    </row>
    <row r="46" spans="1:8" ht="15.75" thickBot="1">
      <c r="A46" s="61"/>
      <c r="B46" s="61"/>
      <c r="C46" s="61"/>
      <c r="D46" s="61"/>
      <c r="E46" s="61"/>
      <c r="F46" s="61"/>
      <c r="G46" s="81" t="s">
        <v>491</v>
      </c>
      <c r="H46" s="120">
        <f>SUM(G43:G45)</f>
        <v>264684.63799361058</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1323423</v>
      </c>
    </row>
  </sheetData>
  <mergeCells count="1">
    <mergeCell ref="A3:C4"/>
  </mergeCell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34"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1963</v>
      </c>
      <c r="H7" s="61"/>
    </row>
    <row r="8" spans="1:8">
      <c r="A8" s="60" t="s">
        <v>1245</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090"/>
      <c r="C12" s="1091"/>
      <c r="D12" s="68"/>
      <c r="E12" s="86"/>
      <c r="F12" s="161"/>
      <c r="G12" s="71">
        <f>H38*10%</f>
        <v>1619.0643068869376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1619.0643068869376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1246</v>
      </c>
      <c r="B21" s="84"/>
      <c r="C21" s="85"/>
      <c r="D21" s="141" t="s">
        <v>61</v>
      </c>
      <c r="E21" s="139">
        <f>MATERIALES!D242</f>
        <v>1257440</v>
      </c>
      <c r="F21" s="163">
        <v>1</v>
      </c>
      <c r="G21" s="137">
        <f>+E21*F21</f>
        <v>1257440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1257440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v>1.744606166638224</v>
      </c>
      <c r="E34" s="69">
        <f>+C34*D34</f>
        <v>72680.292902148416</v>
      </c>
      <c r="F34" s="69">
        <v>10</v>
      </c>
      <c r="G34" s="105">
        <f>+E34/F34</f>
        <v>7268.0292902148412</v>
      </c>
      <c r="H34" s="72"/>
    </row>
    <row r="35" spans="1:8">
      <c r="A35" s="83" t="s">
        <v>554</v>
      </c>
      <c r="B35" s="84"/>
      <c r="C35" s="103">
        <f>+SALARIOS!C49*2</f>
        <v>51144</v>
      </c>
      <c r="D35" s="334">
        <v>1.744606166638224</v>
      </c>
      <c r="E35" s="69">
        <f>+C35*D35</f>
        <v>89226.137786545325</v>
      </c>
      <c r="F35" s="69">
        <v>10</v>
      </c>
      <c r="G35" s="105">
        <f>+E35/F35</f>
        <v>8922.6137786545332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16190.643068869374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1275249.7073757562</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191287.45610636342</v>
      </c>
      <c r="H43" s="117"/>
    </row>
    <row r="44" spans="1:8">
      <c r="A44" s="83" t="s">
        <v>513</v>
      </c>
      <c r="B44" s="84"/>
      <c r="C44" s="84"/>
      <c r="D44" s="84"/>
      <c r="E44" s="85"/>
      <c r="F44" s="115">
        <v>0.05</v>
      </c>
      <c r="G44" s="116">
        <f>+F44*H40</f>
        <v>63762.485368787813</v>
      </c>
      <c r="H44" s="117"/>
    </row>
    <row r="45" spans="1:8" ht="15.75" thickBot="1">
      <c r="A45" s="89" t="s">
        <v>514</v>
      </c>
      <c r="B45" s="90"/>
      <c r="C45" s="90"/>
      <c r="D45" s="90"/>
      <c r="E45" s="91"/>
      <c r="F45" s="118">
        <v>0.05</v>
      </c>
      <c r="G45" s="119">
        <f>+F45*H40</f>
        <v>63762.485368787813</v>
      </c>
      <c r="H45" s="80"/>
    </row>
    <row r="46" spans="1:8" ht="15.75" thickBot="1">
      <c r="A46" s="61"/>
      <c r="B46" s="61"/>
      <c r="C46" s="61"/>
      <c r="D46" s="61"/>
      <c r="E46" s="61"/>
      <c r="F46" s="61"/>
      <c r="G46" s="81" t="s">
        <v>491</v>
      </c>
      <c r="H46" s="120">
        <f>SUM(G43:G45)</f>
        <v>318812.42684393906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1594062</v>
      </c>
    </row>
  </sheetData>
  <mergeCells count="1">
    <mergeCell ref="A3:C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34" zoomScaleNormal="100" workbookViewId="0">
      <selection activeCell="H40" sqref="H4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586</v>
      </c>
      <c r="B7" s="62"/>
      <c r="C7" s="61"/>
      <c r="D7" s="16"/>
      <c r="E7" s="62"/>
      <c r="F7" s="16"/>
      <c r="G7" s="62" t="s">
        <v>582</v>
      </c>
      <c r="H7" s="61"/>
    </row>
    <row r="8" spans="1:8">
      <c r="A8" s="60" t="s">
        <v>583</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8" t="s">
        <v>486</v>
      </c>
      <c r="E11" s="65" t="s">
        <v>487</v>
      </c>
      <c r="F11" s="158" t="s">
        <v>488</v>
      </c>
      <c r="G11" s="157" t="s">
        <v>489</v>
      </c>
      <c r="H11" s="67"/>
    </row>
    <row r="12" spans="1:8">
      <c r="A12" s="1480" t="s">
        <v>1487</v>
      </c>
      <c r="B12" s="1481"/>
      <c r="C12" s="1482"/>
      <c r="D12" s="68"/>
      <c r="E12" s="86"/>
      <c r="F12" s="161"/>
      <c r="G12" s="71">
        <f>H38*10%</f>
        <v>6402.7396144640852</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6402.7396144640852</v>
      </c>
    </row>
    <row r="19" spans="1:8" ht="15.75" thickBot="1">
      <c r="A19" s="63" t="s">
        <v>492</v>
      </c>
      <c r="B19" s="63"/>
      <c r="C19" s="61"/>
      <c r="D19" s="61"/>
      <c r="E19" s="61"/>
      <c r="F19" s="61"/>
      <c r="G19" s="61"/>
      <c r="H19" s="61"/>
    </row>
    <row r="20" spans="1:8">
      <c r="A20" s="1472" t="s">
        <v>485</v>
      </c>
      <c r="B20" s="1473"/>
      <c r="C20" s="1474"/>
      <c r="D20" s="160" t="s">
        <v>493</v>
      </c>
      <c r="E20" s="160" t="s">
        <v>494</v>
      </c>
      <c r="F20" s="160" t="s">
        <v>495</v>
      </c>
      <c r="G20" s="159" t="s">
        <v>489</v>
      </c>
      <c r="H20" s="67"/>
    </row>
    <row r="21" spans="1:8">
      <c r="A21" s="127" t="s">
        <v>1812</v>
      </c>
      <c r="B21" s="84"/>
      <c r="C21" s="85"/>
      <c r="D21" s="141" t="s">
        <v>44</v>
      </c>
      <c r="E21" s="139">
        <f>MATERIALES!D31</f>
        <v>8900</v>
      </c>
      <c r="F21" s="163">
        <v>0.6</v>
      </c>
      <c r="G21" s="137">
        <f>E21*F21</f>
        <v>5340</v>
      </c>
      <c r="H21" s="59"/>
    </row>
    <row r="22" spans="1:8">
      <c r="A22" s="127" t="s">
        <v>1814</v>
      </c>
      <c r="B22" s="84"/>
      <c r="C22" s="85"/>
      <c r="D22" s="141" t="s">
        <v>61</v>
      </c>
      <c r="E22" s="139">
        <f>MATERIALES!D35</f>
        <v>400</v>
      </c>
      <c r="F22" s="163">
        <v>4</v>
      </c>
      <c r="G22" s="137">
        <f>E22*F22</f>
        <v>1600</v>
      </c>
      <c r="H22" s="59"/>
    </row>
    <row r="23" spans="1:8">
      <c r="A23" s="127" t="s">
        <v>1816</v>
      </c>
      <c r="B23" s="84"/>
      <c r="C23" s="85"/>
      <c r="D23" s="141" t="s">
        <v>1809</v>
      </c>
      <c r="E23" s="139">
        <f>MATERIALES!D27</f>
        <v>1700</v>
      </c>
      <c r="F23" s="163">
        <v>3</v>
      </c>
      <c r="G23" s="137">
        <f>E23*F23</f>
        <v>5100</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12040</v>
      </c>
    </row>
    <row r="26" spans="1:8" ht="15.75" thickBot="1">
      <c r="A26" s="92" t="s">
        <v>496</v>
      </c>
      <c r="B26" s="92"/>
      <c r="C26" s="90"/>
      <c r="D26" s="61"/>
      <c r="E26" s="61"/>
      <c r="F26" s="61"/>
      <c r="G26" s="61"/>
      <c r="H26" s="61"/>
    </row>
    <row r="27" spans="1:8">
      <c r="A27" s="1454" t="s">
        <v>497</v>
      </c>
      <c r="B27" s="1456"/>
      <c r="C27" s="93" t="s">
        <v>498</v>
      </c>
      <c r="D27" s="158" t="s">
        <v>499</v>
      </c>
      <c r="E27" s="158" t="s">
        <v>500</v>
      </c>
      <c r="F27" s="15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8" t="s">
        <v>504</v>
      </c>
      <c r="D33" s="158" t="s">
        <v>505</v>
      </c>
      <c r="E33" s="124" t="s">
        <v>506</v>
      </c>
      <c r="F33" s="102" t="s">
        <v>488</v>
      </c>
      <c r="G33" s="157" t="s">
        <v>489</v>
      </c>
      <c r="H33" s="67"/>
    </row>
    <row r="34" spans="1:8">
      <c r="A34" s="83" t="s">
        <v>564</v>
      </c>
      <c r="B34" s="84"/>
      <c r="C34" s="103">
        <f>+SALARIOS!C49*3</f>
        <v>76716</v>
      </c>
      <c r="D34" s="104">
        <f>+SALARIOS!C48</f>
        <v>1.7846558312967005</v>
      </c>
      <c r="E34" s="69">
        <f>(C34*D34)</f>
        <v>136911.65675375768</v>
      </c>
      <c r="F34" s="69">
        <v>3.2</v>
      </c>
      <c r="G34" s="105">
        <f>E34/F34</f>
        <v>42784.892735549271</v>
      </c>
      <c r="H34" s="72"/>
    </row>
    <row r="35" spans="1:8">
      <c r="A35" s="83" t="s">
        <v>624</v>
      </c>
      <c r="B35" s="84"/>
      <c r="C35" s="103">
        <f>SALARIOS!C50</f>
        <v>41660</v>
      </c>
      <c r="D35" s="104">
        <f>+SALARIOS!C48</f>
        <v>1.7846558312967005</v>
      </c>
      <c r="E35" s="69">
        <f>(C35*D35)</f>
        <v>74348.76193182054</v>
      </c>
      <c r="F35" s="69">
        <v>3.5</v>
      </c>
      <c r="G35" s="105">
        <f>E35/F35</f>
        <v>21242.503409091583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64027.39614464085</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82470.135759104931</v>
      </c>
    </row>
    <row r="41" spans="1:8" ht="15.75" thickBot="1">
      <c r="A41" s="63" t="s">
        <v>509</v>
      </c>
      <c r="B41" s="63"/>
      <c r="C41" s="61"/>
      <c r="D41" s="61"/>
      <c r="E41" s="61"/>
      <c r="F41" s="61"/>
      <c r="G41" s="61"/>
      <c r="H41" s="61"/>
    </row>
    <row r="42" spans="1:8">
      <c r="A42" s="110" t="s">
        <v>485</v>
      </c>
      <c r="B42" s="111"/>
      <c r="C42" s="111"/>
      <c r="D42" s="111"/>
      <c r="E42" s="112"/>
      <c r="F42" s="160" t="s">
        <v>510</v>
      </c>
      <c r="G42" s="159" t="s">
        <v>511</v>
      </c>
      <c r="H42" s="67"/>
    </row>
    <row r="43" spans="1:8">
      <c r="A43" s="83" t="s">
        <v>512</v>
      </c>
      <c r="B43" s="84"/>
      <c r="C43" s="84"/>
      <c r="D43" s="84"/>
      <c r="E43" s="85"/>
      <c r="F43" s="115">
        <f>(SALARIOS!C45)</f>
        <v>0.15</v>
      </c>
      <c r="G43" s="116">
        <f>++F43*H40</f>
        <v>12370.520363865739</v>
      </c>
      <c r="H43" s="117"/>
    </row>
    <row r="44" spans="1:8">
      <c r="A44" s="83" t="s">
        <v>513</v>
      </c>
      <c r="B44" s="84"/>
      <c r="C44" s="84"/>
      <c r="D44" s="84"/>
      <c r="E44" s="85"/>
      <c r="F44" s="115">
        <f>(SALARIOS!C46)</f>
        <v>0.05</v>
      </c>
      <c r="G44" s="116">
        <f>+F44*H40</f>
        <v>4123.5067879552471</v>
      </c>
      <c r="H44" s="117"/>
    </row>
    <row r="45" spans="1:8" ht="15.75" thickBot="1">
      <c r="A45" s="89" t="s">
        <v>514</v>
      </c>
      <c r="B45" s="90"/>
      <c r="C45" s="90"/>
      <c r="D45" s="90"/>
      <c r="E45" s="91"/>
      <c r="F45" s="118">
        <f>(SALARIOS!C47)</f>
        <v>0.05</v>
      </c>
      <c r="G45" s="119">
        <f>+F45*H40</f>
        <v>4123.5067879552471</v>
      </c>
      <c r="H45" s="80"/>
    </row>
    <row r="46" spans="1:8" ht="15.75" thickBot="1">
      <c r="A46" s="61"/>
      <c r="B46" s="61"/>
      <c r="C46" s="61"/>
      <c r="D46" s="61"/>
      <c r="E46" s="61"/>
      <c r="F46" s="61"/>
      <c r="G46" s="81" t="s">
        <v>491</v>
      </c>
      <c r="H46" s="120">
        <f>SUM(G43:G45)</f>
        <v>20617.533939776233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103088</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H48"/>
  <sheetViews>
    <sheetView topLeftCell="A34"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1213</v>
      </c>
      <c r="B7" s="62"/>
      <c r="C7" s="61"/>
      <c r="D7" s="16"/>
      <c r="E7" s="62"/>
      <c r="F7" s="16"/>
      <c r="G7" s="62" t="s">
        <v>1964</v>
      </c>
      <c r="H7" s="61"/>
    </row>
    <row r="8" spans="1:8">
      <c r="A8" s="60" t="s">
        <v>1248</v>
      </c>
      <c r="B8" s="62"/>
      <c r="C8" s="61"/>
      <c r="D8" s="62"/>
      <c r="E8" s="62"/>
      <c r="F8" s="62"/>
      <c r="G8" s="62" t="s">
        <v>926</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090"/>
      <c r="C12" s="1091"/>
      <c r="D12" s="68"/>
      <c r="E12" s="86"/>
      <c r="F12" s="161"/>
      <c r="G12" s="71">
        <f>H38*10%</f>
        <v>1619.0643068869376</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1619.0643068869376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t="s">
        <v>1249</v>
      </c>
      <c r="B21" s="84"/>
      <c r="C21" s="85"/>
      <c r="D21" s="141" t="s">
        <v>61</v>
      </c>
      <c r="E21" s="139">
        <f>MATERIALES!D243</f>
        <v>2061320</v>
      </c>
      <c r="F21" s="163">
        <v>1</v>
      </c>
      <c r="G21" s="137">
        <f>+E21*F21</f>
        <v>2061320</v>
      </c>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2061320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v>1.744606166638224</v>
      </c>
      <c r="E34" s="69">
        <f>+C34*D34</f>
        <v>72680.292902148416</v>
      </c>
      <c r="F34" s="69">
        <v>10</v>
      </c>
      <c r="G34" s="105">
        <f>+E34/F34</f>
        <v>7268.0292902148412</v>
      </c>
      <c r="H34" s="72"/>
    </row>
    <row r="35" spans="1:8">
      <c r="A35" s="83" t="s">
        <v>554</v>
      </c>
      <c r="B35" s="84"/>
      <c r="C35" s="103">
        <f>+SALARIOS!C49*2</f>
        <v>51144</v>
      </c>
      <c r="D35" s="334">
        <v>1.744606166638224</v>
      </c>
      <c r="E35" s="69">
        <f>+C35*D35</f>
        <v>89226.137786545325</v>
      </c>
      <c r="F35" s="69">
        <v>10</v>
      </c>
      <c r="G35" s="105">
        <f>+E35/F35</f>
        <v>8922.6137786545332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16190.643068869374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2079129.7073757562</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311869.45610636345</v>
      </c>
      <c r="H43" s="117"/>
    </row>
    <row r="44" spans="1:8">
      <c r="A44" s="83" t="s">
        <v>513</v>
      </c>
      <c r="B44" s="84"/>
      <c r="C44" s="84"/>
      <c r="D44" s="84"/>
      <c r="E44" s="85"/>
      <c r="F44" s="115">
        <v>0.05</v>
      </c>
      <c r="G44" s="116">
        <f>+F44*H40</f>
        <v>103956.48536878782</v>
      </c>
      <c r="H44" s="117"/>
    </row>
    <row r="45" spans="1:8" ht="15.75" thickBot="1">
      <c r="A45" s="89" t="s">
        <v>514</v>
      </c>
      <c r="B45" s="90"/>
      <c r="C45" s="90"/>
      <c r="D45" s="90"/>
      <c r="E45" s="91"/>
      <c r="F45" s="118">
        <v>0.05</v>
      </c>
      <c r="G45" s="119">
        <f>+F45*H40</f>
        <v>103956.48536878782</v>
      </c>
      <c r="H45" s="80"/>
    </row>
    <row r="46" spans="1:8" ht="15.75" thickBot="1">
      <c r="A46" s="61"/>
      <c r="B46" s="61"/>
      <c r="C46" s="61"/>
      <c r="D46" s="61"/>
      <c r="E46" s="61"/>
      <c r="F46" s="61"/>
      <c r="G46" s="81" t="s">
        <v>491</v>
      </c>
      <c r="H46" s="120">
        <f>SUM(G43:G45)</f>
        <v>519782.42684393912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2598912</v>
      </c>
    </row>
  </sheetData>
  <mergeCells count="1">
    <mergeCell ref="A3:C4"/>
  </mergeCell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1764</v>
      </c>
      <c r="B7" s="62"/>
      <c r="C7" s="61"/>
      <c r="D7" s="16"/>
      <c r="E7" s="62"/>
      <c r="F7" s="16"/>
      <c r="G7" s="62" t="s">
        <v>1251</v>
      </c>
      <c r="H7" s="61"/>
    </row>
    <row r="8" spans="1:8">
      <c r="A8" s="60" t="s">
        <v>1252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H37*10%</f>
        <v>676.01306027615919</v>
      </c>
      <c r="H12" s="72"/>
    </row>
    <row r="13" spans="1:8">
      <c r="A13" s="361"/>
      <c r="B13" s="362"/>
      <c r="C13" s="363"/>
      <c r="D13" s="73"/>
      <c r="E13" s="74"/>
      <c r="F13" s="69"/>
      <c r="G13" s="71"/>
      <c r="H13" s="72"/>
    </row>
    <row r="14" spans="1:8">
      <c r="A14" s="361"/>
      <c r="B14" s="362"/>
      <c r="C14" s="363"/>
      <c r="D14" s="73"/>
      <c r="E14" s="74"/>
      <c r="F14" s="69"/>
      <c r="G14" s="71"/>
      <c r="H14" s="72"/>
    </row>
    <row r="15" spans="1:8">
      <c r="A15" s="361"/>
      <c r="B15" s="362"/>
      <c r="C15" s="363"/>
      <c r="D15" s="73"/>
      <c r="E15" s="74"/>
      <c r="F15" s="69"/>
      <c r="G15" s="71"/>
      <c r="H15" s="72"/>
    </row>
    <row r="16" spans="1:8" ht="15.75" thickBot="1">
      <c r="A16" s="364"/>
      <c r="B16" s="365"/>
      <c r="C16" s="366"/>
      <c r="D16" s="76"/>
      <c r="E16" s="77"/>
      <c r="F16" s="78"/>
      <c r="G16" s="79"/>
      <c r="H16" s="80"/>
    </row>
    <row r="17" spans="1:8" ht="15.75" thickBot="1">
      <c r="A17" s="61"/>
      <c r="B17" s="61"/>
      <c r="C17" s="61"/>
      <c r="D17" s="61"/>
      <c r="E17" s="61"/>
      <c r="F17" s="61"/>
      <c r="G17" s="81" t="s">
        <v>491</v>
      </c>
      <c r="H17" s="82">
        <f>SUM(G12:G16)</f>
        <v>676.01306027615919</v>
      </c>
    </row>
    <row r="18" spans="1:8" ht="15.75" thickBot="1">
      <c r="A18" s="63" t="s">
        <v>492</v>
      </c>
      <c r="B18" s="63"/>
      <c r="C18" s="61"/>
      <c r="D18" s="61"/>
      <c r="E18" s="61"/>
      <c r="F18" s="61"/>
      <c r="G18" s="61"/>
      <c r="H18" s="61"/>
    </row>
    <row r="19" spans="1:8">
      <c r="A19" s="370" t="s">
        <v>485</v>
      </c>
      <c r="B19" s="371"/>
      <c r="C19" s="372"/>
      <c r="D19" s="372" t="s">
        <v>493</v>
      </c>
      <c r="E19" s="372" t="s">
        <v>494</v>
      </c>
      <c r="F19" s="372" t="s">
        <v>495</v>
      </c>
      <c r="G19" s="371" t="s">
        <v>489</v>
      </c>
      <c r="H19" s="67"/>
    </row>
    <row r="20" spans="1:8">
      <c r="A20" s="127"/>
      <c r="B20" s="84"/>
      <c r="C20" s="85"/>
      <c r="D20" s="141"/>
      <c r="E20" s="139"/>
      <c r="F20" s="163"/>
      <c r="G20" s="137"/>
      <c r="H20" s="59"/>
    </row>
    <row r="21" spans="1:8">
      <c r="A21" s="127"/>
      <c r="B21" s="84"/>
      <c r="C21" s="85"/>
      <c r="D21" s="68"/>
      <c r="E21" s="142"/>
      <c r="F21" s="69"/>
      <c r="G21" s="69"/>
      <c r="H21" s="59"/>
    </row>
    <row r="22" spans="1:8">
      <c r="A22" s="128"/>
      <c r="B22" s="129"/>
      <c r="C22" s="130"/>
      <c r="D22" s="131"/>
      <c r="E22" s="132"/>
      <c r="F22" s="315"/>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358" t="s">
        <v>497</v>
      </c>
      <c r="B26" s="360"/>
      <c r="C26" s="93" t="s">
        <v>498</v>
      </c>
      <c r="D26" s="360" t="s">
        <v>499</v>
      </c>
      <c r="E26" s="360" t="s">
        <v>500</v>
      </c>
      <c r="F26" s="36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58" t="s">
        <v>503</v>
      </c>
      <c r="B32" s="360"/>
      <c r="C32" s="360" t="s">
        <v>504</v>
      </c>
      <c r="D32" s="360" t="s">
        <v>505</v>
      </c>
      <c r="E32" s="124" t="s">
        <v>506</v>
      </c>
      <c r="F32" s="102" t="s">
        <v>488</v>
      </c>
      <c r="G32" s="359" t="s">
        <v>489</v>
      </c>
      <c r="H32" s="67"/>
    </row>
    <row r="33" spans="1:8">
      <c r="A33" s="83" t="s">
        <v>624</v>
      </c>
      <c r="B33" s="84"/>
      <c r="C33" s="103">
        <f>+SALARIOS!C50</f>
        <v>41660</v>
      </c>
      <c r="D33" s="334">
        <f>+SALARIOS!C48</f>
        <v>1.7846558312967005</v>
      </c>
      <c r="E33" s="69">
        <f>+C33*D33</f>
        <v>74348.76193182054</v>
      </c>
      <c r="F33" s="69">
        <v>24.5</v>
      </c>
      <c r="G33" s="105">
        <f>+E33/F33</f>
        <v>3034.6433441559402</v>
      </c>
      <c r="H33" s="72"/>
    </row>
    <row r="34" spans="1:8">
      <c r="A34" s="83" t="s">
        <v>554</v>
      </c>
      <c r="B34" s="84"/>
      <c r="C34" s="103">
        <f>+SALARIOS!C49*2</f>
        <v>51144</v>
      </c>
      <c r="D34" s="334">
        <f>+SALARIOS!C48</f>
        <v>1.7846558312967005</v>
      </c>
      <c r="E34" s="69">
        <f>+C34*D34</f>
        <v>91274.437835838442</v>
      </c>
      <c r="F34" s="69">
        <v>24.5</v>
      </c>
      <c r="G34" s="105">
        <f>+E34/F34</f>
        <v>3725.4872586056508</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6760.130602761591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7436.1436630377502</v>
      </c>
    </row>
    <row r="40" spans="1:8" ht="15.75" thickBot="1">
      <c r="A40" s="63" t="s">
        <v>509</v>
      </c>
      <c r="B40" s="63"/>
      <c r="C40" s="61"/>
      <c r="D40" s="61"/>
      <c r="E40" s="61"/>
      <c r="F40" s="61"/>
      <c r="G40" s="61"/>
      <c r="H40" s="61"/>
    </row>
    <row r="41" spans="1:8">
      <c r="A41" s="233" t="s">
        <v>485</v>
      </c>
      <c r="B41" s="371"/>
      <c r="C41" s="371"/>
      <c r="D41" s="371"/>
      <c r="E41" s="372"/>
      <c r="F41" s="372" t="s">
        <v>510</v>
      </c>
      <c r="G41" s="371" t="s">
        <v>511</v>
      </c>
      <c r="H41" s="67"/>
    </row>
    <row r="42" spans="1:8">
      <c r="A42" s="83" t="s">
        <v>512</v>
      </c>
      <c r="B42" s="84"/>
      <c r="C42" s="84"/>
      <c r="D42" s="84"/>
      <c r="E42" s="85"/>
      <c r="F42" s="115">
        <v>0.15</v>
      </c>
      <c r="G42" s="116">
        <f>++F42*H39</f>
        <v>1115.4215494556624</v>
      </c>
      <c r="H42" s="117"/>
    </row>
    <row r="43" spans="1:8">
      <c r="A43" s="83" t="s">
        <v>513</v>
      </c>
      <c r="B43" s="84"/>
      <c r="C43" s="84"/>
      <c r="D43" s="84"/>
      <c r="E43" s="85"/>
      <c r="F43" s="115">
        <v>0.05</v>
      </c>
      <c r="G43" s="116">
        <f>+F43*H39</f>
        <v>371.80718315188756</v>
      </c>
      <c r="H43" s="117"/>
    </row>
    <row r="44" spans="1:8" ht="15.75" thickBot="1">
      <c r="A44" s="89" t="s">
        <v>514</v>
      </c>
      <c r="B44" s="90"/>
      <c r="C44" s="90"/>
      <c r="D44" s="90"/>
      <c r="E44" s="91"/>
      <c r="F44" s="118">
        <v>0.05</v>
      </c>
      <c r="G44" s="119">
        <f>+F44*H39</f>
        <v>371.80718315188756</v>
      </c>
      <c r="H44" s="80"/>
    </row>
    <row r="45" spans="1:8" ht="15.75" thickBot="1">
      <c r="A45" s="61"/>
      <c r="B45" s="61"/>
      <c r="C45" s="61"/>
      <c r="D45" s="61"/>
      <c r="E45" s="61"/>
      <c r="F45" s="61"/>
      <c r="G45" s="81" t="s">
        <v>491</v>
      </c>
      <c r="H45" s="120">
        <f>SUM(G42:G44)</f>
        <v>1859.0359157594376</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9295</v>
      </c>
    </row>
  </sheetData>
  <mergeCells count="1">
    <mergeCell ref="A3:C4"/>
  </mergeCell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8"/>
  <sheetViews>
    <sheetView workbookViewId="0">
      <selection activeCell="C35" sqref="C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1253</v>
      </c>
      <c r="H7" s="61"/>
    </row>
    <row r="8" spans="1:8">
      <c r="A8" s="60" t="s">
        <v>1254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1048.2480997953101</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1048.2480997953101</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15.8</v>
      </c>
      <c r="G34" s="105">
        <f>+E34/F34</f>
        <v>4705.6178437861099</v>
      </c>
      <c r="H34" s="72"/>
    </row>
    <row r="35" spans="1:8">
      <c r="A35" s="83" t="s">
        <v>554</v>
      </c>
      <c r="B35" s="84"/>
      <c r="C35" s="103">
        <f>+SALARIOS!C49*2</f>
        <v>51144</v>
      </c>
      <c r="D35" s="334">
        <f>+SALARIOS!C48</f>
        <v>1.7846558312967005</v>
      </c>
      <c r="E35" s="69">
        <f>+C35*D35</f>
        <v>91274.437835838442</v>
      </c>
      <c r="F35" s="69">
        <v>15.8</v>
      </c>
      <c r="G35" s="105">
        <f>+E35/F35</f>
        <v>5776.8631541669902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10482.4809979531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11530.72909774841</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1729.6093646622614</v>
      </c>
      <c r="H43" s="117"/>
    </row>
    <row r="44" spans="1:8">
      <c r="A44" s="83" t="s">
        <v>513</v>
      </c>
      <c r="B44" s="84"/>
      <c r="C44" s="84"/>
      <c r="D44" s="84"/>
      <c r="E44" s="85"/>
      <c r="F44" s="115">
        <v>0.05</v>
      </c>
      <c r="G44" s="116">
        <f>+F44*H40</f>
        <v>576.53645488742052</v>
      </c>
      <c r="H44" s="117"/>
    </row>
    <row r="45" spans="1:8" ht="15.75" thickBot="1">
      <c r="A45" s="89" t="s">
        <v>514</v>
      </c>
      <c r="B45" s="90"/>
      <c r="C45" s="90"/>
      <c r="D45" s="90"/>
      <c r="E45" s="91"/>
      <c r="F45" s="118">
        <v>0.05</v>
      </c>
      <c r="G45" s="119">
        <f>+F45*H40</f>
        <v>576.53645488742052</v>
      </c>
      <c r="H45" s="80"/>
    </row>
    <row r="46" spans="1:8" ht="15.75" thickBot="1">
      <c r="A46" s="61"/>
      <c r="B46" s="61"/>
      <c r="C46" s="61"/>
      <c r="D46" s="61"/>
      <c r="E46" s="61"/>
      <c r="F46" s="61"/>
      <c r="G46" s="81" t="s">
        <v>491</v>
      </c>
      <c r="H46" s="120">
        <f>SUM(G43:G45)</f>
        <v>2882.6822744371025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14413</v>
      </c>
    </row>
  </sheetData>
  <mergeCells count="1">
    <mergeCell ref="A3:C4"/>
  </mergeCell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7"/>
  <sheetViews>
    <sheetView topLeftCell="A7"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1255</v>
      </c>
      <c r="H7" s="61"/>
    </row>
    <row r="8" spans="1:8">
      <c r="A8" s="60" t="s">
        <v>1256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H37*10%</f>
        <v>1341.0785406288178</v>
      </c>
      <c r="H12" s="72"/>
    </row>
    <row r="13" spans="1:8">
      <c r="A13" s="361"/>
      <c r="B13" s="362"/>
      <c r="C13" s="363"/>
      <c r="D13" s="73"/>
      <c r="E13" s="74"/>
      <c r="F13" s="69"/>
      <c r="G13" s="71"/>
      <c r="H13" s="72"/>
    </row>
    <row r="14" spans="1:8">
      <c r="A14" s="361"/>
      <c r="B14" s="362"/>
      <c r="C14" s="363"/>
      <c r="D14" s="73"/>
      <c r="E14" s="74"/>
      <c r="F14" s="69"/>
      <c r="G14" s="71"/>
      <c r="H14" s="72"/>
    </row>
    <row r="15" spans="1:8">
      <c r="A15" s="361"/>
      <c r="B15" s="362"/>
      <c r="C15" s="363"/>
      <c r="D15" s="73"/>
      <c r="E15" s="74"/>
      <c r="F15" s="69"/>
      <c r="G15" s="71"/>
      <c r="H15" s="72"/>
    </row>
    <row r="16" spans="1:8" ht="15.75" thickBot="1">
      <c r="A16" s="364"/>
      <c r="B16" s="365"/>
      <c r="C16" s="366"/>
      <c r="D16" s="76"/>
      <c r="E16" s="77"/>
      <c r="F16" s="78"/>
      <c r="G16" s="79"/>
      <c r="H16" s="80"/>
    </row>
    <row r="17" spans="1:8" ht="15.75" thickBot="1">
      <c r="A17" s="61"/>
      <c r="B17" s="61"/>
      <c r="C17" s="61"/>
      <c r="D17" s="61"/>
      <c r="E17" s="61"/>
      <c r="F17" s="61"/>
      <c r="G17" s="81" t="s">
        <v>491</v>
      </c>
      <c r="H17" s="82">
        <f>SUM(G12:G16)</f>
        <v>1341.0785406288178</v>
      </c>
    </row>
    <row r="18" spans="1:8" ht="15.75" thickBot="1">
      <c r="A18" s="63" t="s">
        <v>492</v>
      </c>
      <c r="B18" s="63"/>
      <c r="C18" s="61"/>
      <c r="D18" s="61"/>
      <c r="E18" s="61"/>
      <c r="F18" s="61"/>
      <c r="G18" s="61"/>
      <c r="H18" s="61"/>
    </row>
    <row r="19" spans="1:8">
      <c r="A19" s="370" t="s">
        <v>485</v>
      </c>
      <c r="B19" s="371"/>
      <c r="C19" s="372"/>
      <c r="D19" s="372" t="s">
        <v>493</v>
      </c>
      <c r="E19" s="372" t="s">
        <v>494</v>
      </c>
      <c r="F19" s="372" t="s">
        <v>495</v>
      </c>
      <c r="G19" s="371" t="s">
        <v>489</v>
      </c>
      <c r="H19" s="67"/>
    </row>
    <row r="20" spans="1:8">
      <c r="A20" s="127"/>
      <c r="B20" s="84"/>
      <c r="C20" s="85"/>
      <c r="D20" s="141"/>
      <c r="E20" s="139"/>
      <c r="F20" s="163"/>
      <c r="G20" s="137"/>
      <c r="H20" s="59"/>
    </row>
    <row r="21" spans="1:8">
      <c r="A21" s="127"/>
      <c r="B21" s="84"/>
      <c r="C21" s="85"/>
      <c r="D21" s="68"/>
      <c r="E21" s="142"/>
      <c r="F21" s="69"/>
      <c r="G21" s="69"/>
      <c r="H21" s="59"/>
    </row>
    <row r="22" spans="1:8">
      <c r="A22" s="128"/>
      <c r="B22" s="129"/>
      <c r="C22" s="130"/>
      <c r="D22" s="131"/>
      <c r="E22" s="132"/>
      <c r="F22" s="315"/>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358" t="s">
        <v>497</v>
      </c>
      <c r="B26" s="360"/>
      <c r="C26" s="93" t="s">
        <v>498</v>
      </c>
      <c r="D26" s="360" t="s">
        <v>499</v>
      </c>
      <c r="E26" s="360" t="s">
        <v>500</v>
      </c>
      <c r="F26" s="360"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58" t="s">
        <v>503</v>
      </c>
      <c r="B32" s="360"/>
      <c r="C32" s="360" t="s">
        <v>504</v>
      </c>
      <c r="D32" s="360" t="s">
        <v>505</v>
      </c>
      <c r="E32" s="124" t="s">
        <v>506</v>
      </c>
      <c r="F32" s="102" t="s">
        <v>488</v>
      </c>
      <c r="G32" s="359" t="s">
        <v>489</v>
      </c>
      <c r="H32" s="67"/>
    </row>
    <row r="33" spans="1:8">
      <c r="A33" s="83" t="s">
        <v>624</v>
      </c>
      <c r="B33" s="84"/>
      <c r="C33" s="103">
        <f>+SALARIOS!C50</f>
        <v>41660</v>
      </c>
      <c r="D33" s="334">
        <f>+SALARIOS!C48</f>
        <v>1.7846558312967005</v>
      </c>
      <c r="E33" s="69">
        <f>+C33*D33</f>
        <v>74348.76193182054</v>
      </c>
      <c r="F33" s="69">
        <v>12.35</v>
      </c>
      <c r="G33" s="105">
        <f>+E33/F33</f>
        <v>6020.1426665441732</v>
      </c>
      <c r="H33" s="72"/>
    </row>
    <row r="34" spans="1:8">
      <c r="A34" s="83" t="s">
        <v>554</v>
      </c>
      <c r="B34" s="84"/>
      <c r="C34" s="103">
        <f>+SALARIOS!C49*2</f>
        <v>51144</v>
      </c>
      <c r="D34" s="334">
        <f>+SALARIOS!C48</f>
        <v>1.7846558312967005</v>
      </c>
      <c r="E34" s="69">
        <f>+C34*D34</f>
        <v>91274.437835838442</v>
      </c>
      <c r="F34" s="69">
        <v>12.35</v>
      </c>
      <c r="G34" s="105">
        <f>+E34/F34</f>
        <v>7390.6427397440038</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13410.785406288178</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14751.863946916996</v>
      </c>
    </row>
    <row r="40" spans="1:8" ht="15.75" thickBot="1">
      <c r="A40" s="63" t="s">
        <v>509</v>
      </c>
      <c r="B40" s="63"/>
      <c r="C40" s="61"/>
      <c r="D40" s="61"/>
      <c r="E40" s="61"/>
      <c r="F40" s="61"/>
      <c r="G40" s="61"/>
      <c r="H40" s="61"/>
    </row>
    <row r="41" spans="1:8">
      <c r="A41" s="233" t="s">
        <v>485</v>
      </c>
      <c r="B41" s="371"/>
      <c r="C41" s="371"/>
      <c r="D41" s="371"/>
      <c r="E41" s="372"/>
      <c r="F41" s="372" t="s">
        <v>510</v>
      </c>
      <c r="G41" s="371" t="s">
        <v>511</v>
      </c>
      <c r="H41" s="67"/>
    </row>
    <row r="42" spans="1:8">
      <c r="A42" s="83" t="s">
        <v>512</v>
      </c>
      <c r="B42" s="84"/>
      <c r="C42" s="84"/>
      <c r="D42" s="84"/>
      <c r="E42" s="85"/>
      <c r="F42" s="115">
        <v>0.15</v>
      </c>
      <c r="G42" s="116">
        <f>++F42*H39</f>
        <v>2212.7795920375493</v>
      </c>
      <c r="H42" s="117"/>
    </row>
    <row r="43" spans="1:8">
      <c r="A43" s="83" t="s">
        <v>513</v>
      </c>
      <c r="B43" s="84"/>
      <c r="C43" s="84"/>
      <c r="D43" s="84"/>
      <c r="E43" s="85"/>
      <c r="F43" s="115">
        <v>0.05</v>
      </c>
      <c r="G43" s="116">
        <f>+F43*H39</f>
        <v>737.59319734584983</v>
      </c>
      <c r="H43" s="117"/>
    </row>
    <row r="44" spans="1:8" ht="15.75" thickBot="1">
      <c r="A44" s="89" t="s">
        <v>514</v>
      </c>
      <c r="B44" s="90"/>
      <c r="C44" s="90"/>
      <c r="D44" s="90"/>
      <c r="E44" s="91"/>
      <c r="F44" s="118">
        <v>0.05</v>
      </c>
      <c r="G44" s="119">
        <f>+F44*H39</f>
        <v>737.59319734584983</v>
      </c>
      <c r="H44" s="80"/>
    </row>
    <row r="45" spans="1:8" ht="15.75" thickBot="1">
      <c r="A45" s="61"/>
      <c r="B45" s="61"/>
      <c r="C45" s="61"/>
      <c r="D45" s="61"/>
      <c r="E45" s="61"/>
      <c r="F45" s="61"/>
      <c r="G45" s="81" t="s">
        <v>491</v>
      </c>
      <c r="H45" s="120">
        <f>SUM(G42:G44)</f>
        <v>3687.9659867292494</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18440</v>
      </c>
    </row>
  </sheetData>
  <mergeCells count="1">
    <mergeCell ref="A3:C4"/>
  </mergeCells>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8"/>
  <sheetViews>
    <sheetView workbookViewId="0">
      <selection activeCell="F36" sqref="F3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1257</v>
      </c>
      <c r="H7" s="61"/>
    </row>
    <row r="8" spans="1:8">
      <c r="A8" s="60" t="s">
        <v>1258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1993.022817788474</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1993.022817788474</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10.6</v>
      </c>
      <c r="G34" s="105">
        <f>+E34/F34</f>
        <v>7014.0341445113718</v>
      </c>
      <c r="H34" s="72"/>
    </row>
    <row r="35" spans="1:8">
      <c r="A35" s="83" t="s">
        <v>564</v>
      </c>
      <c r="B35" s="84"/>
      <c r="C35" s="103">
        <f>+SALARIOS!C49*3</f>
        <v>76716</v>
      </c>
      <c r="D35" s="334">
        <f>+SALARIOS!C48</f>
        <v>1.7846558312967005</v>
      </c>
      <c r="E35" s="69">
        <f>+C35*D35</f>
        <v>136911.65675375768</v>
      </c>
      <c r="F35" s="69">
        <v>10.6</v>
      </c>
      <c r="G35" s="105">
        <f>+E35/F35</f>
        <v>12916.194033373366</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19930.228177884739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21923.250995673214</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3288.4876493509819</v>
      </c>
      <c r="H43" s="117"/>
    </row>
    <row r="44" spans="1:8">
      <c r="A44" s="83" t="s">
        <v>513</v>
      </c>
      <c r="B44" s="84"/>
      <c r="C44" s="84"/>
      <c r="D44" s="84"/>
      <c r="E44" s="85"/>
      <c r="F44" s="115">
        <v>0.05</v>
      </c>
      <c r="G44" s="116">
        <f>+F44*H40</f>
        <v>1096.1625497836608</v>
      </c>
      <c r="H44" s="117"/>
    </row>
    <row r="45" spans="1:8" ht="15.75" thickBot="1">
      <c r="A45" s="89" t="s">
        <v>514</v>
      </c>
      <c r="B45" s="90"/>
      <c r="C45" s="90"/>
      <c r="D45" s="90"/>
      <c r="E45" s="91"/>
      <c r="F45" s="118">
        <v>0.05</v>
      </c>
      <c r="G45" s="119">
        <f>+F45*H40</f>
        <v>1096.1625497836608</v>
      </c>
      <c r="H45" s="80"/>
    </row>
    <row r="46" spans="1:8" ht="15.75" thickBot="1">
      <c r="A46" s="61"/>
      <c r="B46" s="61"/>
      <c r="C46" s="61"/>
      <c r="D46" s="61"/>
      <c r="E46" s="61"/>
      <c r="F46" s="61"/>
      <c r="G46" s="81" t="s">
        <v>491</v>
      </c>
      <c r="H46" s="120">
        <f>SUM(G43:G45)</f>
        <v>5480.8127489183044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27404</v>
      </c>
    </row>
  </sheetData>
  <mergeCells count="1">
    <mergeCell ref="A3:C4"/>
  </mergeCells>
  <pageMargins left="0.7" right="0.7" top="0.75" bottom="0.75" header="0.3" footer="0.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1259</v>
      </c>
      <c r="H7" s="61"/>
    </row>
    <row r="8" spans="1:8">
      <c r="A8" s="60" t="s">
        <v>1260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2640.7552335697278</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2640.7552335697278</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8</v>
      </c>
      <c r="G34" s="105">
        <f>+E34/F34</f>
        <v>9293.5952414775675</v>
      </c>
      <c r="H34" s="72"/>
    </row>
    <row r="35" spans="1:8">
      <c r="A35" s="83" t="s">
        <v>564</v>
      </c>
      <c r="B35" s="84"/>
      <c r="C35" s="103">
        <f>+SALARIOS!C49*3</f>
        <v>76716</v>
      </c>
      <c r="D35" s="334">
        <f>+SALARIOS!C48</f>
        <v>1.7846558312967005</v>
      </c>
      <c r="E35" s="69">
        <f>+C35*D35</f>
        <v>136911.65675375768</v>
      </c>
      <c r="F35" s="69">
        <v>8</v>
      </c>
      <c r="G35" s="105">
        <f>+E35/F35</f>
        <v>17113.95709421971</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26407.552335697277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29048.307569267006</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4357.2461353900508</v>
      </c>
      <c r="H43" s="117"/>
    </row>
    <row r="44" spans="1:8">
      <c r="A44" s="83" t="s">
        <v>513</v>
      </c>
      <c r="B44" s="84"/>
      <c r="C44" s="84"/>
      <c r="D44" s="84"/>
      <c r="E44" s="85"/>
      <c r="F44" s="115">
        <v>0.05</v>
      </c>
      <c r="G44" s="116">
        <f>+F44*H40</f>
        <v>1452.4153784633504</v>
      </c>
      <c r="H44" s="117"/>
    </row>
    <row r="45" spans="1:8" ht="15.75" thickBot="1">
      <c r="A45" s="89" t="s">
        <v>514</v>
      </c>
      <c r="B45" s="90"/>
      <c r="C45" s="90"/>
      <c r="D45" s="90"/>
      <c r="E45" s="91"/>
      <c r="F45" s="118">
        <v>0.05</v>
      </c>
      <c r="G45" s="119">
        <f>+F45*H40</f>
        <v>1452.4153784633504</v>
      </c>
      <c r="H45" s="80"/>
    </row>
    <row r="46" spans="1:8" ht="15.75" thickBot="1">
      <c r="A46" s="61"/>
      <c r="B46" s="61"/>
      <c r="C46" s="61"/>
      <c r="D46" s="61"/>
      <c r="E46" s="61"/>
      <c r="F46" s="61"/>
      <c r="G46" s="81" t="s">
        <v>491</v>
      </c>
      <c r="H46" s="120">
        <f>SUM(G43:G45)</f>
        <v>7262.0768923167525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36310</v>
      </c>
    </row>
  </sheetData>
  <mergeCells count="1">
    <mergeCell ref="A3:C4"/>
  </mergeCell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1261</v>
      </c>
      <c r="H7" s="61"/>
    </row>
    <row r="8" spans="1:8">
      <c r="A8" s="60" t="s">
        <v>1262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3314.8082271419025</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3314.8082271419025</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7.75</v>
      </c>
      <c r="G34" s="105">
        <f>+E34/F34</f>
        <v>9593.3886363639413</v>
      </c>
      <c r="H34" s="72"/>
    </row>
    <row r="35" spans="1:8">
      <c r="A35" s="83" t="s">
        <v>629</v>
      </c>
      <c r="B35" s="84"/>
      <c r="C35" s="103">
        <f>+SALARIOS!C49*4</f>
        <v>102288</v>
      </c>
      <c r="D35" s="334">
        <f>+SALARIOS!C48</f>
        <v>1.7846558312967005</v>
      </c>
      <c r="E35" s="69">
        <f>+C35*D35</f>
        <v>182548.87567167688</v>
      </c>
      <c r="F35" s="69">
        <v>7.75</v>
      </c>
      <c r="G35" s="105">
        <f>+E35/F35</f>
        <v>23554.693635055082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33148.082271419022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36462.890498560926</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5469.4335747841387</v>
      </c>
      <c r="H43" s="117"/>
    </row>
    <row r="44" spans="1:8">
      <c r="A44" s="83" t="s">
        <v>513</v>
      </c>
      <c r="B44" s="84"/>
      <c r="C44" s="84"/>
      <c r="D44" s="84"/>
      <c r="E44" s="85"/>
      <c r="F44" s="115">
        <v>0.05</v>
      </c>
      <c r="G44" s="116">
        <f>+F44*H40</f>
        <v>1823.1445249280464</v>
      </c>
      <c r="H44" s="117"/>
    </row>
    <row r="45" spans="1:8" ht="15.75" thickBot="1">
      <c r="A45" s="89" t="s">
        <v>514</v>
      </c>
      <c r="B45" s="90"/>
      <c r="C45" s="90"/>
      <c r="D45" s="90"/>
      <c r="E45" s="91"/>
      <c r="F45" s="118">
        <v>0.05</v>
      </c>
      <c r="G45" s="119">
        <f>+F45*H40</f>
        <v>1823.1445249280464</v>
      </c>
      <c r="H45" s="80"/>
    </row>
    <row r="46" spans="1:8" ht="15.75" thickBot="1">
      <c r="A46" s="61"/>
      <c r="B46" s="61"/>
      <c r="C46" s="61"/>
      <c r="D46" s="61"/>
      <c r="E46" s="61"/>
      <c r="F46" s="61"/>
      <c r="G46" s="81" t="s">
        <v>491</v>
      </c>
      <c r="H46" s="120">
        <f>SUM(G43:G45)</f>
        <v>9115.7226246402315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45579</v>
      </c>
    </row>
  </sheetData>
  <mergeCells count="1">
    <mergeCell ref="A3:C4"/>
  </mergeCells>
  <pageMargins left="0.7" right="0.7" top="0.75" bottom="0.75" header="0.3" footer="0.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8"/>
  <sheetViews>
    <sheetView workbookViewId="0">
      <selection activeCell="C35" sqref="C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1263</v>
      </c>
      <c r="H7" s="61"/>
    </row>
    <row r="8" spans="1:8">
      <c r="A8" s="60" t="s">
        <v>1264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4847.1252378018389</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4847.1252378018389</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5.3</v>
      </c>
      <c r="G34" s="105">
        <f>+E34/F34</f>
        <v>14028.068289022744</v>
      </c>
      <c r="H34" s="72"/>
    </row>
    <row r="35" spans="1:8">
      <c r="A35" s="83" t="s">
        <v>629</v>
      </c>
      <c r="B35" s="84"/>
      <c r="C35" s="103">
        <f>+SALARIOS!C49*4</f>
        <v>102288</v>
      </c>
      <c r="D35" s="334">
        <f>+SALARIOS!C48</f>
        <v>1.7846558312967005</v>
      </c>
      <c r="E35" s="69">
        <f>+C35*D35</f>
        <v>182548.87567167688</v>
      </c>
      <c r="F35" s="69">
        <v>5.3</v>
      </c>
      <c r="G35" s="105">
        <f>+E35/F35</f>
        <v>34443.184088995637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48471.252378018384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53318.377615820224</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7997.7566423730332</v>
      </c>
      <c r="H43" s="117"/>
    </row>
    <row r="44" spans="1:8">
      <c r="A44" s="83" t="s">
        <v>513</v>
      </c>
      <c r="B44" s="84"/>
      <c r="C44" s="84"/>
      <c r="D44" s="84"/>
      <c r="E44" s="85"/>
      <c r="F44" s="115">
        <v>0.05</v>
      </c>
      <c r="G44" s="116">
        <f>+F44*H40</f>
        <v>2665.9188807910114</v>
      </c>
      <c r="H44" s="117"/>
    </row>
    <row r="45" spans="1:8" ht="15.75" thickBot="1">
      <c r="A45" s="89" t="s">
        <v>514</v>
      </c>
      <c r="B45" s="90"/>
      <c r="C45" s="90"/>
      <c r="D45" s="90"/>
      <c r="E45" s="91"/>
      <c r="F45" s="118">
        <v>0.05</v>
      </c>
      <c r="G45" s="119">
        <f>+F45*H40</f>
        <v>2665.9188807910114</v>
      </c>
      <c r="H45" s="80"/>
    </row>
    <row r="46" spans="1:8" ht="15.75" thickBot="1">
      <c r="A46" s="61"/>
      <c r="B46" s="61"/>
      <c r="C46" s="61"/>
      <c r="D46" s="61"/>
      <c r="E46" s="61"/>
      <c r="F46" s="61"/>
      <c r="G46" s="81" t="s">
        <v>491</v>
      </c>
      <c r="H46" s="120">
        <f>SUM(G43:G45)</f>
        <v>13329.594403955056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66648</v>
      </c>
    </row>
  </sheetData>
  <mergeCells count="1">
    <mergeCell ref="A3:C4"/>
  </mergeCells>
  <pageMargins left="0.7" right="0.7" top="0.75" bottom="0.75" header="0.3" footer="0.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1265</v>
      </c>
      <c r="H7" s="61"/>
    </row>
    <row r="8" spans="1:8">
      <c r="A8" s="60" t="s">
        <v>1266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4587.4578143481694</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4587.4578143481694</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5.6</v>
      </c>
      <c r="G34" s="105">
        <f>+E34/F34</f>
        <v>13276.56463068224</v>
      </c>
      <c r="H34" s="72"/>
    </row>
    <row r="35" spans="1:8">
      <c r="A35" s="83" t="s">
        <v>629</v>
      </c>
      <c r="B35" s="84"/>
      <c r="C35" s="103">
        <f>+SALARIOS!C49*4</f>
        <v>102288</v>
      </c>
      <c r="D35" s="334">
        <f>+SALARIOS!C48</f>
        <v>1.7846558312967005</v>
      </c>
      <c r="E35" s="69">
        <f>+C35*D35</f>
        <v>182548.87567167688</v>
      </c>
      <c r="F35" s="69">
        <v>5.6</v>
      </c>
      <c r="G35" s="105">
        <f>+E35/F35</f>
        <v>32598.013512799447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45874.578143481689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50462.035957829859</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7569.3053936744782</v>
      </c>
      <c r="H43" s="117"/>
    </row>
    <row r="44" spans="1:8">
      <c r="A44" s="83" t="s">
        <v>513</v>
      </c>
      <c r="B44" s="84"/>
      <c r="C44" s="84"/>
      <c r="D44" s="84"/>
      <c r="E44" s="85"/>
      <c r="F44" s="115">
        <v>0.05</v>
      </c>
      <c r="G44" s="116">
        <f>+F44*H40</f>
        <v>2523.1017978914933</v>
      </c>
      <c r="H44" s="117"/>
    </row>
    <row r="45" spans="1:8" ht="15.75" thickBot="1">
      <c r="A45" s="89" t="s">
        <v>514</v>
      </c>
      <c r="B45" s="90"/>
      <c r="C45" s="90"/>
      <c r="D45" s="90"/>
      <c r="E45" s="91"/>
      <c r="F45" s="118">
        <v>0.05</v>
      </c>
      <c r="G45" s="119">
        <f>+F45*H40</f>
        <v>2523.1017978914933</v>
      </c>
      <c r="H45" s="80"/>
    </row>
    <row r="46" spans="1:8" ht="15.75" thickBot="1">
      <c r="A46" s="61"/>
      <c r="B46" s="61"/>
      <c r="C46" s="61"/>
      <c r="D46" s="61"/>
      <c r="E46" s="61"/>
      <c r="F46" s="61"/>
      <c r="G46" s="81" t="s">
        <v>491</v>
      </c>
      <c r="H46" s="120">
        <f>SUM(G43:G45)</f>
        <v>12615.508989457465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63078</v>
      </c>
    </row>
  </sheetData>
  <mergeCells count="1">
    <mergeCell ref="A3:C4"/>
  </mergeCells>
  <pageMargins left="0.7" right="0.7" top="0.75" bottom="0.75" header="0.3" footer="0.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1267</v>
      </c>
      <c r="H7" s="61"/>
    </row>
    <row r="8" spans="1:8">
      <c r="A8" s="60" t="s">
        <v>1268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4014.0255875546472</v>
      </c>
      <c r="H12" s="72"/>
    </row>
    <row r="13" spans="1:8">
      <c r="A13" s="746" t="s">
        <v>1923</v>
      </c>
      <c r="B13" s="176"/>
      <c r="C13" s="174"/>
      <c r="D13" s="174" t="s">
        <v>6</v>
      </c>
      <c r="E13" s="173">
        <f>'EQUIPOS '!D28</f>
        <v>70000</v>
      </c>
      <c r="F13" s="69">
        <v>3.5</v>
      </c>
      <c r="G13" s="173">
        <f>E13/F13</f>
        <v>20000</v>
      </c>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24014.025587554646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6.4</v>
      </c>
      <c r="G34" s="105">
        <f>+E34/F34</f>
        <v>11616.994051846959</v>
      </c>
      <c r="H34" s="72"/>
    </row>
    <row r="35" spans="1:8">
      <c r="A35" s="83" t="s">
        <v>629</v>
      </c>
      <c r="B35" s="84"/>
      <c r="C35" s="103">
        <f>+SALARIOS!C49*4</f>
        <v>102288</v>
      </c>
      <c r="D35" s="334">
        <f>+SALARIOS!C48</f>
        <v>1.7846558312967005</v>
      </c>
      <c r="E35" s="69">
        <f>+C35*D35</f>
        <v>182548.87567167688</v>
      </c>
      <c r="F35" s="69">
        <v>6.4</v>
      </c>
      <c r="G35" s="105">
        <f>+E35/F35</f>
        <v>28523.261823699511</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40140.255875546471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64154.281463101113</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9623.1422194651659</v>
      </c>
      <c r="H43" s="117"/>
    </row>
    <row r="44" spans="1:8">
      <c r="A44" s="83" t="s">
        <v>513</v>
      </c>
      <c r="B44" s="84"/>
      <c r="C44" s="84"/>
      <c r="D44" s="84"/>
      <c r="E44" s="85"/>
      <c r="F44" s="115">
        <v>0.05</v>
      </c>
      <c r="G44" s="116">
        <f>+F44*H40</f>
        <v>3207.7140731550558</v>
      </c>
      <c r="H44" s="117"/>
    </row>
    <row r="45" spans="1:8" ht="15.75" thickBot="1">
      <c r="A45" s="89" t="s">
        <v>514</v>
      </c>
      <c r="B45" s="90"/>
      <c r="C45" s="90"/>
      <c r="D45" s="90"/>
      <c r="E45" s="91"/>
      <c r="F45" s="118">
        <v>0.05</v>
      </c>
      <c r="G45" s="119">
        <f>+F45*H40</f>
        <v>3207.7140731550558</v>
      </c>
      <c r="H45" s="80"/>
    </row>
    <row r="46" spans="1:8" ht="15.75" thickBot="1">
      <c r="A46" s="61"/>
      <c r="B46" s="61"/>
      <c r="C46" s="61"/>
      <c r="D46" s="61"/>
      <c r="E46" s="61"/>
      <c r="F46" s="61"/>
      <c r="G46" s="81" t="s">
        <v>491</v>
      </c>
      <c r="H46" s="120">
        <f>SUM(G43:G45)</f>
        <v>16038.570365775277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80193</v>
      </c>
    </row>
  </sheetData>
  <mergeCells count="1">
    <mergeCell ref="A3:C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31" workbookViewId="0">
      <selection activeCell="K13" sqref="K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587</v>
      </c>
      <c r="B7" s="62"/>
      <c r="C7" s="61"/>
      <c r="D7" s="16"/>
      <c r="E7" s="62"/>
      <c r="F7" s="16"/>
      <c r="G7" s="62" t="s">
        <v>585</v>
      </c>
      <c r="H7" s="61"/>
    </row>
    <row r="8" spans="1:8">
      <c r="A8" s="60" t="s">
        <v>578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8" t="s">
        <v>486</v>
      </c>
      <c r="E11" s="65" t="s">
        <v>487</v>
      </c>
      <c r="F11" s="158" t="s">
        <v>488</v>
      </c>
      <c r="G11" s="157" t="s">
        <v>489</v>
      </c>
      <c r="H11" s="67"/>
    </row>
    <row r="12" spans="1:8">
      <c r="A12" s="1480" t="s">
        <v>1487</v>
      </c>
      <c r="B12" s="1481"/>
      <c r="C12" s="1482"/>
      <c r="D12" s="68"/>
      <c r="E12" s="86"/>
      <c r="F12" s="161"/>
      <c r="G12" s="71">
        <f>H38*10%</f>
        <v>2028.32084079641</v>
      </c>
      <c r="H12" s="72"/>
    </row>
    <row r="13" spans="1:8">
      <c r="A13" s="175" t="s">
        <v>1802</v>
      </c>
      <c r="B13" s="176"/>
      <c r="C13" s="174"/>
      <c r="D13" s="174" t="s">
        <v>17</v>
      </c>
      <c r="E13" s="173">
        <f>'EQUIPOS '!D14</f>
        <v>44660</v>
      </c>
      <c r="F13" s="688">
        <v>0.13</v>
      </c>
      <c r="G13" s="173">
        <f>E13*F13</f>
        <v>5805.8</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7834.1208407964104</v>
      </c>
    </row>
    <row r="19" spans="1:8" ht="15.75" thickBot="1">
      <c r="A19" s="63" t="s">
        <v>492</v>
      </c>
      <c r="B19" s="63"/>
      <c r="C19" s="61"/>
      <c r="D19" s="61"/>
      <c r="E19" s="61"/>
      <c r="F19" s="61"/>
      <c r="G19" s="61"/>
      <c r="H19" s="61"/>
    </row>
    <row r="20" spans="1:8">
      <c r="A20" s="1472" t="s">
        <v>485</v>
      </c>
      <c r="B20" s="1473"/>
      <c r="C20" s="1474"/>
      <c r="D20" s="160" t="s">
        <v>493</v>
      </c>
      <c r="E20" s="160" t="s">
        <v>494</v>
      </c>
      <c r="F20" s="160" t="s">
        <v>495</v>
      </c>
      <c r="G20" s="15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8" t="s">
        <v>499</v>
      </c>
      <c r="E27" s="158" t="s">
        <v>500</v>
      </c>
      <c r="F27" s="15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8" t="s">
        <v>504</v>
      </c>
      <c r="D33" s="158" t="s">
        <v>505</v>
      </c>
      <c r="E33" s="124" t="s">
        <v>506</v>
      </c>
      <c r="F33" s="102" t="s">
        <v>488</v>
      </c>
      <c r="G33" s="157" t="s">
        <v>489</v>
      </c>
      <c r="H33" s="67"/>
    </row>
    <row r="34" spans="1:8">
      <c r="A34" s="83" t="s">
        <v>554</v>
      </c>
      <c r="B34" s="84"/>
      <c r="C34" s="103">
        <f>+SALARIOS!C49*2</f>
        <v>51144</v>
      </c>
      <c r="D34" s="104">
        <f>+SALARIOS!C48</f>
        <v>1.7846558312967005</v>
      </c>
      <c r="E34" s="69">
        <f>(C34*D34)</f>
        <v>91274.437835838442</v>
      </c>
      <c r="F34" s="69">
        <v>4.5</v>
      </c>
      <c r="G34" s="105">
        <f>E34/F34</f>
        <v>20283.208407964099</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20283.208407964099</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28117.32924876051</v>
      </c>
    </row>
    <row r="41" spans="1:8" ht="15.75" thickBot="1">
      <c r="A41" s="63" t="s">
        <v>509</v>
      </c>
      <c r="B41" s="63"/>
      <c r="C41" s="61"/>
      <c r="D41" s="61"/>
      <c r="E41" s="61"/>
      <c r="F41" s="61"/>
      <c r="G41" s="61"/>
      <c r="H41" s="61"/>
    </row>
    <row r="42" spans="1:8">
      <c r="A42" s="110" t="s">
        <v>485</v>
      </c>
      <c r="B42" s="111"/>
      <c r="C42" s="111"/>
      <c r="D42" s="111"/>
      <c r="E42" s="112"/>
      <c r="F42" s="160" t="s">
        <v>510</v>
      </c>
      <c r="G42" s="159" t="s">
        <v>511</v>
      </c>
      <c r="H42" s="67"/>
    </row>
    <row r="43" spans="1:8">
      <c r="A43" s="83" t="s">
        <v>512</v>
      </c>
      <c r="B43" s="84"/>
      <c r="C43" s="84"/>
      <c r="D43" s="84"/>
      <c r="E43" s="85"/>
      <c r="F43" s="115">
        <f>(SALARIOS!C45)</f>
        <v>0.15</v>
      </c>
      <c r="G43" s="116">
        <f>++F43*H40</f>
        <v>4217.599387314076</v>
      </c>
      <c r="H43" s="117"/>
    </row>
    <row r="44" spans="1:8">
      <c r="A44" s="83" t="s">
        <v>513</v>
      </c>
      <c r="B44" s="84"/>
      <c r="C44" s="84"/>
      <c r="D44" s="84"/>
      <c r="E44" s="85"/>
      <c r="F44" s="115">
        <f>(SALARIOS!C46)</f>
        <v>0.05</v>
      </c>
      <c r="G44" s="116">
        <f>+F44*H40</f>
        <v>1405.8664624380256</v>
      </c>
      <c r="H44" s="117"/>
    </row>
    <row r="45" spans="1:8" ht="15.75" thickBot="1">
      <c r="A45" s="89" t="s">
        <v>514</v>
      </c>
      <c r="B45" s="90"/>
      <c r="C45" s="90"/>
      <c r="D45" s="90"/>
      <c r="E45" s="91"/>
      <c r="F45" s="118">
        <f>(SALARIOS!C47)</f>
        <v>0.05</v>
      </c>
      <c r="G45" s="119">
        <f>+F45*H40</f>
        <v>1405.8664624380256</v>
      </c>
      <c r="H45" s="80"/>
    </row>
    <row r="46" spans="1:8" ht="15.75" thickBot="1">
      <c r="A46" s="61"/>
      <c r="B46" s="61"/>
      <c r="C46" s="61"/>
      <c r="D46" s="61"/>
      <c r="E46" s="61"/>
      <c r="F46" s="61"/>
      <c r="G46" s="81" t="s">
        <v>491</v>
      </c>
      <c r="H46" s="120">
        <f>SUM(G43:G45)</f>
        <v>7029.3323121901267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35147</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8"/>
  <sheetViews>
    <sheetView workbookViewId="0">
      <selection activeCell="A13" sqref="A13:G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1270</v>
      </c>
      <c r="H7" s="61"/>
    </row>
    <row r="8" spans="1:8">
      <c r="A8" s="60" t="s">
        <v>1271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4670.8661382454075</v>
      </c>
      <c r="H12" s="72"/>
    </row>
    <row r="13" spans="1:8">
      <c r="A13" s="746" t="s">
        <v>1923</v>
      </c>
      <c r="B13" s="176"/>
      <c r="C13" s="174"/>
      <c r="D13" s="174" t="s">
        <v>6</v>
      </c>
      <c r="E13" s="173">
        <f>'EQUIPOS '!D28</f>
        <v>70000</v>
      </c>
      <c r="F13" s="69">
        <v>3.5</v>
      </c>
      <c r="G13" s="173">
        <f>E13/F13</f>
        <v>20000</v>
      </c>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24670.866138245408</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5.5</v>
      </c>
      <c r="G34" s="105">
        <f>+E34/F34</f>
        <v>13517.956714876462</v>
      </c>
      <c r="H34" s="72"/>
    </row>
    <row r="35" spans="1:8">
      <c r="A35" s="83" t="s">
        <v>629</v>
      </c>
      <c r="B35" s="84"/>
      <c r="C35" s="103">
        <f>+SALARIOS!C49*4</f>
        <v>102288</v>
      </c>
      <c r="D35" s="334">
        <f>+SALARIOS!C48</f>
        <v>1.7846558312967005</v>
      </c>
      <c r="E35" s="69">
        <f>+C35*D35</f>
        <v>182548.87567167688</v>
      </c>
      <c r="F35" s="69">
        <v>5.5</v>
      </c>
      <c r="G35" s="105">
        <f>+E35/F35</f>
        <v>33190.704667577615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46708.661382454076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71379.527520699485</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10706.929128104923</v>
      </c>
      <c r="H43" s="117"/>
    </row>
    <row r="44" spans="1:8">
      <c r="A44" s="83" t="s">
        <v>513</v>
      </c>
      <c r="B44" s="84"/>
      <c r="C44" s="84"/>
      <c r="D44" s="84"/>
      <c r="E44" s="85"/>
      <c r="F44" s="115">
        <v>0.05</v>
      </c>
      <c r="G44" s="116">
        <f>+F44*H40</f>
        <v>3568.9763760349742</v>
      </c>
      <c r="H44" s="117"/>
    </row>
    <row r="45" spans="1:8" ht="15.75" thickBot="1">
      <c r="A45" s="89" t="s">
        <v>514</v>
      </c>
      <c r="B45" s="90"/>
      <c r="C45" s="90"/>
      <c r="D45" s="90"/>
      <c r="E45" s="91"/>
      <c r="F45" s="118">
        <v>0.05</v>
      </c>
      <c r="G45" s="119">
        <f>+F45*H40</f>
        <v>3568.9763760349742</v>
      </c>
      <c r="H45" s="80"/>
    </row>
    <row r="46" spans="1:8" ht="15.75" thickBot="1">
      <c r="A46" s="61"/>
      <c r="B46" s="61"/>
      <c r="C46" s="61"/>
      <c r="D46" s="61"/>
      <c r="E46" s="61"/>
      <c r="F46" s="61"/>
      <c r="G46" s="81" t="s">
        <v>491</v>
      </c>
      <c r="H46" s="120">
        <f>SUM(G43:G45)</f>
        <v>17844.881880174871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89224</v>
      </c>
    </row>
  </sheetData>
  <mergeCells count="1">
    <mergeCell ref="A3:C4"/>
  </mergeCell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H48"/>
  <sheetViews>
    <sheetView workbookViewId="0">
      <selection activeCell="C35" sqref="C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1250</v>
      </c>
      <c r="B7" s="62"/>
      <c r="C7" s="61"/>
      <c r="D7" s="16"/>
      <c r="E7" s="62"/>
      <c r="F7" s="16"/>
      <c r="G7" s="62" t="s">
        <v>1272</v>
      </c>
      <c r="H7" s="61"/>
    </row>
    <row r="8" spans="1:8">
      <c r="A8" s="60" t="s">
        <v>1273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5708.8363911888318</v>
      </c>
      <c r="H12" s="72"/>
    </row>
    <row r="13" spans="1:8">
      <c r="A13" s="746" t="s">
        <v>1923</v>
      </c>
      <c r="B13" s="176"/>
      <c r="C13" s="174"/>
      <c r="D13" s="174" t="s">
        <v>6</v>
      </c>
      <c r="E13" s="173">
        <f>'EQUIPOS '!D28</f>
        <v>70000</v>
      </c>
      <c r="F13" s="69">
        <v>3.5</v>
      </c>
      <c r="G13" s="173">
        <f>E13/F13</f>
        <v>20000</v>
      </c>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25708.83639118883</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4.5</v>
      </c>
      <c r="G34" s="105">
        <f>+E34/F34</f>
        <v>16521.94709596012</v>
      </c>
      <c r="H34" s="72"/>
    </row>
    <row r="35" spans="1:8">
      <c r="A35" s="83" t="s">
        <v>629</v>
      </c>
      <c r="B35" s="84"/>
      <c r="C35" s="103">
        <f>+SALARIOS!C49*4</f>
        <v>102288</v>
      </c>
      <c r="D35" s="334">
        <f>+SALARIOS!C48</f>
        <v>1.7846558312967005</v>
      </c>
      <c r="E35" s="69">
        <f>+C35*D35</f>
        <v>182548.87567167688</v>
      </c>
      <c r="F35" s="69">
        <v>4.5</v>
      </c>
      <c r="G35" s="105">
        <f>+E35/F35</f>
        <v>40566.416815928198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57088.363911888315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82797.200303077145</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12419.580045461571</v>
      </c>
      <c r="H43" s="117"/>
    </row>
    <row r="44" spans="1:8">
      <c r="A44" s="83" t="s">
        <v>513</v>
      </c>
      <c r="B44" s="84"/>
      <c r="C44" s="84"/>
      <c r="D44" s="84"/>
      <c r="E44" s="85"/>
      <c r="F44" s="115">
        <v>0.05</v>
      </c>
      <c r="G44" s="116">
        <f>+F44*H40</f>
        <v>4139.8600151538576</v>
      </c>
      <c r="H44" s="117"/>
    </row>
    <row r="45" spans="1:8" ht="15.75" thickBot="1">
      <c r="A45" s="89" t="s">
        <v>514</v>
      </c>
      <c r="B45" s="90"/>
      <c r="C45" s="90"/>
      <c r="D45" s="90"/>
      <c r="E45" s="91"/>
      <c r="F45" s="118">
        <v>0.05</v>
      </c>
      <c r="G45" s="119">
        <f>+F45*H40</f>
        <v>4139.8600151538576</v>
      </c>
      <c r="H45" s="80"/>
    </row>
    <row r="46" spans="1:8" ht="15.75" thickBot="1">
      <c r="A46" s="61"/>
      <c r="B46" s="61"/>
      <c r="C46" s="61"/>
      <c r="D46" s="61"/>
      <c r="E46" s="61"/>
      <c r="F46" s="61"/>
      <c r="G46" s="81" t="s">
        <v>491</v>
      </c>
      <c r="H46" s="120">
        <f>SUM(G43:G45)</f>
        <v>20699.300075769286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103497</v>
      </c>
    </row>
  </sheetData>
  <mergeCells count="1">
    <mergeCell ref="A3:C4"/>
  </mergeCells>
  <pageMargins left="0.7" right="0.7" top="0.75" bottom="0.75" header="0.3" footer="0.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1274</v>
      </c>
      <c r="H7" s="61"/>
    </row>
    <row r="8" spans="1:8">
      <c r="A8" s="60" t="s">
        <v>1252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676.01306027615919</v>
      </c>
      <c r="H12" s="72"/>
    </row>
    <row r="13" spans="1:8">
      <c r="A13" s="164"/>
      <c r="B13" s="165"/>
      <c r="C13" s="166"/>
      <c r="D13" s="167"/>
      <c r="E13" s="167"/>
      <c r="F13" s="167"/>
      <c r="G13" s="167"/>
      <c r="H13" s="59"/>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676.01306027615919</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24.5</v>
      </c>
      <c r="G34" s="105">
        <f>+E34/F34</f>
        <v>3034.6433441559402</v>
      </c>
      <c r="H34" s="72"/>
    </row>
    <row r="35" spans="1:8">
      <c r="A35" s="83" t="s">
        <v>554</v>
      </c>
      <c r="B35" s="84"/>
      <c r="C35" s="103">
        <f>+SALARIOS!C49*2</f>
        <v>51144</v>
      </c>
      <c r="D35" s="334">
        <f>+SALARIOS!C48</f>
        <v>1.7846558312967005</v>
      </c>
      <c r="E35" s="69">
        <f>+C35*D35</f>
        <v>91274.437835838442</v>
      </c>
      <c r="F35" s="69">
        <v>24.5</v>
      </c>
      <c r="G35" s="105">
        <f>+E35/F35</f>
        <v>3725.4872586056508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6760.130602761591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7436.1436630377502</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1115.4215494556624</v>
      </c>
      <c r="H43" s="117"/>
    </row>
    <row r="44" spans="1:8">
      <c r="A44" s="83" t="s">
        <v>513</v>
      </c>
      <c r="B44" s="84"/>
      <c r="C44" s="84"/>
      <c r="D44" s="84"/>
      <c r="E44" s="85"/>
      <c r="F44" s="115">
        <v>0.05</v>
      </c>
      <c r="G44" s="116">
        <f>+F44*H40</f>
        <v>371.80718315188756</v>
      </c>
      <c r="H44" s="117"/>
    </row>
    <row r="45" spans="1:8" ht="15.75" thickBot="1">
      <c r="A45" s="89" t="s">
        <v>514</v>
      </c>
      <c r="B45" s="90"/>
      <c r="C45" s="90"/>
      <c r="D45" s="90"/>
      <c r="E45" s="91"/>
      <c r="F45" s="118">
        <v>0.05</v>
      </c>
      <c r="G45" s="119">
        <f>+F45*H40</f>
        <v>371.80718315188756</v>
      </c>
      <c r="H45" s="80"/>
    </row>
    <row r="46" spans="1:8" ht="15.75" thickBot="1">
      <c r="A46" s="61"/>
      <c r="B46" s="61"/>
      <c r="C46" s="61"/>
      <c r="D46" s="61"/>
      <c r="E46" s="61"/>
      <c r="F46" s="61"/>
      <c r="G46" s="81" t="s">
        <v>491</v>
      </c>
      <c r="H46" s="120">
        <f>SUM(G43:G45)</f>
        <v>1859.0359157594376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9295</v>
      </c>
    </row>
  </sheetData>
  <mergeCells count="1">
    <mergeCell ref="A3:C4"/>
  </mergeCells>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topLeftCell="A4"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1276</v>
      </c>
      <c r="H7" s="61"/>
    </row>
    <row r="8" spans="1:8">
      <c r="A8" s="60" t="s">
        <v>1254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1048.2480997953101</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1048.2480997953101</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15.8</v>
      </c>
      <c r="G34" s="105">
        <f>+E34/F34</f>
        <v>4705.6178437861099</v>
      </c>
      <c r="H34" s="72"/>
    </row>
    <row r="35" spans="1:8">
      <c r="A35" s="83" t="s">
        <v>554</v>
      </c>
      <c r="B35" s="84"/>
      <c r="C35" s="103">
        <f>+SALARIOS!C49*2</f>
        <v>51144</v>
      </c>
      <c r="D35" s="334">
        <f>+SALARIOS!C48</f>
        <v>1.7846558312967005</v>
      </c>
      <c r="E35" s="69">
        <f>+C35*D35</f>
        <v>91274.437835838442</v>
      </c>
      <c r="F35" s="69">
        <v>15.8</v>
      </c>
      <c r="G35" s="105">
        <f>+E35/F35</f>
        <v>5776.8631541669902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10482.4809979531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11530.72909774841</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1729.6093646622614</v>
      </c>
      <c r="H43" s="117"/>
    </row>
    <row r="44" spans="1:8">
      <c r="A44" s="83" t="s">
        <v>513</v>
      </c>
      <c r="B44" s="84"/>
      <c r="C44" s="84"/>
      <c r="D44" s="84"/>
      <c r="E44" s="85"/>
      <c r="F44" s="115">
        <v>0.05</v>
      </c>
      <c r="G44" s="116">
        <f>+F44*H40</f>
        <v>576.53645488742052</v>
      </c>
      <c r="H44" s="117"/>
    </row>
    <row r="45" spans="1:8" ht="15.75" thickBot="1">
      <c r="A45" s="89" t="s">
        <v>514</v>
      </c>
      <c r="B45" s="90"/>
      <c r="C45" s="90"/>
      <c r="D45" s="90"/>
      <c r="E45" s="91"/>
      <c r="F45" s="118">
        <v>0.05</v>
      </c>
      <c r="G45" s="119">
        <f>+F45*H40</f>
        <v>576.53645488742052</v>
      </c>
      <c r="H45" s="80"/>
    </row>
    <row r="46" spans="1:8" ht="15.75" thickBot="1">
      <c r="A46" s="61"/>
      <c r="B46" s="61"/>
      <c r="C46" s="61"/>
      <c r="D46" s="61"/>
      <c r="E46" s="61"/>
      <c r="F46" s="61"/>
      <c r="G46" s="81" t="s">
        <v>491</v>
      </c>
      <c r="H46" s="120">
        <f>SUM(G43:G45)</f>
        <v>2882.6822744371025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14413</v>
      </c>
    </row>
  </sheetData>
  <mergeCells count="1">
    <mergeCell ref="A3:C4"/>
  </mergeCell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1289</v>
      </c>
      <c r="H7" s="61"/>
    </row>
    <row r="8" spans="1:8">
      <c r="A8" s="60" t="s">
        <v>1256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1341.0785406288178</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1341.0785406288178</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12.35</v>
      </c>
      <c r="G34" s="105">
        <f>+E34/F34</f>
        <v>6020.1426665441732</v>
      </c>
      <c r="H34" s="72"/>
    </row>
    <row r="35" spans="1:8">
      <c r="A35" s="83" t="s">
        <v>554</v>
      </c>
      <c r="B35" s="84"/>
      <c r="C35" s="103">
        <f>+SALARIOS!C49*2</f>
        <v>51144</v>
      </c>
      <c r="D35" s="334">
        <f>+SALARIOS!C48</f>
        <v>1.7846558312967005</v>
      </c>
      <c r="E35" s="69">
        <f>+C35*D35</f>
        <v>91274.437835838442</v>
      </c>
      <c r="F35" s="69">
        <v>12.35</v>
      </c>
      <c r="G35" s="105">
        <f>+E35/F35</f>
        <v>7390.6427397440038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13410.785406288178</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14751.863946916996</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2212.7795920375493</v>
      </c>
      <c r="H43" s="117"/>
    </row>
    <row r="44" spans="1:8">
      <c r="A44" s="83" t="s">
        <v>513</v>
      </c>
      <c r="B44" s="84"/>
      <c r="C44" s="84"/>
      <c r="D44" s="84"/>
      <c r="E44" s="85"/>
      <c r="F44" s="115">
        <v>0.05</v>
      </c>
      <c r="G44" s="116">
        <f>+F44*H40</f>
        <v>737.59319734584983</v>
      </c>
      <c r="H44" s="117"/>
    </row>
    <row r="45" spans="1:8" ht="15.75" thickBot="1">
      <c r="A45" s="89" t="s">
        <v>514</v>
      </c>
      <c r="B45" s="90"/>
      <c r="C45" s="90"/>
      <c r="D45" s="90"/>
      <c r="E45" s="91"/>
      <c r="F45" s="118">
        <v>0.05</v>
      </c>
      <c r="G45" s="119">
        <f>+F45*H40</f>
        <v>737.59319734584983</v>
      </c>
      <c r="H45" s="80"/>
    </row>
    <row r="46" spans="1:8" ht="15.75" thickBot="1">
      <c r="A46" s="61"/>
      <c r="B46" s="61"/>
      <c r="C46" s="61"/>
      <c r="D46" s="61"/>
      <c r="E46" s="61"/>
      <c r="F46" s="61"/>
      <c r="G46" s="81" t="s">
        <v>491</v>
      </c>
      <c r="H46" s="120">
        <f>SUM(G43:G45)</f>
        <v>3687.9659867292494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18440</v>
      </c>
    </row>
  </sheetData>
  <mergeCells count="1">
    <mergeCell ref="A3:C4"/>
  </mergeCell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1290</v>
      </c>
      <c r="H7" s="61"/>
    </row>
    <row r="8" spans="1:8">
      <c r="A8" s="60" t="s">
        <v>1258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1993.022817788474</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1993.022817788474</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10.6</v>
      </c>
      <c r="G34" s="105">
        <f>+E34/F34</f>
        <v>7014.0341445113718</v>
      </c>
      <c r="H34" s="72"/>
    </row>
    <row r="35" spans="1:8">
      <c r="A35" s="83" t="s">
        <v>564</v>
      </c>
      <c r="B35" s="84"/>
      <c r="C35" s="103">
        <f>+SALARIOS!C49*3</f>
        <v>76716</v>
      </c>
      <c r="D35" s="334">
        <f>+SALARIOS!C48</f>
        <v>1.7846558312967005</v>
      </c>
      <c r="E35" s="69">
        <f>+C35*D35</f>
        <v>136911.65675375768</v>
      </c>
      <c r="F35" s="69">
        <v>10.6</v>
      </c>
      <c r="G35" s="105">
        <f>+E35/F35</f>
        <v>12916.194033373366</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19930.228177884739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21923.250995673214</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3288.4876493509819</v>
      </c>
      <c r="H43" s="117"/>
    </row>
    <row r="44" spans="1:8">
      <c r="A44" s="83" t="s">
        <v>513</v>
      </c>
      <c r="B44" s="84"/>
      <c r="C44" s="84"/>
      <c r="D44" s="84"/>
      <c r="E44" s="85"/>
      <c r="F44" s="115">
        <v>0.05</v>
      </c>
      <c r="G44" s="116">
        <f>+F44*H40</f>
        <v>1096.1625497836608</v>
      </c>
      <c r="H44" s="117"/>
    </row>
    <row r="45" spans="1:8" ht="15.75" thickBot="1">
      <c r="A45" s="89" t="s">
        <v>514</v>
      </c>
      <c r="B45" s="90"/>
      <c r="C45" s="90"/>
      <c r="D45" s="90"/>
      <c r="E45" s="91"/>
      <c r="F45" s="118">
        <v>0.05</v>
      </c>
      <c r="G45" s="119">
        <f>+F45*H40</f>
        <v>1096.1625497836608</v>
      </c>
      <c r="H45" s="80"/>
    </row>
    <row r="46" spans="1:8" ht="15.75" thickBot="1">
      <c r="A46" s="61"/>
      <c r="B46" s="61"/>
      <c r="C46" s="61"/>
      <c r="D46" s="61"/>
      <c r="E46" s="61"/>
      <c r="F46" s="61"/>
      <c r="G46" s="81" t="s">
        <v>491</v>
      </c>
      <c r="H46" s="120">
        <f>SUM(G43:G45)</f>
        <v>5480.8127489183044</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27404</v>
      </c>
    </row>
  </sheetData>
  <mergeCells count="1">
    <mergeCell ref="A3:C4"/>
  </mergeCells>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1291</v>
      </c>
      <c r="H7" s="61"/>
    </row>
    <row r="8" spans="1:8">
      <c r="A8" s="60" t="s">
        <v>1260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2640.7552335697278</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2640.7552335697278</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8</v>
      </c>
      <c r="G34" s="105">
        <f>+E34/F34</f>
        <v>9293.5952414775675</v>
      </c>
      <c r="H34" s="72"/>
    </row>
    <row r="35" spans="1:8">
      <c r="A35" s="83" t="s">
        <v>564</v>
      </c>
      <c r="B35" s="84"/>
      <c r="C35" s="103">
        <f>+SALARIOS!C49*3</f>
        <v>76716</v>
      </c>
      <c r="D35" s="334">
        <f>+SALARIOS!C48</f>
        <v>1.7846558312967005</v>
      </c>
      <c r="E35" s="69">
        <f>+C35*D35</f>
        <v>136911.65675375768</v>
      </c>
      <c r="F35" s="69">
        <v>8</v>
      </c>
      <c r="G35" s="105">
        <f>+E35/F35</f>
        <v>17113.95709421971</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26407.552335697277</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29048.307569267006</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4357.2461353900508</v>
      </c>
      <c r="H43" s="117"/>
    </row>
    <row r="44" spans="1:8">
      <c r="A44" s="83" t="s">
        <v>513</v>
      </c>
      <c r="B44" s="84"/>
      <c r="C44" s="84"/>
      <c r="D44" s="84"/>
      <c r="E44" s="85"/>
      <c r="F44" s="115">
        <v>0.05</v>
      </c>
      <c r="G44" s="116">
        <f>+F44*H40</f>
        <v>1452.4153784633504</v>
      </c>
      <c r="H44" s="117"/>
    </row>
    <row r="45" spans="1:8" ht="15.75" thickBot="1">
      <c r="A45" s="89" t="s">
        <v>514</v>
      </c>
      <c r="B45" s="90"/>
      <c r="C45" s="90"/>
      <c r="D45" s="90"/>
      <c r="E45" s="91"/>
      <c r="F45" s="118">
        <v>0.05</v>
      </c>
      <c r="G45" s="119">
        <f>+F45*H40</f>
        <v>1452.4153784633504</v>
      </c>
      <c r="H45" s="80"/>
    </row>
    <row r="46" spans="1:8" ht="15.75" thickBot="1">
      <c r="A46" s="61"/>
      <c r="B46" s="61"/>
      <c r="C46" s="61"/>
      <c r="D46" s="61"/>
      <c r="E46" s="61"/>
      <c r="F46" s="61"/>
      <c r="G46" s="81" t="s">
        <v>491</v>
      </c>
      <c r="H46" s="120">
        <f>SUM(G43:G45)</f>
        <v>7262.0768923167525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36310</v>
      </c>
    </row>
  </sheetData>
  <mergeCells count="1">
    <mergeCell ref="A3:C4"/>
  </mergeCells>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election activeCell="C35" sqref="C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1292</v>
      </c>
      <c r="H7" s="61"/>
    </row>
    <row r="8" spans="1:8">
      <c r="A8" s="60" t="s">
        <v>1262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3314.8082271419025</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3314.8082271419025</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7.75</v>
      </c>
      <c r="G34" s="105">
        <f>+E34/F34</f>
        <v>9593.3886363639413</v>
      </c>
      <c r="H34" s="72"/>
    </row>
    <row r="35" spans="1:8">
      <c r="A35" s="83" t="s">
        <v>629</v>
      </c>
      <c r="B35" s="84"/>
      <c r="C35" s="103">
        <f>+SALARIOS!C49*4</f>
        <v>102288</v>
      </c>
      <c r="D35" s="334">
        <f>+SALARIOS!C48</f>
        <v>1.7846558312967005</v>
      </c>
      <c r="E35" s="69">
        <f>+C35*D35</f>
        <v>182548.87567167688</v>
      </c>
      <c r="F35" s="69">
        <v>7.75</v>
      </c>
      <c r="G35" s="105">
        <f>+E35/F35</f>
        <v>23554.693635055082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33148.082271419022</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36462.890498560926</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5469.4335747841387</v>
      </c>
      <c r="H43" s="117"/>
    </row>
    <row r="44" spans="1:8">
      <c r="A44" s="83" t="s">
        <v>513</v>
      </c>
      <c r="B44" s="84"/>
      <c r="C44" s="84"/>
      <c r="D44" s="84"/>
      <c r="E44" s="85"/>
      <c r="F44" s="115">
        <v>0.05</v>
      </c>
      <c r="G44" s="116">
        <f>+F44*H40</f>
        <v>1823.1445249280464</v>
      </c>
      <c r="H44" s="117"/>
    </row>
    <row r="45" spans="1:8" ht="15.75" thickBot="1">
      <c r="A45" s="89" t="s">
        <v>514</v>
      </c>
      <c r="B45" s="90"/>
      <c r="C45" s="90"/>
      <c r="D45" s="90"/>
      <c r="E45" s="91"/>
      <c r="F45" s="118">
        <v>0.05</v>
      </c>
      <c r="G45" s="119">
        <f>+F45*H40</f>
        <v>1823.1445249280464</v>
      </c>
      <c r="H45" s="80"/>
    </row>
    <row r="46" spans="1:8" ht="15.75" thickBot="1">
      <c r="A46" s="61"/>
      <c r="B46" s="61"/>
      <c r="C46" s="61"/>
      <c r="D46" s="61"/>
      <c r="E46" s="61"/>
      <c r="F46" s="61"/>
      <c r="G46" s="81" t="s">
        <v>491</v>
      </c>
      <c r="H46" s="120">
        <f>SUM(G43:G45)</f>
        <v>9115.7226246402315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45579</v>
      </c>
    </row>
  </sheetData>
  <mergeCells count="1">
    <mergeCell ref="A3:C4"/>
  </mergeCells>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election activeCell="C35" sqref="C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1293</v>
      </c>
      <c r="H7" s="61"/>
    </row>
    <row r="8" spans="1:8">
      <c r="A8" s="60" t="s">
        <v>1264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4847.1252378018389</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4847.1252378018389</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5.3</v>
      </c>
      <c r="G34" s="105">
        <f>+E34/F34</f>
        <v>14028.068289022744</v>
      </c>
      <c r="H34" s="72"/>
    </row>
    <row r="35" spans="1:8">
      <c r="A35" s="83" t="s">
        <v>629</v>
      </c>
      <c r="B35" s="84"/>
      <c r="C35" s="103">
        <f>+SALARIOS!C49*4</f>
        <v>102288</v>
      </c>
      <c r="D35" s="334">
        <f>+SALARIOS!C48</f>
        <v>1.7846558312967005</v>
      </c>
      <c r="E35" s="69">
        <f>+C35*D35</f>
        <v>182548.87567167688</v>
      </c>
      <c r="F35" s="69">
        <v>5.3</v>
      </c>
      <c r="G35" s="105">
        <f>+E35/F35</f>
        <v>34443.184088995637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48471.252378018384</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53318.377615820224</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7997.7566423730332</v>
      </c>
      <c r="H43" s="117"/>
    </row>
    <row r="44" spans="1:8">
      <c r="A44" s="83" t="s">
        <v>513</v>
      </c>
      <c r="B44" s="84"/>
      <c r="C44" s="84"/>
      <c r="D44" s="84"/>
      <c r="E44" s="85"/>
      <c r="F44" s="115">
        <v>0.05</v>
      </c>
      <c r="G44" s="116">
        <f>+F44*H40</f>
        <v>2665.9188807910114</v>
      </c>
      <c r="H44" s="117"/>
    </row>
    <row r="45" spans="1:8" ht="15.75" thickBot="1">
      <c r="A45" s="89" t="s">
        <v>514</v>
      </c>
      <c r="B45" s="90"/>
      <c r="C45" s="90"/>
      <c r="D45" s="90"/>
      <c r="E45" s="91"/>
      <c r="F45" s="118">
        <v>0.05</v>
      </c>
      <c r="G45" s="119">
        <f>+F45*H40</f>
        <v>2665.9188807910114</v>
      </c>
      <c r="H45" s="80"/>
    </row>
    <row r="46" spans="1:8" ht="15.75" thickBot="1">
      <c r="A46" s="61"/>
      <c r="B46" s="61"/>
      <c r="C46" s="61"/>
      <c r="D46" s="61"/>
      <c r="E46" s="61"/>
      <c r="F46" s="61"/>
      <c r="G46" s="81" t="s">
        <v>491</v>
      </c>
      <c r="H46" s="120">
        <f>SUM(G43:G45)</f>
        <v>13329.594403955056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66648</v>
      </c>
    </row>
  </sheetData>
  <mergeCells count="1">
    <mergeCell ref="A3:C4"/>
  </mergeCell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1294</v>
      </c>
      <c r="H7" s="61"/>
    </row>
    <row r="8" spans="1:8">
      <c r="A8" s="60" t="s">
        <v>1266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4587.4578143481694</v>
      </c>
      <c r="H12" s="72"/>
    </row>
    <row r="13" spans="1:8">
      <c r="A13" s="175"/>
      <c r="B13" s="176"/>
      <c r="C13" s="174"/>
      <c r="D13" s="174"/>
      <c r="E13" s="173"/>
      <c r="F13" s="69"/>
      <c r="G13" s="173"/>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4587.4578143481694</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5.6</v>
      </c>
      <c r="G34" s="105">
        <f>+E34/F34</f>
        <v>13276.56463068224</v>
      </c>
      <c r="H34" s="72"/>
    </row>
    <row r="35" spans="1:8">
      <c r="A35" s="83" t="s">
        <v>629</v>
      </c>
      <c r="B35" s="84"/>
      <c r="C35" s="103">
        <f>+SALARIOS!C49*4</f>
        <v>102288</v>
      </c>
      <c r="D35" s="334">
        <f>+SALARIOS!C48</f>
        <v>1.7846558312967005</v>
      </c>
      <c r="E35" s="69">
        <f>+C35*D35</f>
        <v>182548.87567167688</v>
      </c>
      <c r="F35" s="69">
        <v>5.6</v>
      </c>
      <c r="G35" s="105">
        <f>+E35/F35</f>
        <v>32598.013512799447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45874.578143481689</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50462.035957829859</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7569.3053936744782</v>
      </c>
      <c r="H43" s="117"/>
    </row>
    <row r="44" spans="1:8">
      <c r="A44" s="83" t="s">
        <v>513</v>
      </c>
      <c r="B44" s="84"/>
      <c r="C44" s="84"/>
      <c r="D44" s="84"/>
      <c r="E44" s="85"/>
      <c r="F44" s="115">
        <v>0.05</v>
      </c>
      <c r="G44" s="116">
        <f>+F44*H40</f>
        <v>2523.1017978914933</v>
      </c>
      <c r="H44" s="117"/>
    </row>
    <row r="45" spans="1:8" ht="15.75" thickBot="1">
      <c r="A45" s="89" t="s">
        <v>514</v>
      </c>
      <c r="B45" s="90"/>
      <c r="C45" s="90"/>
      <c r="D45" s="90"/>
      <c r="E45" s="91"/>
      <c r="F45" s="118">
        <v>0.05</v>
      </c>
      <c r="G45" s="119">
        <f>+F45*H40</f>
        <v>2523.1017978914933</v>
      </c>
      <c r="H45" s="80"/>
    </row>
    <row r="46" spans="1:8" ht="15.75" thickBot="1">
      <c r="A46" s="61"/>
      <c r="B46" s="61"/>
      <c r="C46" s="61"/>
      <c r="D46" s="61"/>
      <c r="E46" s="61"/>
      <c r="F46" s="61"/>
      <c r="G46" s="81" t="s">
        <v>491</v>
      </c>
      <c r="H46" s="120">
        <f>SUM(G43:G45)</f>
        <v>12615.508989457465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63078</v>
      </c>
    </row>
  </sheetData>
  <mergeCells count="1">
    <mergeCell ref="A3:C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19"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587</v>
      </c>
      <c r="B7" s="62"/>
      <c r="C7" s="61"/>
      <c r="D7" s="16"/>
      <c r="E7" s="62"/>
      <c r="F7" s="16"/>
      <c r="G7" s="62" t="s">
        <v>588</v>
      </c>
      <c r="H7" s="61"/>
    </row>
    <row r="8" spans="1:8">
      <c r="A8" s="60" t="s">
        <v>579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8" t="s">
        <v>486</v>
      </c>
      <c r="E11" s="65" t="s">
        <v>487</v>
      </c>
      <c r="F11" s="158" t="s">
        <v>488</v>
      </c>
      <c r="G11" s="157" t="s">
        <v>489</v>
      </c>
      <c r="H11" s="67"/>
    </row>
    <row r="12" spans="1:8">
      <c r="A12" s="1480" t="s">
        <v>1487</v>
      </c>
      <c r="B12" s="1481"/>
      <c r="C12" s="1482"/>
      <c r="D12" s="68"/>
      <c r="E12" s="86"/>
      <c r="F12" s="161"/>
      <c r="G12" s="71">
        <f>H38*10%</f>
        <v>2466.8766982659035</v>
      </c>
      <c r="H12" s="72"/>
    </row>
    <row r="13" spans="1:8">
      <c r="A13" s="175" t="s">
        <v>1802</v>
      </c>
      <c r="B13" s="176"/>
      <c r="C13" s="174"/>
      <c r="D13" s="174" t="s">
        <v>17</v>
      </c>
      <c r="E13" s="173">
        <f>'EQUIPOS '!D14</f>
        <v>44660</v>
      </c>
      <c r="F13" s="688">
        <v>0.13</v>
      </c>
      <c r="G13" s="173">
        <f>E13*F13</f>
        <v>5805.8</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8272.6766982659028</v>
      </c>
    </row>
    <row r="19" spans="1:8" ht="15.75" thickBot="1">
      <c r="A19" s="63" t="s">
        <v>492</v>
      </c>
      <c r="B19" s="63"/>
      <c r="C19" s="61"/>
      <c r="D19" s="61"/>
      <c r="E19" s="61"/>
      <c r="F19" s="61"/>
      <c r="G19" s="61"/>
      <c r="H19" s="61"/>
    </row>
    <row r="20" spans="1:8">
      <c r="A20" s="1472" t="s">
        <v>485</v>
      </c>
      <c r="B20" s="1473"/>
      <c r="C20" s="1474"/>
      <c r="D20" s="160" t="s">
        <v>493</v>
      </c>
      <c r="E20" s="160" t="s">
        <v>494</v>
      </c>
      <c r="F20" s="160" t="s">
        <v>495</v>
      </c>
      <c r="G20" s="15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8" t="s">
        <v>499</v>
      </c>
      <c r="E27" s="158" t="s">
        <v>500</v>
      </c>
      <c r="F27" s="15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8" t="s">
        <v>504</v>
      </c>
      <c r="D33" s="158" t="s">
        <v>505</v>
      </c>
      <c r="E33" s="124" t="s">
        <v>506</v>
      </c>
      <c r="F33" s="102" t="s">
        <v>488</v>
      </c>
      <c r="G33" s="157" t="s">
        <v>489</v>
      </c>
      <c r="H33" s="67"/>
    </row>
    <row r="34" spans="1:8">
      <c r="A34" s="83" t="s">
        <v>554</v>
      </c>
      <c r="B34" s="84"/>
      <c r="C34" s="103">
        <f>+SALARIOS!C49*2</f>
        <v>51144</v>
      </c>
      <c r="D34" s="104">
        <f>+SALARIOS!C48</f>
        <v>1.7846558312967005</v>
      </c>
      <c r="E34" s="69">
        <f>(C34*D34)</f>
        <v>91274.437835838442</v>
      </c>
      <c r="F34" s="69">
        <v>3.7</v>
      </c>
      <c r="G34" s="105">
        <f>E34/F34</f>
        <v>24668.766982659035</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24668.766982659035</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32941.443680924938</v>
      </c>
    </row>
    <row r="41" spans="1:8" ht="15.75" thickBot="1">
      <c r="A41" s="63" t="s">
        <v>509</v>
      </c>
      <c r="B41" s="63"/>
      <c r="C41" s="61"/>
      <c r="D41" s="61"/>
      <c r="E41" s="61"/>
      <c r="F41" s="61"/>
      <c r="G41" s="61"/>
      <c r="H41" s="61"/>
    </row>
    <row r="42" spans="1:8">
      <c r="A42" s="110" t="s">
        <v>485</v>
      </c>
      <c r="B42" s="111"/>
      <c r="C42" s="111"/>
      <c r="D42" s="111"/>
      <c r="E42" s="112"/>
      <c r="F42" s="160" t="s">
        <v>510</v>
      </c>
      <c r="G42" s="159" t="s">
        <v>511</v>
      </c>
      <c r="H42" s="67"/>
    </row>
    <row r="43" spans="1:8">
      <c r="A43" s="83" t="s">
        <v>512</v>
      </c>
      <c r="B43" s="84"/>
      <c r="C43" s="84"/>
      <c r="D43" s="84"/>
      <c r="E43" s="85"/>
      <c r="F43" s="115">
        <f>(SALARIOS!C45)</f>
        <v>0.15</v>
      </c>
      <c r="G43" s="116">
        <f>++F43*H40</f>
        <v>4941.2165521387406</v>
      </c>
      <c r="H43" s="117"/>
    </row>
    <row r="44" spans="1:8">
      <c r="A44" s="83" t="s">
        <v>513</v>
      </c>
      <c r="B44" s="84"/>
      <c r="C44" s="84"/>
      <c r="D44" s="84"/>
      <c r="E44" s="85"/>
      <c r="F44" s="115">
        <f>(SALARIOS!C46)</f>
        <v>0.05</v>
      </c>
      <c r="G44" s="116">
        <f>+F44*H40</f>
        <v>1647.072184046247</v>
      </c>
      <c r="H44" s="117"/>
    </row>
    <row r="45" spans="1:8" ht="15.75" thickBot="1">
      <c r="A45" s="89" t="s">
        <v>514</v>
      </c>
      <c r="B45" s="90"/>
      <c r="C45" s="90"/>
      <c r="D45" s="90"/>
      <c r="E45" s="91"/>
      <c r="F45" s="118">
        <f>(SALARIOS!C47)</f>
        <v>0.05</v>
      </c>
      <c r="G45" s="119">
        <f>+F45*H40</f>
        <v>1647.072184046247</v>
      </c>
      <c r="H45" s="80"/>
    </row>
    <row r="46" spans="1:8" ht="15.75" thickBot="1">
      <c r="A46" s="61"/>
      <c r="B46" s="61"/>
      <c r="C46" s="61"/>
      <c r="D46" s="61"/>
      <c r="E46" s="61"/>
      <c r="F46" s="61"/>
      <c r="G46" s="81" t="s">
        <v>491</v>
      </c>
      <c r="H46" s="120">
        <f>SUM(G43:G45)</f>
        <v>8235.3609202312346</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41177</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1295</v>
      </c>
      <c r="H7" s="61"/>
    </row>
    <row r="8" spans="1:8">
      <c r="A8" s="60" t="s">
        <v>1268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4014.0255875546472</v>
      </c>
      <c r="H12" s="72"/>
    </row>
    <row r="13" spans="1:8">
      <c r="A13" s="746" t="s">
        <v>1923</v>
      </c>
      <c r="B13" s="176"/>
      <c r="C13" s="174"/>
      <c r="D13" s="174" t="s">
        <v>6</v>
      </c>
      <c r="E13" s="173">
        <f>'EQUIPOS '!D28</f>
        <v>70000</v>
      </c>
      <c r="F13" s="69">
        <v>3.5</v>
      </c>
      <c r="G13" s="173">
        <f>E13/F13</f>
        <v>20000</v>
      </c>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24014.025587554646</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6.4</v>
      </c>
      <c r="G34" s="105">
        <f>+E34/F34</f>
        <v>11616.994051846959</v>
      </c>
      <c r="H34" s="72"/>
    </row>
    <row r="35" spans="1:8">
      <c r="A35" s="83" t="s">
        <v>629</v>
      </c>
      <c r="B35" s="84"/>
      <c r="C35" s="103">
        <f>+SALARIOS!C49*4</f>
        <v>102288</v>
      </c>
      <c r="D35" s="334">
        <f>+SALARIOS!C48</f>
        <v>1.7846558312967005</v>
      </c>
      <c r="E35" s="69">
        <f>+C35*D35</f>
        <v>182548.87567167688</v>
      </c>
      <c r="F35" s="69">
        <v>6.4</v>
      </c>
      <c r="G35" s="105">
        <f>+E35/F35</f>
        <v>28523.261823699511</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40140.255875546471</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64154.281463101113</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9623.1422194651659</v>
      </c>
      <c r="H43" s="117"/>
    </row>
    <row r="44" spans="1:8">
      <c r="A44" s="83" t="s">
        <v>513</v>
      </c>
      <c r="B44" s="84"/>
      <c r="C44" s="84"/>
      <c r="D44" s="84"/>
      <c r="E44" s="85"/>
      <c r="F44" s="115">
        <v>0.05</v>
      </c>
      <c r="G44" s="116">
        <f>+F44*H40</f>
        <v>3207.7140731550558</v>
      </c>
      <c r="H44" s="117"/>
    </row>
    <row r="45" spans="1:8" ht="15.75" thickBot="1">
      <c r="A45" s="89" t="s">
        <v>514</v>
      </c>
      <c r="B45" s="90"/>
      <c r="C45" s="90"/>
      <c r="D45" s="90"/>
      <c r="E45" s="91"/>
      <c r="F45" s="118">
        <v>0.05</v>
      </c>
      <c r="G45" s="119">
        <f>+F45*H40</f>
        <v>3207.7140731550558</v>
      </c>
      <c r="H45" s="80"/>
    </row>
    <row r="46" spans="1:8" ht="15.75" thickBot="1">
      <c r="A46" s="61"/>
      <c r="B46" s="61"/>
      <c r="C46" s="61"/>
      <c r="D46" s="61"/>
      <c r="E46" s="61"/>
      <c r="F46" s="61"/>
      <c r="G46" s="81" t="s">
        <v>491</v>
      </c>
      <c r="H46" s="120">
        <f>SUM(G43:G45)</f>
        <v>16038.570365775277</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80193</v>
      </c>
    </row>
  </sheetData>
  <mergeCells count="1">
    <mergeCell ref="A3:C4"/>
  </mergeCell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election activeCell="C35" sqref="C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1296</v>
      </c>
      <c r="H7" s="61"/>
    </row>
    <row r="8" spans="1:8">
      <c r="A8" s="60" t="s">
        <v>1271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4670.8661382454075</v>
      </c>
      <c r="H12" s="72"/>
    </row>
    <row r="13" spans="1:8">
      <c r="A13" s="746" t="s">
        <v>1923</v>
      </c>
      <c r="B13" s="176"/>
      <c r="C13" s="174"/>
      <c r="D13" s="174" t="s">
        <v>6</v>
      </c>
      <c r="E13" s="173">
        <f>'EQUIPOS '!D28</f>
        <v>70000</v>
      </c>
      <c r="F13" s="69">
        <v>3.5</v>
      </c>
      <c r="G13" s="173">
        <f>E13/F13</f>
        <v>20000</v>
      </c>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24670.866138245408</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5.5</v>
      </c>
      <c r="G34" s="105">
        <f>+E34/F34</f>
        <v>13517.956714876462</v>
      </c>
      <c r="H34" s="72"/>
    </row>
    <row r="35" spans="1:8">
      <c r="A35" s="83" t="s">
        <v>629</v>
      </c>
      <c r="B35" s="84"/>
      <c r="C35" s="103">
        <f>+SALARIOS!C49*4</f>
        <v>102288</v>
      </c>
      <c r="D35" s="334">
        <f>+SALARIOS!C48</f>
        <v>1.7846558312967005</v>
      </c>
      <c r="E35" s="69">
        <f>+C35*D35</f>
        <v>182548.87567167688</v>
      </c>
      <c r="F35" s="69">
        <v>5.5</v>
      </c>
      <c r="G35" s="105">
        <f>+E35/F35</f>
        <v>33190.704667577615</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46708.661382454076</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71379.527520699485</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10706.929128104923</v>
      </c>
      <c r="H43" s="117"/>
    </row>
    <row r="44" spans="1:8">
      <c r="A44" s="83" t="s">
        <v>513</v>
      </c>
      <c r="B44" s="84"/>
      <c r="C44" s="84"/>
      <c r="D44" s="84"/>
      <c r="E44" s="85"/>
      <c r="F44" s="115">
        <v>0.05</v>
      </c>
      <c r="G44" s="116">
        <f>+F44*H40</f>
        <v>3568.9763760349742</v>
      </c>
      <c r="H44" s="117"/>
    </row>
    <row r="45" spans="1:8" ht="15.75" thickBot="1">
      <c r="A45" s="89" t="s">
        <v>514</v>
      </c>
      <c r="B45" s="90"/>
      <c r="C45" s="90"/>
      <c r="D45" s="90"/>
      <c r="E45" s="91"/>
      <c r="F45" s="118">
        <v>0.05</v>
      </c>
      <c r="G45" s="119">
        <f>+F45*H40</f>
        <v>3568.9763760349742</v>
      </c>
      <c r="H45" s="80"/>
    </row>
    <row r="46" spans="1:8" ht="15.75" thickBot="1">
      <c r="A46" s="61"/>
      <c r="B46" s="61"/>
      <c r="C46" s="61"/>
      <c r="D46" s="61"/>
      <c r="E46" s="61"/>
      <c r="F46" s="61"/>
      <c r="G46" s="81" t="s">
        <v>491</v>
      </c>
      <c r="H46" s="120">
        <f>SUM(G43:G45)</f>
        <v>17844.881880174871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89224</v>
      </c>
    </row>
  </sheetData>
  <mergeCells count="1">
    <mergeCell ref="A3:C4"/>
  </mergeCell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1275</v>
      </c>
      <c r="B7" s="62"/>
      <c r="C7" s="61"/>
      <c r="D7" s="16"/>
      <c r="E7" s="62"/>
      <c r="F7" s="16"/>
      <c r="G7" s="62" t="s">
        <v>1297</v>
      </c>
      <c r="H7" s="61"/>
    </row>
    <row r="8" spans="1:8">
      <c r="A8" s="60" t="s">
        <v>1273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5708.8363911888318</v>
      </c>
      <c r="H12" s="72"/>
    </row>
    <row r="13" spans="1:8">
      <c r="A13" s="746" t="s">
        <v>1923</v>
      </c>
      <c r="B13" s="176"/>
      <c r="C13" s="174"/>
      <c r="D13" s="174" t="s">
        <v>6</v>
      </c>
      <c r="E13" s="173">
        <f>'EQUIPOS '!D28</f>
        <v>70000</v>
      </c>
      <c r="F13" s="69">
        <v>3.5</v>
      </c>
      <c r="G13" s="173">
        <f>E13/F13</f>
        <v>20000</v>
      </c>
      <c r="H13" s="72"/>
    </row>
    <row r="14" spans="1:8">
      <c r="A14" s="361"/>
      <c r="B14" s="362"/>
      <c r="C14" s="363"/>
      <c r="D14" s="73"/>
      <c r="E14" s="74"/>
      <c r="F14" s="69"/>
      <c r="G14" s="71"/>
      <c r="H14" s="72"/>
    </row>
    <row r="15" spans="1:8">
      <c r="A15" s="361"/>
      <c r="B15" s="362"/>
      <c r="C15" s="363"/>
      <c r="D15" s="73"/>
      <c r="E15" s="74"/>
      <c r="F15" s="69"/>
      <c r="G15" s="71"/>
      <c r="H15" s="72"/>
    </row>
    <row r="16" spans="1:8">
      <c r="A16" s="361"/>
      <c r="B16" s="362"/>
      <c r="C16" s="363"/>
      <c r="D16" s="73"/>
      <c r="E16" s="74"/>
      <c r="F16" s="69"/>
      <c r="G16" s="71"/>
      <c r="H16" s="72"/>
    </row>
    <row r="17" spans="1:8" ht="15.75" thickBot="1">
      <c r="A17" s="364"/>
      <c r="B17" s="365"/>
      <c r="C17" s="366"/>
      <c r="D17" s="76"/>
      <c r="E17" s="77"/>
      <c r="F17" s="78"/>
      <c r="G17" s="79"/>
      <c r="H17" s="80"/>
    </row>
    <row r="18" spans="1:8" ht="15.75" thickBot="1">
      <c r="A18" s="61"/>
      <c r="B18" s="61"/>
      <c r="C18" s="61"/>
      <c r="D18" s="61"/>
      <c r="E18" s="61"/>
      <c r="F18" s="61"/>
      <c r="G18" s="81" t="s">
        <v>491</v>
      </c>
      <c r="H18" s="82">
        <f>SUM(G12:G17)</f>
        <v>25708.83639118883</v>
      </c>
    </row>
    <row r="19" spans="1:8" ht="15.75" thickBot="1">
      <c r="A19" s="63" t="s">
        <v>492</v>
      </c>
      <c r="B19" s="63"/>
      <c r="C19" s="61"/>
      <c r="D19" s="61"/>
      <c r="E19" s="61"/>
      <c r="F19" s="61"/>
      <c r="G19" s="61"/>
      <c r="H19" s="61"/>
    </row>
    <row r="20" spans="1:8">
      <c r="A20" s="370" t="s">
        <v>485</v>
      </c>
      <c r="B20" s="371"/>
      <c r="C20" s="372"/>
      <c r="D20" s="372" t="s">
        <v>493</v>
      </c>
      <c r="E20" s="372" t="s">
        <v>494</v>
      </c>
      <c r="F20" s="372" t="s">
        <v>495</v>
      </c>
      <c r="G20" s="371" t="s">
        <v>489</v>
      </c>
      <c r="H20" s="67"/>
    </row>
    <row r="21" spans="1:8">
      <c r="A21" s="127"/>
      <c r="B21" s="84"/>
      <c r="C21" s="85"/>
      <c r="D21" s="141"/>
      <c r="E21" s="139"/>
      <c r="F21" s="163"/>
      <c r="G21" s="137"/>
      <c r="H21" s="59"/>
    </row>
    <row r="22" spans="1:8">
      <c r="A22" s="127"/>
      <c r="B22" s="84"/>
      <c r="C22" s="85"/>
      <c r="D22" s="68"/>
      <c r="E22" s="142"/>
      <c r="F22" s="69"/>
      <c r="G22" s="69"/>
      <c r="H22" s="59"/>
    </row>
    <row r="23" spans="1:8">
      <c r="A23" s="128"/>
      <c r="B23" s="129"/>
      <c r="C23" s="130"/>
      <c r="D23" s="131"/>
      <c r="E23" s="132"/>
      <c r="F23" s="315"/>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4.5</v>
      </c>
      <c r="G34" s="105">
        <f>+E34/F34</f>
        <v>16521.94709596012</v>
      </c>
      <c r="H34" s="72"/>
    </row>
    <row r="35" spans="1:8">
      <c r="A35" s="83" t="s">
        <v>629</v>
      </c>
      <c r="B35" s="84"/>
      <c r="C35" s="103">
        <f>+SALARIOS!C49*4</f>
        <v>102288</v>
      </c>
      <c r="D35" s="334">
        <f>+SALARIOS!C48</f>
        <v>1.7846558312967005</v>
      </c>
      <c r="E35" s="69">
        <f>+C35*D35</f>
        <v>182548.87567167688</v>
      </c>
      <c r="F35" s="69">
        <v>4.5</v>
      </c>
      <c r="G35" s="105">
        <f>+E35/F35</f>
        <v>40566.416815928198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57088.363911888315</v>
      </c>
    </row>
    <row r="39" spans="1:8" ht="15.75" thickBot="1">
      <c r="A39" s="61"/>
      <c r="B39" s="61"/>
      <c r="C39" s="61"/>
      <c r="D39" s="61"/>
      <c r="E39" s="61"/>
      <c r="F39" s="61"/>
      <c r="G39" s="107"/>
      <c r="H39" s="58"/>
    </row>
    <row r="40" spans="1:8" ht="15.75" thickBot="1">
      <c r="A40" s="61"/>
      <c r="B40" s="61"/>
      <c r="C40" s="61"/>
      <c r="D40" s="61"/>
      <c r="E40" s="81" t="s">
        <v>508</v>
      </c>
      <c r="F40" s="107"/>
      <c r="G40" s="107"/>
      <c r="H40" s="82">
        <f>H18+H25+H31+H38</f>
        <v>82797.200303077145</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12419.580045461571</v>
      </c>
      <c r="H43" s="117"/>
    </row>
    <row r="44" spans="1:8">
      <c r="A44" s="83" t="s">
        <v>513</v>
      </c>
      <c r="B44" s="84"/>
      <c r="C44" s="84"/>
      <c r="D44" s="84"/>
      <c r="E44" s="85"/>
      <c r="F44" s="115">
        <v>0.05</v>
      </c>
      <c r="G44" s="116">
        <f>+F44*H40</f>
        <v>4139.8600151538576</v>
      </c>
      <c r="H44" s="117"/>
    </row>
    <row r="45" spans="1:8" ht="15.75" thickBot="1">
      <c r="A45" s="89" t="s">
        <v>514</v>
      </c>
      <c r="B45" s="90"/>
      <c r="C45" s="90"/>
      <c r="D45" s="90"/>
      <c r="E45" s="91"/>
      <c r="F45" s="118">
        <v>0.05</v>
      </c>
      <c r="G45" s="119">
        <f>+F45*H40</f>
        <v>4139.8600151538576</v>
      </c>
      <c r="H45" s="80"/>
    </row>
    <row r="46" spans="1:8" ht="15.75" thickBot="1">
      <c r="A46" s="61"/>
      <c r="B46" s="61"/>
      <c r="C46" s="61"/>
      <c r="D46" s="61"/>
      <c r="E46" s="61"/>
      <c r="F46" s="61"/>
      <c r="G46" s="81" t="s">
        <v>491</v>
      </c>
      <c r="H46" s="120">
        <f>SUM(G43:G45)</f>
        <v>20699.300075769286</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103497</v>
      </c>
    </row>
  </sheetData>
  <mergeCells count="1">
    <mergeCell ref="A3:C4"/>
  </mergeCells>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67" t="s">
        <v>520</v>
      </c>
      <c r="B5" s="368"/>
      <c r="C5" s="369"/>
      <c r="D5" s="355"/>
      <c r="E5" s="356"/>
      <c r="F5" s="356"/>
      <c r="G5" s="356"/>
      <c r="H5" s="357"/>
    </row>
    <row r="6" spans="1:8">
      <c r="A6" s="60"/>
      <c r="B6" s="61"/>
      <c r="C6" s="61"/>
      <c r="D6" s="61"/>
      <c r="E6" s="61"/>
      <c r="F6" s="61"/>
      <c r="G6" s="61"/>
      <c r="H6" s="61"/>
    </row>
    <row r="7" spans="1:8">
      <c r="A7" s="60" t="s">
        <v>1736</v>
      </c>
      <c r="B7" s="62"/>
      <c r="C7" s="61"/>
      <c r="D7" s="16"/>
      <c r="E7" s="62"/>
      <c r="F7" s="16"/>
      <c r="G7" s="62" t="s">
        <v>1298</v>
      </c>
      <c r="H7" s="61"/>
    </row>
    <row r="8" spans="1:8">
      <c r="A8" s="60" t="s">
        <v>1252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58" t="s">
        <v>485</v>
      </c>
      <c r="B11" s="359"/>
      <c r="C11" s="360"/>
      <c r="D11" s="360" t="s">
        <v>486</v>
      </c>
      <c r="E11" s="65" t="s">
        <v>487</v>
      </c>
      <c r="F11" s="360" t="s">
        <v>488</v>
      </c>
      <c r="G11" s="359" t="s">
        <v>489</v>
      </c>
      <c r="H11" s="67"/>
    </row>
    <row r="12" spans="1:8">
      <c r="A12" s="175" t="s">
        <v>1327</v>
      </c>
      <c r="B12" s="176"/>
      <c r="C12" s="174"/>
      <c r="D12" s="174"/>
      <c r="E12" s="173"/>
      <c r="F12" s="69"/>
      <c r="G12" s="173">
        <f>H38*10%</f>
        <v>676.01306027615919</v>
      </c>
      <c r="H12" s="72"/>
    </row>
    <row r="13" spans="1:8">
      <c r="A13" s="361"/>
      <c r="B13" s="362"/>
      <c r="C13" s="363"/>
      <c r="D13" s="73"/>
      <c r="E13" s="74"/>
      <c r="F13" s="69"/>
      <c r="G13" s="71"/>
      <c r="H13" s="72"/>
    </row>
    <row r="14" spans="1:8">
      <c r="A14" s="361"/>
      <c r="B14" s="362"/>
      <c r="C14" s="363"/>
      <c r="D14" s="73"/>
      <c r="E14" s="74"/>
      <c r="F14" s="69"/>
      <c r="G14" s="71"/>
      <c r="H14" s="72"/>
    </row>
    <row r="15" spans="1:8">
      <c r="A15" s="361"/>
      <c r="B15" s="362"/>
      <c r="C15" s="363"/>
      <c r="D15" s="73"/>
      <c r="E15" s="74"/>
      <c r="F15" s="69"/>
      <c r="G15" s="71"/>
      <c r="H15" s="72"/>
    </row>
    <row r="16" spans="1:8" ht="15.75" thickBot="1">
      <c r="A16" s="364"/>
      <c r="B16" s="365"/>
      <c r="C16" s="366"/>
      <c r="D16" s="76"/>
      <c r="E16" s="77"/>
      <c r="F16" s="78"/>
      <c r="G16" s="79"/>
      <c r="H16" s="80"/>
    </row>
    <row r="17" spans="1:8" ht="15.75" thickBot="1">
      <c r="A17" s="61"/>
      <c r="B17" s="61"/>
      <c r="C17" s="61"/>
      <c r="D17" s="61"/>
      <c r="E17" s="61"/>
      <c r="F17" s="61"/>
      <c r="G17" s="81" t="s">
        <v>491</v>
      </c>
      <c r="H17" s="82">
        <f>SUM(G12:G16)</f>
        <v>676.01306027615919</v>
      </c>
    </row>
    <row r="18" spans="1:8" ht="15.75" thickBot="1">
      <c r="A18" s="63" t="s">
        <v>492</v>
      </c>
      <c r="B18" s="63"/>
      <c r="C18" s="61"/>
      <c r="D18" s="61"/>
      <c r="E18" s="61"/>
      <c r="F18" s="61"/>
      <c r="G18" s="61"/>
      <c r="H18" s="61"/>
    </row>
    <row r="19" spans="1:8">
      <c r="A19" s="676" t="s">
        <v>485</v>
      </c>
      <c r="B19" s="677"/>
      <c r="C19" s="678"/>
      <c r="D19" s="678" t="s">
        <v>493</v>
      </c>
      <c r="E19" s="678" t="s">
        <v>494</v>
      </c>
      <c r="F19" s="678" t="s">
        <v>495</v>
      </c>
      <c r="G19" s="452" t="s">
        <v>489</v>
      </c>
      <c r="H19" s="684"/>
    </row>
    <row r="20" spans="1:8">
      <c r="A20" s="83" t="s">
        <v>1737</v>
      </c>
      <c r="B20" s="84"/>
      <c r="C20" s="85"/>
      <c r="D20" s="141" t="s">
        <v>1</v>
      </c>
      <c r="E20" s="139">
        <f>MATERIALES!D245</f>
        <v>9904.08</v>
      </c>
      <c r="F20" s="163">
        <v>1</v>
      </c>
      <c r="G20" s="685">
        <f>E20*F20</f>
        <v>9904.08</v>
      </c>
      <c r="H20" s="59"/>
    </row>
    <row r="21" spans="1:8">
      <c r="A21" s="83" t="s">
        <v>1738</v>
      </c>
      <c r="B21" s="84"/>
      <c r="C21" s="85"/>
      <c r="D21" s="141" t="s">
        <v>1739</v>
      </c>
      <c r="E21" s="139">
        <f>G20*25%</f>
        <v>2476.02</v>
      </c>
      <c r="F21" s="163">
        <v>1</v>
      </c>
      <c r="G21" s="685">
        <f>E21*F21</f>
        <v>2476.02</v>
      </c>
      <c r="H21" s="59"/>
    </row>
    <row r="22" spans="1:8">
      <c r="A22" s="83" t="s">
        <v>1709</v>
      </c>
      <c r="B22" s="84"/>
      <c r="C22" s="85"/>
      <c r="D22" s="73" t="s">
        <v>61</v>
      </c>
      <c r="E22" s="142">
        <f>MATERIALES!D53</f>
        <v>31988.933333333331</v>
      </c>
      <c r="F22" s="70">
        <v>8.0000000000000002E-3</v>
      </c>
      <c r="G22" s="105">
        <f>+E22*F22</f>
        <v>255.91146666666666</v>
      </c>
      <c r="H22" s="59"/>
    </row>
    <row r="23" spans="1:8">
      <c r="A23" s="83" t="s">
        <v>1158</v>
      </c>
      <c r="B23" s="84"/>
      <c r="C23" s="85"/>
      <c r="D23" s="68" t="s">
        <v>61</v>
      </c>
      <c r="E23" s="86">
        <f>MATERIALES!D42</f>
        <v>24299.293333333335</v>
      </c>
      <c r="F23" s="70">
        <v>8.0000000000000002E-3</v>
      </c>
      <c r="G23" s="105">
        <f>+E23*F23</f>
        <v>194.39434666666668</v>
      </c>
      <c r="H23" s="59"/>
    </row>
    <row r="24" spans="1:8" ht="15.75" thickBot="1">
      <c r="A24" s="100" t="s">
        <v>1710</v>
      </c>
      <c r="B24" s="106"/>
      <c r="C24" s="101"/>
      <c r="D24" s="76" t="s">
        <v>61</v>
      </c>
      <c r="E24" s="77">
        <f>MATERIALES!D26</f>
        <v>802.33333333333337</v>
      </c>
      <c r="F24" s="78">
        <v>0.2</v>
      </c>
      <c r="G24" s="453">
        <f>+E24*F24</f>
        <v>160.4666666666667</v>
      </c>
      <c r="H24" s="59"/>
    </row>
    <row r="25" spans="1:8" ht="15.75" thickBot="1">
      <c r="A25" s="61"/>
      <c r="B25" s="61"/>
      <c r="C25" s="61"/>
      <c r="D25" s="61"/>
      <c r="E25" s="61"/>
      <c r="F25" s="61"/>
      <c r="G25" s="81" t="s">
        <v>491</v>
      </c>
      <c r="H25" s="82">
        <f>SUM(G20:G24)</f>
        <v>12990.87248</v>
      </c>
    </row>
    <row r="26" spans="1:8" ht="15.75" thickBot="1">
      <c r="A26" s="92" t="s">
        <v>496</v>
      </c>
      <c r="B26" s="92"/>
      <c r="C26" s="90"/>
      <c r="D26" s="61"/>
      <c r="E26" s="61"/>
      <c r="F26" s="61"/>
      <c r="G26" s="61"/>
      <c r="H26" s="61"/>
    </row>
    <row r="27" spans="1:8">
      <c r="A27" s="358" t="s">
        <v>497</v>
      </c>
      <c r="B27" s="360"/>
      <c r="C27" s="93" t="s">
        <v>498</v>
      </c>
      <c r="D27" s="360" t="s">
        <v>499</v>
      </c>
      <c r="E27" s="360" t="s">
        <v>500</v>
      </c>
      <c r="F27" s="360"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58" t="s">
        <v>503</v>
      </c>
      <c r="B33" s="360"/>
      <c r="C33" s="360" t="s">
        <v>504</v>
      </c>
      <c r="D33" s="360" t="s">
        <v>505</v>
      </c>
      <c r="E33" s="124" t="s">
        <v>506</v>
      </c>
      <c r="F33" s="102" t="s">
        <v>488</v>
      </c>
      <c r="G33" s="359" t="s">
        <v>489</v>
      </c>
      <c r="H33" s="67"/>
    </row>
    <row r="34" spans="1:8">
      <c r="A34" s="83" t="s">
        <v>624</v>
      </c>
      <c r="B34" s="84"/>
      <c r="C34" s="103">
        <f>+SALARIOS!C50</f>
        <v>41660</v>
      </c>
      <c r="D34" s="334">
        <f>+SALARIOS!C48</f>
        <v>1.7846558312967005</v>
      </c>
      <c r="E34" s="69">
        <f>+C34*D34</f>
        <v>74348.76193182054</v>
      </c>
      <c r="F34" s="69">
        <v>24.5</v>
      </c>
      <c r="G34" s="105">
        <f>+E34/F34</f>
        <v>3034.6433441559402</v>
      </c>
      <c r="H34" s="72"/>
    </row>
    <row r="35" spans="1:8">
      <c r="A35" s="83" t="s">
        <v>554</v>
      </c>
      <c r="B35" s="84"/>
      <c r="C35" s="103">
        <f>+SALARIOS!C49*2</f>
        <v>51144</v>
      </c>
      <c r="D35" s="334">
        <f>+SALARIOS!C48</f>
        <v>1.7846558312967005</v>
      </c>
      <c r="E35" s="69">
        <f>+C35*D35</f>
        <v>91274.437835838442</v>
      </c>
      <c r="F35" s="69">
        <v>24.5</v>
      </c>
      <c r="G35" s="105">
        <f>+E35/F35</f>
        <v>3725.4872586056508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6760.130602761591</v>
      </c>
    </row>
    <row r="39" spans="1:8" ht="15.75" thickBot="1">
      <c r="A39" s="61"/>
      <c r="B39" s="61"/>
      <c r="C39" s="61"/>
      <c r="D39" s="61"/>
      <c r="E39" s="61"/>
      <c r="F39" s="61"/>
      <c r="G39" s="107"/>
      <c r="H39" s="58"/>
    </row>
    <row r="40" spans="1:8" ht="15.75" thickBot="1">
      <c r="A40" s="61"/>
      <c r="B40" s="61"/>
      <c r="C40" s="61"/>
      <c r="D40" s="61"/>
      <c r="E40" s="81" t="s">
        <v>508</v>
      </c>
      <c r="F40" s="107"/>
      <c r="G40" s="107"/>
      <c r="H40" s="82">
        <f>H17+H25+H31+H38</f>
        <v>20427.016143037748</v>
      </c>
    </row>
    <row r="41" spans="1:8" ht="15.75" thickBot="1">
      <c r="A41" s="63" t="s">
        <v>509</v>
      </c>
      <c r="B41" s="63"/>
      <c r="C41" s="61"/>
      <c r="D41" s="61"/>
      <c r="E41" s="61"/>
      <c r="F41" s="61"/>
      <c r="G41" s="61"/>
      <c r="H41" s="61"/>
    </row>
    <row r="42" spans="1:8">
      <c r="A42" s="233" t="s">
        <v>485</v>
      </c>
      <c r="B42" s="371"/>
      <c r="C42" s="371"/>
      <c r="D42" s="371"/>
      <c r="E42" s="372"/>
      <c r="F42" s="372" t="s">
        <v>510</v>
      </c>
      <c r="G42" s="371" t="s">
        <v>511</v>
      </c>
      <c r="H42" s="67"/>
    </row>
    <row r="43" spans="1:8">
      <c r="A43" s="83" t="s">
        <v>512</v>
      </c>
      <c r="B43" s="84"/>
      <c r="C43" s="84"/>
      <c r="D43" s="84"/>
      <c r="E43" s="85"/>
      <c r="F43" s="115">
        <v>0.15</v>
      </c>
      <c r="G43" s="116">
        <f>++F43*H40</f>
        <v>3064.0524214556622</v>
      </c>
      <c r="H43" s="117"/>
    </row>
    <row r="44" spans="1:8">
      <c r="A44" s="83" t="s">
        <v>513</v>
      </c>
      <c r="B44" s="84"/>
      <c r="C44" s="84"/>
      <c r="D44" s="84"/>
      <c r="E44" s="85"/>
      <c r="F44" s="115">
        <v>0.05</v>
      </c>
      <c r="G44" s="116">
        <f>+F44*H40</f>
        <v>1021.3508071518875</v>
      </c>
      <c r="H44" s="117"/>
    </row>
    <row r="45" spans="1:8" ht="15.75" thickBot="1">
      <c r="A45" s="89" t="s">
        <v>514</v>
      </c>
      <c r="B45" s="90"/>
      <c r="C45" s="90"/>
      <c r="D45" s="90"/>
      <c r="E45" s="91"/>
      <c r="F45" s="118">
        <v>0.05</v>
      </c>
      <c r="G45" s="119">
        <f>+F45*H40</f>
        <v>1021.3508071518875</v>
      </c>
      <c r="H45" s="80"/>
    </row>
    <row r="46" spans="1:8" ht="15.75" thickBot="1">
      <c r="A46" s="61"/>
      <c r="B46" s="61"/>
      <c r="C46" s="61"/>
      <c r="D46" s="61"/>
      <c r="E46" s="61"/>
      <c r="F46" s="61"/>
      <c r="G46" s="81" t="s">
        <v>491</v>
      </c>
      <c r="H46" s="120">
        <f>SUM(G43:G45)</f>
        <v>5106.7540357594371</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25534</v>
      </c>
    </row>
  </sheetData>
  <mergeCells count="1">
    <mergeCell ref="A3:C4"/>
  </mergeCells>
  <pageMargins left="0.7" right="0.7" top="0.75" bottom="0.75" header="0.3" footer="0.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8"/>
  <sheetViews>
    <sheetView workbookViewId="0">
      <selection activeCell="A22" sqref="A22:G2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1299</v>
      </c>
      <c r="H7" s="61"/>
    </row>
    <row r="8" spans="1:8">
      <c r="A8" s="60" t="s">
        <v>1254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H38*10%</f>
        <v>1048.2480997953101</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1048.2480997953101</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1740</v>
      </c>
      <c r="B20" s="84"/>
      <c r="C20" s="85"/>
      <c r="D20" s="141" t="s">
        <v>1</v>
      </c>
      <c r="E20" s="139">
        <f>+MATERIALES!D246</f>
        <v>21676.05</v>
      </c>
      <c r="F20" s="163">
        <v>1</v>
      </c>
      <c r="G20" s="137">
        <f>+E20*F20</f>
        <v>21676.05</v>
      </c>
      <c r="H20" s="59"/>
    </row>
    <row r="21" spans="1:8">
      <c r="A21" s="83" t="s">
        <v>1738</v>
      </c>
      <c r="B21" s="84"/>
      <c r="C21" s="85"/>
      <c r="D21" s="141" t="s">
        <v>1742</v>
      </c>
      <c r="E21" s="139">
        <f>G20*5%</f>
        <v>1083.8025</v>
      </c>
      <c r="F21" s="163">
        <v>1</v>
      </c>
      <c r="G21" s="685">
        <f>E21*F21</f>
        <v>1083.8025</v>
      </c>
      <c r="H21" s="59"/>
    </row>
    <row r="22" spans="1:8">
      <c r="A22" s="83" t="s">
        <v>1709</v>
      </c>
      <c r="B22" s="84"/>
      <c r="C22" s="85"/>
      <c r="D22" s="73" t="s">
        <v>61</v>
      </c>
      <c r="E22" s="142">
        <f>MATERIALES!D53</f>
        <v>31988.933333333331</v>
      </c>
      <c r="F22" s="70">
        <v>8.0000000000000002E-3</v>
      </c>
      <c r="G22" s="105">
        <f>+E22*F22</f>
        <v>255.91146666666666</v>
      </c>
      <c r="H22" s="59"/>
    </row>
    <row r="23" spans="1:8">
      <c r="A23" s="83" t="s">
        <v>1158</v>
      </c>
      <c r="B23" s="84"/>
      <c r="C23" s="85"/>
      <c r="D23" s="68" t="s">
        <v>61</v>
      </c>
      <c r="E23" s="86">
        <f>MATERIALES!D42</f>
        <v>24299.293333333335</v>
      </c>
      <c r="F23" s="70">
        <v>8.0000000000000002E-3</v>
      </c>
      <c r="G23" s="105">
        <f>+E23*F23</f>
        <v>194.39434666666668</v>
      </c>
      <c r="H23" s="59"/>
    </row>
    <row r="24" spans="1:8" ht="15.75" thickBot="1">
      <c r="A24" s="100"/>
      <c r="B24" s="106"/>
      <c r="C24" s="101"/>
      <c r="D24" s="76"/>
      <c r="E24" s="77"/>
      <c r="F24" s="78"/>
      <c r="G24" s="453"/>
      <c r="H24" s="59"/>
    </row>
    <row r="25" spans="1:8" ht="15.75" thickBot="1">
      <c r="A25" s="61"/>
      <c r="B25" s="61"/>
      <c r="C25" s="61"/>
      <c r="D25" s="61"/>
      <c r="E25" s="61"/>
      <c r="F25" s="61"/>
      <c r="G25" s="81" t="s">
        <v>491</v>
      </c>
      <c r="H25" s="82">
        <f>SUM(G20:G23)</f>
        <v>23210.158313333337</v>
      </c>
    </row>
    <row r="26" spans="1:8" ht="15.75" thickBot="1">
      <c r="A26" s="92" t="s">
        <v>496</v>
      </c>
      <c r="B26" s="92"/>
      <c r="C26" s="90"/>
      <c r="D26" s="61"/>
      <c r="E26" s="61"/>
      <c r="F26" s="61"/>
      <c r="G26" s="61"/>
      <c r="H26" s="61"/>
    </row>
    <row r="27" spans="1:8">
      <c r="A27" s="382" t="s">
        <v>497</v>
      </c>
      <c r="B27" s="384"/>
      <c r="C27" s="93" t="s">
        <v>498</v>
      </c>
      <c r="D27" s="384" t="s">
        <v>499</v>
      </c>
      <c r="E27" s="384" t="s">
        <v>500</v>
      </c>
      <c r="F27" s="384"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82" t="s">
        <v>503</v>
      </c>
      <c r="B33" s="384"/>
      <c r="C33" s="384" t="s">
        <v>504</v>
      </c>
      <c r="D33" s="384" t="s">
        <v>505</v>
      </c>
      <c r="E33" s="124" t="s">
        <v>506</v>
      </c>
      <c r="F33" s="102" t="s">
        <v>488</v>
      </c>
      <c r="G33" s="383" t="s">
        <v>489</v>
      </c>
      <c r="H33" s="67"/>
    </row>
    <row r="34" spans="1:8">
      <c r="A34" s="83" t="s">
        <v>624</v>
      </c>
      <c r="B34" s="84"/>
      <c r="C34" s="103">
        <f>+SALARIOS!C50</f>
        <v>41660</v>
      </c>
      <c r="D34" s="334">
        <f>+SALARIOS!C48</f>
        <v>1.7846558312967005</v>
      </c>
      <c r="E34" s="69">
        <f>+C34*D34</f>
        <v>74348.76193182054</v>
      </c>
      <c r="F34" s="69">
        <v>15.8</v>
      </c>
      <c r="G34" s="105">
        <f>+E34/F34</f>
        <v>4705.6178437861099</v>
      </c>
      <c r="H34" s="72"/>
    </row>
    <row r="35" spans="1:8">
      <c r="A35" s="83" t="s">
        <v>554</v>
      </c>
      <c r="B35" s="84"/>
      <c r="C35" s="103">
        <f>+SALARIOS!C49*2</f>
        <v>51144</v>
      </c>
      <c r="D35" s="334">
        <f>+SALARIOS!C48</f>
        <v>1.7846558312967005</v>
      </c>
      <c r="E35" s="69">
        <f>+C35*D35</f>
        <v>91274.437835838442</v>
      </c>
      <c r="F35" s="69">
        <v>15.8</v>
      </c>
      <c r="G35" s="105">
        <f>+E35/F35</f>
        <v>5776.8631541669902</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10482.4809979531</v>
      </c>
    </row>
    <row r="39" spans="1:8" ht="15.75" thickBot="1">
      <c r="A39" s="61"/>
      <c r="B39" s="61"/>
      <c r="C39" s="61"/>
      <c r="D39" s="61"/>
      <c r="E39" s="61"/>
      <c r="F39" s="61"/>
      <c r="G39" s="107"/>
      <c r="H39" s="58"/>
    </row>
    <row r="40" spans="1:8" ht="15.75" thickBot="1">
      <c r="A40" s="61"/>
      <c r="B40" s="61"/>
      <c r="C40" s="61"/>
      <c r="D40" s="61"/>
      <c r="E40" s="81" t="s">
        <v>508</v>
      </c>
      <c r="F40" s="107"/>
      <c r="G40" s="107"/>
      <c r="H40" s="82">
        <f>H17+H25+H31+H38</f>
        <v>34740.887411081749</v>
      </c>
    </row>
    <row r="41" spans="1:8" ht="15.75" thickBot="1">
      <c r="A41" s="63" t="s">
        <v>509</v>
      </c>
      <c r="B41" s="63"/>
      <c r="C41" s="61"/>
      <c r="D41" s="61"/>
      <c r="E41" s="61"/>
      <c r="F41" s="61"/>
      <c r="G41" s="61"/>
      <c r="H41" s="61"/>
    </row>
    <row r="42" spans="1:8">
      <c r="A42" s="233" t="s">
        <v>485</v>
      </c>
      <c r="B42" s="395"/>
      <c r="C42" s="395"/>
      <c r="D42" s="395"/>
      <c r="E42" s="396"/>
      <c r="F42" s="396" t="s">
        <v>510</v>
      </c>
      <c r="G42" s="395" t="s">
        <v>511</v>
      </c>
      <c r="H42" s="67"/>
    </row>
    <row r="43" spans="1:8">
      <c r="A43" s="83" t="s">
        <v>512</v>
      </c>
      <c r="B43" s="84"/>
      <c r="C43" s="84"/>
      <c r="D43" s="84"/>
      <c r="E43" s="85"/>
      <c r="F43" s="115">
        <v>0.15</v>
      </c>
      <c r="G43" s="116">
        <f>++F43*H40</f>
        <v>5211.1331116622623</v>
      </c>
      <c r="H43" s="117"/>
    </row>
    <row r="44" spans="1:8">
      <c r="A44" s="83" t="s">
        <v>513</v>
      </c>
      <c r="B44" s="84"/>
      <c r="C44" s="84"/>
      <c r="D44" s="84"/>
      <c r="E44" s="85"/>
      <c r="F44" s="115">
        <v>0.05</v>
      </c>
      <c r="G44" s="116">
        <f>+F44*H40</f>
        <v>1737.0443705540874</v>
      </c>
      <c r="H44" s="117"/>
    </row>
    <row r="45" spans="1:8" ht="15.75" thickBot="1">
      <c r="A45" s="89" t="s">
        <v>514</v>
      </c>
      <c r="B45" s="90"/>
      <c r="C45" s="90"/>
      <c r="D45" s="90"/>
      <c r="E45" s="91"/>
      <c r="F45" s="118">
        <v>0.05</v>
      </c>
      <c r="G45" s="119">
        <f>+F45*H40</f>
        <v>1737.0443705540874</v>
      </c>
      <c r="H45" s="80"/>
    </row>
    <row r="46" spans="1:8" ht="15.75" thickBot="1">
      <c r="A46" s="61"/>
      <c r="B46" s="61"/>
      <c r="C46" s="61"/>
      <c r="D46" s="61"/>
      <c r="E46" s="61"/>
      <c r="F46" s="61"/>
      <c r="G46" s="81" t="s">
        <v>491</v>
      </c>
      <c r="H46" s="120">
        <f>SUM(G43:G45)</f>
        <v>8685.2218527704372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43426</v>
      </c>
    </row>
  </sheetData>
  <mergeCells count="1">
    <mergeCell ref="A3:C4"/>
  </mergeCells>
  <pageMargins left="0.7" right="0.7" top="0.75" bottom="0.75" header="0.3" footer="0.3"/>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8"/>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1300</v>
      </c>
      <c r="H7" s="61"/>
    </row>
    <row r="8" spans="1:8">
      <c r="A8" s="60" t="s">
        <v>1256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H38*10%</f>
        <v>1341.0785406288178</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1341.0785406288178</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1741</v>
      </c>
      <c r="B20" s="84"/>
      <c r="C20" s="85"/>
      <c r="D20" s="141" t="s">
        <v>1</v>
      </c>
      <c r="E20" s="139">
        <f>+MATERIALES!D247</f>
        <v>35764.056666666664</v>
      </c>
      <c r="F20" s="163">
        <v>1</v>
      </c>
      <c r="G20" s="137">
        <f>+E20*F20</f>
        <v>35764.056666666664</v>
      </c>
      <c r="H20" s="59"/>
    </row>
    <row r="21" spans="1:8">
      <c r="A21" s="83" t="s">
        <v>1738</v>
      </c>
      <c r="B21" s="84"/>
      <c r="C21" s="85"/>
      <c r="D21" s="141" t="s">
        <v>1742</v>
      </c>
      <c r="E21" s="139">
        <f>G20*5%</f>
        <v>1788.2028333333333</v>
      </c>
      <c r="F21" s="163">
        <v>1</v>
      </c>
      <c r="G21" s="685">
        <f>E21*F21</f>
        <v>1788.2028333333333</v>
      </c>
      <c r="H21" s="59"/>
    </row>
    <row r="22" spans="1:8">
      <c r="A22" s="83" t="s">
        <v>1158</v>
      </c>
      <c r="B22" s="84"/>
      <c r="C22" s="85"/>
      <c r="D22" s="68" t="s">
        <v>61</v>
      </c>
      <c r="E22" s="86">
        <f>MATERIALES!D42</f>
        <v>24299.293333333335</v>
      </c>
      <c r="F22" s="70">
        <v>8.0000000000000002E-3</v>
      </c>
      <c r="G22" s="105">
        <f>+E22*F22</f>
        <v>194.39434666666668</v>
      </c>
      <c r="H22" s="59"/>
    </row>
    <row r="23" spans="1:8">
      <c r="A23" s="83" t="s">
        <v>1709</v>
      </c>
      <c r="B23" s="84"/>
      <c r="C23" s="85"/>
      <c r="D23" s="73" t="s">
        <v>61</v>
      </c>
      <c r="E23" s="142">
        <f>MATERIALES!D53</f>
        <v>31988.933333333331</v>
      </c>
      <c r="F23" s="70">
        <v>8.0000000000000002E-3</v>
      </c>
      <c r="G23" s="105">
        <f>+E23*F23</f>
        <v>255.91146666666666</v>
      </c>
      <c r="H23" s="59"/>
    </row>
    <row r="24" spans="1:8" ht="15.75" thickBot="1">
      <c r="A24" s="100"/>
      <c r="B24" s="106"/>
      <c r="C24" s="101"/>
      <c r="D24" s="76"/>
      <c r="E24" s="77"/>
      <c r="F24" s="78"/>
      <c r="G24" s="453"/>
      <c r="H24" s="59"/>
    </row>
    <row r="25" spans="1:8" ht="15.75" thickBot="1">
      <c r="A25" s="61"/>
      <c r="B25" s="61"/>
      <c r="C25" s="61"/>
      <c r="D25" s="61"/>
      <c r="E25" s="61"/>
      <c r="F25" s="61"/>
      <c r="G25" s="81" t="s">
        <v>491</v>
      </c>
      <c r="H25" s="82">
        <f>SUM(G20:G24)</f>
        <v>38002.565313333333</v>
      </c>
    </row>
    <row r="26" spans="1:8" ht="15.75" thickBot="1">
      <c r="A26" s="92" t="s">
        <v>496</v>
      </c>
      <c r="B26" s="92"/>
      <c r="C26" s="90"/>
      <c r="D26" s="61"/>
      <c r="E26" s="61"/>
      <c r="F26" s="61"/>
      <c r="G26" s="61"/>
      <c r="H26" s="61"/>
    </row>
    <row r="27" spans="1:8">
      <c r="A27" s="382" t="s">
        <v>497</v>
      </c>
      <c r="B27" s="384"/>
      <c r="C27" s="93" t="s">
        <v>498</v>
      </c>
      <c r="D27" s="384" t="s">
        <v>499</v>
      </c>
      <c r="E27" s="384" t="s">
        <v>500</v>
      </c>
      <c r="F27" s="384"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82" t="s">
        <v>503</v>
      </c>
      <c r="B33" s="384"/>
      <c r="C33" s="384" t="s">
        <v>504</v>
      </c>
      <c r="D33" s="384" t="s">
        <v>505</v>
      </c>
      <c r="E33" s="124" t="s">
        <v>506</v>
      </c>
      <c r="F33" s="102" t="s">
        <v>488</v>
      </c>
      <c r="G33" s="383" t="s">
        <v>489</v>
      </c>
      <c r="H33" s="67"/>
    </row>
    <row r="34" spans="1:8">
      <c r="A34" s="83" t="s">
        <v>624</v>
      </c>
      <c r="B34" s="84"/>
      <c r="C34" s="103">
        <f>+SALARIOS!C50</f>
        <v>41660</v>
      </c>
      <c r="D34" s="334">
        <f>+SALARIOS!C48</f>
        <v>1.7846558312967005</v>
      </c>
      <c r="E34" s="69">
        <f>+C34*D34</f>
        <v>74348.76193182054</v>
      </c>
      <c r="F34" s="69">
        <v>12.35</v>
      </c>
      <c r="G34" s="105">
        <f>+E34/F34</f>
        <v>6020.1426665441732</v>
      </c>
      <c r="H34" s="72"/>
    </row>
    <row r="35" spans="1:8">
      <c r="A35" s="83" t="s">
        <v>554</v>
      </c>
      <c r="B35" s="84"/>
      <c r="C35" s="103">
        <f>+SALARIOS!C49*2</f>
        <v>51144</v>
      </c>
      <c r="D35" s="334">
        <f>+SALARIOS!C48</f>
        <v>1.7846558312967005</v>
      </c>
      <c r="E35" s="69">
        <f>+C35*D35</f>
        <v>91274.437835838442</v>
      </c>
      <c r="F35" s="69">
        <v>12.35</v>
      </c>
      <c r="G35" s="105">
        <f>+E35/F35</f>
        <v>7390.6427397440038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13410.785406288178</v>
      </c>
    </row>
    <row r="39" spans="1:8" ht="15.75" thickBot="1">
      <c r="A39" s="61"/>
      <c r="B39" s="61"/>
      <c r="C39" s="61"/>
      <c r="D39" s="61"/>
      <c r="E39" s="61"/>
      <c r="F39" s="61"/>
      <c r="G39" s="107"/>
      <c r="H39" s="58"/>
    </row>
    <row r="40" spans="1:8" ht="15.75" thickBot="1">
      <c r="A40" s="61"/>
      <c r="B40" s="61"/>
      <c r="C40" s="61"/>
      <c r="D40" s="61"/>
      <c r="E40" s="81" t="s">
        <v>508</v>
      </c>
      <c r="F40" s="107"/>
      <c r="G40" s="107"/>
      <c r="H40" s="82">
        <f>H17+H25+H31+H38</f>
        <v>52754.429260250326</v>
      </c>
    </row>
    <row r="41" spans="1:8" ht="15.75" thickBot="1">
      <c r="A41" s="63" t="s">
        <v>509</v>
      </c>
      <c r="B41" s="63"/>
      <c r="C41" s="61"/>
      <c r="D41" s="61"/>
      <c r="E41" s="61"/>
      <c r="F41" s="61"/>
      <c r="G41" s="61"/>
      <c r="H41" s="61"/>
    </row>
    <row r="42" spans="1:8">
      <c r="A42" s="233" t="s">
        <v>485</v>
      </c>
      <c r="B42" s="395"/>
      <c r="C42" s="395"/>
      <c r="D42" s="395"/>
      <c r="E42" s="396"/>
      <c r="F42" s="396" t="s">
        <v>510</v>
      </c>
      <c r="G42" s="395" t="s">
        <v>511</v>
      </c>
      <c r="H42" s="67"/>
    </row>
    <row r="43" spans="1:8">
      <c r="A43" s="83" t="s">
        <v>512</v>
      </c>
      <c r="B43" s="84"/>
      <c r="C43" s="84"/>
      <c r="D43" s="84"/>
      <c r="E43" s="85"/>
      <c r="F43" s="115">
        <v>0.15</v>
      </c>
      <c r="G43" s="116">
        <f>++F43*H40</f>
        <v>7913.164389037549</v>
      </c>
      <c r="H43" s="117"/>
    </row>
    <row r="44" spans="1:8">
      <c r="A44" s="83" t="s">
        <v>513</v>
      </c>
      <c r="B44" s="84"/>
      <c r="C44" s="84"/>
      <c r="D44" s="84"/>
      <c r="E44" s="85"/>
      <c r="F44" s="115">
        <v>0.05</v>
      </c>
      <c r="G44" s="116">
        <f>+F44*H40</f>
        <v>2637.7214630125163</v>
      </c>
      <c r="H44" s="117"/>
    </row>
    <row r="45" spans="1:8" ht="15.75" thickBot="1">
      <c r="A45" s="89" t="s">
        <v>514</v>
      </c>
      <c r="B45" s="90"/>
      <c r="C45" s="90"/>
      <c r="D45" s="90"/>
      <c r="E45" s="91"/>
      <c r="F45" s="118">
        <v>0.05</v>
      </c>
      <c r="G45" s="119">
        <f>+F45*H40</f>
        <v>2637.7214630125163</v>
      </c>
      <c r="H45" s="80"/>
    </row>
    <row r="46" spans="1:8" ht="15.75" thickBot="1">
      <c r="A46" s="61"/>
      <c r="B46" s="61"/>
      <c r="C46" s="61"/>
      <c r="D46" s="61"/>
      <c r="E46" s="61"/>
      <c r="F46" s="61"/>
      <c r="G46" s="81" t="s">
        <v>491</v>
      </c>
      <c r="H46" s="120">
        <f>SUM(G43:G45)</f>
        <v>13188.607315062582</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65943</v>
      </c>
    </row>
  </sheetData>
  <mergeCells count="1">
    <mergeCell ref="A3:C4"/>
  </mergeCells>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7"/>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1301</v>
      </c>
      <c r="H7" s="61"/>
    </row>
    <row r="8" spans="1:8">
      <c r="A8" s="60" t="s">
        <v>1258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1993.022817788474</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1993.022817788474</v>
      </c>
    </row>
    <row r="18" spans="1:8" ht="15.75" thickBot="1">
      <c r="A18" s="63" t="s">
        <v>492</v>
      </c>
      <c r="B18" s="63"/>
      <c r="C18" s="61"/>
      <c r="D18" s="61"/>
      <c r="E18" s="61"/>
      <c r="F18" s="61"/>
      <c r="G18" s="61"/>
      <c r="H18" s="61"/>
    </row>
    <row r="19" spans="1:8">
      <c r="A19" s="817" t="s">
        <v>485</v>
      </c>
      <c r="B19" s="818"/>
      <c r="C19" s="819"/>
      <c r="D19" s="819" t="s">
        <v>493</v>
      </c>
      <c r="E19" s="819" t="s">
        <v>494</v>
      </c>
      <c r="F19" s="819" t="s">
        <v>495</v>
      </c>
      <c r="G19" s="452" t="s">
        <v>489</v>
      </c>
      <c r="H19" s="684"/>
    </row>
    <row r="20" spans="1:8">
      <c r="A20" s="83" t="s">
        <v>1743</v>
      </c>
      <c r="B20" s="84"/>
      <c r="C20" s="85"/>
      <c r="D20" s="141" t="s">
        <v>1</v>
      </c>
      <c r="E20" s="139">
        <f>+MATERIALES!D248</f>
        <v>78091.199999999983</v>
      </c>
      <c r="F20" s="163">
        <v>1</v>
      </c>
      <c r="G20" s="685">
        <f>+E20*F20</f>
        <v>78091.199999999983</v>
      </c>
      <c r="H20" s="59"/>
    </row>
    <row r="21" spans="1:8">
      <c r="A21" s="83" t="s">
        <v>1738</v>
      </c>
      <c r="B21" s="84"/>
      <c r="C21" s="85"/>
      <c r="D21" s="141" t="s">
        <v>1742</v>
      </c>
      <c r="E21" s="139">
        <f>G20*5%</f>
        <v>3904.5599999999995</v>
      </c>
      <c r="F21" s="163">
        <v>1</v>
      </c>
      <c r="G21" s="685">
        <f>E21*F21</f>
        <v>3904.5599999999995</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451"/>
    </row>
    <row r="24" spans="1:8" ht="15.75" thickBot="1">
      <c r="A24" s="61"/>
      <c r="B24" s="61"/>
      <c r="C24" s="61"/>
      <c r="D24" s="61"/>
      <c r="E24" s="61"/>
      <c r="F24" s="61"/>
      <c r="G24" s="81" t="s">
        <v>491</v>
      </c>
      <c r="H24" s="82">
        <f>SUM(G20:G23)</f>
        <v>82446.06581333332</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10.6</v>
      </c>
      <c r="G33" s="105">
        <f>+E33/F33</f>
        <v>7014.0341445113718</v>
      </c>
      <c r="H33" s="72"/>
    </row>
    <row r="34" spans="1:8">
      <c r="A34" s="83" t="s">
        <v>564</v>
      </c>
      <c r="B34" s="84"/>
      <c r="C34" s="103">
        <f>+SALARIOS!C49*3</f>
        <v>76716</v>
      </c>
      <c r="D34" s="334">
        <f>+SALARIOS!C48</f>
        <v>1.7846558312967005</v>
      </c>
      <c r="E34" s="69">
        <f>+C34*D34</f>
        <v>136911.65675375768</v>
      </c>
      <c r="F34" s="69">
        <v>10.6</v>
      </c>
      <c r="G34" s="105">
        <f>+E34/F34</f>
        <v>12916.194033373366</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19930.228177884739</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104369.31680900653</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15655.397521350978</v>
      </c>
      <c r="H42" s="117"/>
    </row>
    <row r="43" spans="1:8">
      <c r="A43" s="83" t="s">
        <v>513</v>
      </c>
      <c r="B43" s="84"/>
      <c r="C43" s="84"/>
      <c r="D43" s="84"/>
      <c r="E43" s="85"/>
      <c r="F43" s="115">
        <v>0.05</v>
      </c>
      <c r="G43" s="116">
        <f>+F43*H39</f>
        <v>5218.4658404503271</v>
      </c>
      <c r="H43" s="117"/>
    </row>
    <row r="44" spans="1:8" ht="15.75" thickBot="1">
      <c r="A44" s="89" t="s">
        <v>514</v>
      </c>
      <c r="B44" s="90"/>
      <c r="C44" s="90"/>
      <c r="D44" s="90"/>
      <c r="E44" s="91"/>
      <c r="F44" s="118">
        <v>0.05</v>
      </c>
      <c r="G44" s="119">
        <f>+F44*H39</f>
        <v>5218.4658404503271</v>
      </c>
      <c r="H44" s="80"/>
    </row>
    <row r="45" spans="1:8" ht="15.75" thickBot="1">
      <c r="A45" s="61"/>
      <c r="B45" s="61"/>
      <c r="C45" s="61"/>
      <c r="D45" s="61"/>
      <c r="E45" s="61"/>
      <c r="F45" s="61"/>
      <c r="G45" s="81" t="s">
        <v>491</v>
      </c>
      <c r="H45" s="120">
        <f>SUM(G42:G44)</f>
        <v>26092.329202251633</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130462</v>
      </c>
    </row>
  </sheetData>
  <mergeCells count="1">
    <mergeCell ref="A3:C4"/>
  </mergeCell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7"/>
  <sheetViews>
    <sheetView workbookViewId="0">
      <selection activeCell="J25" sqref="J2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1302</v>
      </c>
      <c r="H7" s="61"/>
    </row>
    <row r="8" spans="1:8">
      <c r="A8" s="60" t="s">
        <v>1260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2640.7552335697278</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2640.7552335697278</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1744</v>
      </c>
      <c r="B20" s="84"/>
      <c r="C20" s="85"/>
      <c r="D20" s="141" t="s">
        <v>1</v>
      </c>
      <c r="E20" s="139">
        <f>+MATERIALES!D249</f>
        <v>132277.31333333332</v>
      </c>
      <c r="F20" s="163">
        <v>1</v>
      </c>
      <c r="G20" s="137">
        <f>+E20*F20</f>
        <v>132277.31333333332</v>
      </c>
      <c r="H20" s="59"/>
    </row>
    <row r="21" spans="1:8">
      <c r="A21" s="83" t="s">
        <v>1738</v>
      </c>
      <c r="B21" s="84"/>
      <c r="C21" s="85"/>
      <c r="D21" s="141" t="s">
        <v>1742</v>
      </c>
      <c r="E21" s="139">
        <f>G20*5%</f>
        <v>6613.8656666666666</v>
      </c>
      <c r="F21" s="163">
        <v>1</v>
      </c>
      <c r="G21" s="685">
        <f>E21*F21</f>
        <v>6613.8656666666666</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139341.48481333334</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8</v>
      </c>
      <c r="G33" s="105">
        <f>+E33/F33</f>
        <v>9293.5952414775675</v>
      </c>
      <c r="H33" s="72"/>
    </row>
    <row r="34" spans="1:8">
      <c r="A34" s="83" t="s">
        <v>564</v>
      </c>
      <c r="B34" s="84"/>
      <c r="C34" s="103">
        <f>+SALARIOS!C49*3</f>
        <v>76716</v>
      </c>
      <c r="D34" s="334">
        <f>+SALARIOS!C48</f>
        <v>1.7846558312967005</v>
      </c>
      <c r="E34" s="69">
        <f>+C34*D34</f>
        <v>136911.65675375768</v>
      </c>
      <c r="F34" s="69">
        <v>8</v>
      </c>
      <c r="G34" s="105">
        <f>+E34/F34</f>
        <v>17113.95709421971</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26407.552335697277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168389.79238260037</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25258.468857390053</v>
      </c>
      <c r="H42" s="117"/>
    </row>
    <row r="43" spans="1:8">
      <c r="A43" s="83" t="s">
        <v>513</v>
      </c>
      <c r="B43" s="84"/>
      <c r="C43" s="84"/>
      <c r="D43" s="84"/>
      <c r="E43" s="85"/>
      <c r="F43" s="115">
        <v>0.05</v>
      </c>
      <c r="G43" s="116">
        <f>+F43*H39</f>
        <v>8419.4896191300195</v>
      </c>
      <c r="H43" s="117"/>
    </row>
    <row r="44" spans="1:8" ht="15.75" thickBot="1">
      <c r="A44" s="89" t="s">
        <v>514</v>
      </c>
      <c r="B44" s="90"/>
      <c r="C44" s="90"/>
      <c r="D44" s="90"/>
      <c r="E44" s="91"/>
      <c r="F44" s="118">
        <v>0.05</v>
      </c>
      <c r="G44" s="119">
        <f>+F44*H39</f>
        <v>8419.4896191300195</v>
      </c>
      <c r="H44" s="80"/>
    </row>
    <row r="45" spans="1:8" ht="15.75" thickBot="1">
      <c r="A45" s="61"/>
      <c r="B45" s="61"/>
      <c r="C45" s="61"/>
      <c r="D45" s="61"/>
      <c r="E45" s="61"/>
      <c r="F45" s="61"/>
      <c r="G45" s="81" t="s">
        <v>491</v>
      </c>
      <c r="H45" s="120">
        <f>SUM(G42:G44)</f>
        <v>42097.448095650092</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210487</v>
      </c>
    </row>
  </sheetData>
  <mergeCells count="1">
    <mergeCell ref="A3:C4"/>
  </mergeCells>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7"/>
  <sheetViews>
    <sheetView workbookViewId="0">
      <selection activeCell="I28" sqref="I2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1303</v>
      </c>
      <c r="H7" s="61"/>
    </row>
    <row r="8" spans="1:8">
      <c r="A8" s="60" t="s">
        <v>1262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f>
        <v>33148.082271419022</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33148.082271419022</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1745</v>
      </c>
      <c r="B20" s="84"/>
      <c r="C20" s="85"/>
      <c r="D20" s="141" t="s">
        <v>1</v>
      </c>
      <c r="E20" s="139">
        <f>+MATERIALES!D250</f>
        <v>208231.40666666668</v>
      </c>
      <c r="F20" s="163">
        <v>1</v>
      </c>
      <c r="G20" s="137">
        <f>+E20*F20</f>
        <v>208231.40666666668</v>
      </c>
      <c r="H20" s="59"/>
    </row>
    <row r="21" spans="1:8">
      <c r="A21" s="83" t="s">
        <v>1738</v>
      </c>
      <c r="B21" s="84"/>
      <c r="C21" s="85"/>
      <c r="D21" s="141" t="s">
        <v>1742</v>
      </c>
      <c r="E21" s="139">
        <f>G20*5%</f>
        <v>10411.570333333335</v>
      </c>
      <c r="F21" s="163">
        <v>1</v>
      </c>
      <c r="G21" s="685">
        <f>E21*F21</f>
        <v>10411.570333333335</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219093.28281333335</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7.75</v>
      </c>
      <c r="G33" s="105">
        <f>+E33/F33</f>
        <v>9593.3886363639413</v>
      </c>
      <c r="H33" s="72"/>
    </row>
    <row r="34" spans="1:8">
      <c r="A34" s="83" t="s">
        <v>629</v>
      </c>
      <c r="B34" s="84"/>
      <c r="C34" s="103">
        <f>+SALARIOS!C49*4</f>
        <v>102288</v>
      </c>
      <c r="D34" s="334">
        <f>+SALARIOS!C48</f>
        <v>1.7846558312967005</v>
      </c>
      <c r="E34" s="69">
        <f>+C34*D34</f>
        <v>182548.87567167688</v>
      </c>
      <c r="F34" s="69">
        <v>7.75</v>
      </c>
      <c r="G34" s="105">
        <f>+E34/F34</f>
        <v>23554.693635055082</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33148.082271419022</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285389.44735617138</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42808.417103425709</v>
      </c>
      <c r="H42" s="117"/>
    </row>
    <row r="43" spans="1:8">
      <c r="A43" s="83" t="s">
        <v>513</v>
      </c>
      <c r="B43" s="84"/>
      <c r="C43" s="84"/>
      <c r="D43" s="84"/>
      <c r="E43" s="85"/>
      <c r="F43" s="115">
        <v>0.05</v>
      </c>
      <c r="G43" s="116">
        <f>+F43*H39</f>
        <v>14269.47236780857</v>
      </c>
      <c r="H43" s="117"/>
    </row>
    <row r="44" spans="1:8" ht="15.75" thickBot="1">
      <c r="A44" s="89" t="s">
        <v>514</v>
      </c>
      <c r="B44" s="90"/>
      <c r="C44" s="90"/>
      <c r="D44" s="90"/>
      <c r="E44" s="91"/>
      <c r="F44" s="118">
        <v>0.05</v>
      </c>
      <c r="G44" s="119">
        <f>+F44*H39</f>
        <v>14269.47236780857</v>
      </c>
      <c r="H44" s="80"/>
    </row>
    <row r="45" spans="1:8" ht="15.75" thickBot="1">
      <c r="A45" s="61"/>
      <c r="B45" s="61"/>
      <c r="C45" s="61"/>
      <c r="D45" s="61"/>
      <c r="E45" s="61"/>
      <c r="F45" s="61"/>
      <c r="G45" s="81" t="s">
        <v>491</v>
      </c>
      <c r="H45" s="120">
        <f>SUM(G42:G44)</f>
        <v>71347.361839042846</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356737</v>
      </c>
    </row>
  </sheetData>
  <mergeCells count="1">
    <mergeCell ref="A3:C4"/>
  </mergeCells>
  <pageMargins left="0.7" right="0.7" top="0.75" bottom="0.75" header="0.3" footer="0.3"/>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7"/>
  <sheetViews>
    <sheetView workbookViewId="0">
      <selection activeCell="G13" sqref="G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1304</v>
      </c>
      <c r="H7" s="61"/>
    </row>
    <row r="8" spans="1:8">
      <c r="A8" s="60" t="s">
        <v>1264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4847.1252378018389</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4847.1252378018389</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1746</v>
      </c>
      <c r="B20" s="84"/>
      <c r="C20" s="85"/>
      <c r="D20" s="141" t="s">
        <v>1</v>
      </c>
      <c r="E20" s="139">
        <f>+MATERIALES!D251</f>
        <v>291355.26666666666</v>
      </c>
      <c r="F20" s="163">
        <v>1</v>
      </c>
      <c r="G20" s="137">
        <f>+E20*F20</f>
        <v>291355.26666666666</v>
      </c>
      <c r="H20" s="59"/>
    </row>
    <row r="21" spans="1:8">
      <c r="A21" s="83" t="s">
        <v>1738</v>
      </c>
      <c r="B21" s="84"/>
      <c r="C21" s="85"/>
      <c r="D21" s="141" t="s">
        <v>1742</v>
      </c>
      <c r="E21" s="139">
        <f>G20*5%</f>
        <v>14567.763333333334</v>
      </c>
      <c r="F21" s="163">
        <v>1</v>
      </c>
      <c r="G21" s="685">
        <f>E21*F21</f>
        <v>14567.763333333334</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306373.33581333328</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5.3</v>
      </c>
      <c r="G33" s="105">
        <f>+E33/F33</f>
        <v>14028.068289022744</v>
      </c>
      <c r="H33" s="72"/>
    </row>
    <row r="34" spans="1:8">
      <c r="A34" s="83" t="s">
        <v>629</v>
      </c>
      <c r="B34" s="84"/>
      <c r="C34" s="103">
        <f>+SALARIOS!C49*4</f>
        <v>102288</v>
      </c>
      <c r="D34" s="334">
        <f>+SALARIOS!C48</f>
        <v>1.7846558312967005</v>
      </c>
      <c r="E34" s="69">
        <f>+C34*D34</f>
        <v>182548.87567167688</v>
      </c>
      <c r="F34" s="69">
        <v>5.3</v>
      </c>
      <c r="G34" s="105">
        <f>+E34/F34</f>
        <v>34443.184088995637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48471.252378018384</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359691.71342915349</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53953.757014373019</v>
      </c>
      <c r="H42" s="117"/>
    </row>
    <row r="43" spans="1:8">
      <c r="A43" s="83" t="s">
        <v>513</v>
      </c>
      <c r="B43" s="84"/>
      <c r="C43" s="84"/>
      <c r="D43" s="84"/>
      <c r="E43" s="85"/>
      <c r="F43" s="115">
        <v>0.05</v>
      </c>
      <c r="G43" s="116">
        <f>+F43*H39</f>
        <v>17984.585671457677</v>
      </c>
      <c r="H43" s="117"/>
    </row>
    <row r="44" spans="1:8" ht="15.75" thickBot="1">
      <c r="A44" s="89" t="s">
        <v>514</v>
      </c>
      <c r="B44" s="90"/>
      <c r="C44" s="90"/>
      <c r="D44" s="90"/>
      <c r="E44" s="91"/>
      <c r="F44" s="118">
        <v>0.05</v>
      </c>
      <c r="G44" s="119">
        <f>+F44*H39</f>
        <v>17984.585671457677</v>
      </c>
      <c r="H44" s="80"/>
    </row>
    <row r="45" spans="1:8" ht="15.75" thickBot="1">
      <c r="A45" s="61"/>
      <c r="B45" s="61"/>
      <c r="C45" s="61"/>
      <c r="D45" s="61"/>
      <c r="E45" s="61"/>
      <c r="F45" s="61"/>
      <c r="G45" s="81" t="s">
        <v>491</v>
      </c>
      <c r="H45" s="120">
        <f>SUM(G42:G44)</f>
        <v>89922.928357288372</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449615</v>
      </c>
    </row>
  </sheetData>
  <mergeCells count="1">
    <mergeCell ref="A3:C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workbookViewId="0">
      <selection activeCell="D14" sqref="D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587</v>
      </c>
      <c r="B7" s="62"/>
      <c r="C7" s="61"/>
      <c r="D7" s="16"/>
      <c r="E7" s="62"/>
      <c r="F7" s="16"/>
      <c r="G7" s="62" t="s">
        <v>589</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58" t="s">
        <v>486</v>
      </c>
      <c r="E11" s="65" t="s">
        <v>487</v>
      </c>
      <c r="F11" s="158" t="s">
        <v>488</v>
      </c>
      <c r="G11" s="157" t="s">
        <v>489</v>
      </c>
      <c r="H11" s="67"/>
    </row>
    <row r="12" spans="1:8">
      <c r="A12" s="1480" t="s">
        <v>1327</v>
      </c>
      <c r="B12" s="1481"/>
      <c r="C12" s="1482"/>
      <c r="D12" s="68"/>
      <c r="E12" s="86"/>
      <c r="F12" s="161"/>
      <c r="G12" s="71">
        <f>H38*10%</f>
        <v>4278.4892735549274</v>
      </c>
      <c r="H12" s="72"/>
    </row>
    <row r="13" spans="1:8">
      <c r="A13" s="746" t="s">
        <v>63</v>
      </c>
      <c r="B13" s="176"/>
      <c r="C13" s="174"/>
      <c r="D13" s="174" t="s">
        <v>17</v>
      </c>
      <c r="E13" s="173">
        <f>+'EQUIPOS '!D9</f>
        <v>84100</v>
      </c>
      <c r="F13" s="173">
        <v>15.49</v>
      </c>
      <c r="G13" s="173">
        <f>+E13/F13</f>
        <v>5429.3092317624269</v>
      </c>
      <c r="H13" s="72"/>
    </row>
    <row r="14" spans="1:8">
      <c r="A14" s="175" t="s">
        <v>1802</v>
      </c>
      <c r="B14" s="176"/>
      <c r="C14" s="174"/>
      <c r="D14" s="174" t="s">
        <v>17</v>
      </c>
      <c r="E14" s="173">
        <f>'EQUIPOS '!D14</f>
        <v>44660</v>
      </c>
      <c r="F14" s="688">
        <v>0.13</v>
      </c>
      <c r="G14" s="173">
        <f>E14*F14</f>
        <v>5805.8</v>
      </c>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15513.598505317354</v>
      </c>
    </row>
    <row r="19" spans="1:8" ht="15.75" thickBot="1">
      <c r="A19" s="63" t="s">
        <v>492</v>
      </c>
      <c r="B19" s="63"/>
      <c r="C19" s="61"/>
      <c r="D19" s="61"/>
      <c r="E19" s="61"/>
      <c r="F19" s="61"/>
      <c r="G19" s="61"/>
      <c r="H19" s="61"/>
    </row>
    <row r="20" spans="1:8">
      <c r="A20" s="1472" t="s">
        <v>485</v>
      </c>
      <c r="B20" s="1473"/>
      <c r="C20" s="1474"/>
      <c r="D20" s="160" t="s">
        <v>493</v>
      </c>
      <c r="E20" s="160" t="s">
        <v>494</v>
      </c>
      <c r="F20" s="160" t="s">
        <v>495</v>
      </c>
      <c r="G20" s="15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58" t="s">
        <v>499</v>
      </c>
      <c r="E27" s="158" t="s">
        <v>500</v>
      </c>
      <c r="F27" s="15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58" t="s">
        <v>504</v>
      </c>
      <c r="D33" s="158" t="s">
        <v>505</v>
      </c>
      <c r="E33" s="124" t="s">
        <v>506</v>
      </c>
      <c r="F33" s="102" t="s">
        <v>488</v>
      </c>
      <c r="G33" s="157" t="s">
        <v>489</v>
      </c>
      <c r="H33" s="67"/>
    </row>
    <row r="34" spans="1:8">
      <c r="A34" s="83" t="s">
        <v>564</v>
      </c>
      <c r="B34" s="84"/>
      <c r="C34" s="103">
        <f>+SALARIOS!C49*3</f>
        <v>76716</v>
      </c>
      <c r="D34" s="104">
        <f>+SALARIOS!C48</f>
        <v>1.7846558312967005</v>
      </c>
      <c r="E34" s="69">
        <f>(C34*D34)</f>
        <v>136911.65675375768</v>
      </c>
      <c r="F34" s="69">
        <v>3.2</v>
      </c>
      <c r="G34" s="105">
        <f>E34/F34</f>
        <v>42784.892735549271</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42784.892735549271</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58298.491240866628</v>
      </c>
    </row>
    <row r="41" spans="1:8" ht="15.75" thickBot="1">
      <c r="A41" s="63" t="s">
        <v>509</v>
      </c>
      <c r="B41" s="63"/>
      <c r="C41" s="61"/>
      <c r="D41" s="61"/>
      <c r="E41" s="61"/>
      <c r="F41" s="61"/>
      <c r="G41" s="61"/>
      <c r="H41" s="61"/>
    </row>
    <row r="42" spans="1:8">
      <c r="A42" s="110" t="s">
        <v>485</v>
      </c>
      <c r="B42" s="111"/>
      <c r="C42" s="111"/>
      <c r="D42" s="111"/>
      <c r="E42" s="112"/>
      <c r="F42" s="160" t="s">
        <v>510</v>
      </c>
      <c r="G42" s="159" t="s">
        <v>511</v>
      </c>
      <c r="H42" s="67"/>
    </row>
    <row r="43" spans="1:8">
      <c r="A43" s="83" t="s">
        <v>512</v>
      </c>
      <c r="B43" s="84"/>
      <c r="C43" s="84"/>
      <c r="D43" s="84"/>
      <c r="E43" s="85"/>
      <c r="F43" s="115">
        <f>(SALARIOS!C45)</f>
        <v>0.15</v>
      </c>
      <c r="G43" s="116">
        <f>++F43*H40</f>
        <v>8744.7736861299945</v>
      </c>
      <c r="H43" s="117"/>
    </row>
    <row r="44" spans="1:8">
      <c r="A44" s="83" t="s">
        <v>513</v>
      </c>
      <c r="B44" s="84"/>
      <c r="C44" s="84"/>
      <c r="D44" s="84"/>
      <c r="E44" s="85"/>
      <c r="F44" s="115">
        <f>(SALARIOS!C46)</f>
        <v>0.05</v>
      </c>
      <c r="G44" s="116">
        <f>+F44*H40</f>
        <v>2914.9245620433317</v>
      </c>
      <c r="H44" s="117"/>
    </row>
    <row r="45" spans="1:8" ht="15.75" thickBot="1">
      <c r="A45" s="89" t="s">
        <v>514</v>
      </c>
      <c r="B45" s="90"/>
      <c r="C45" s="90"/>
      <c r="D45" s="90"/>
      <c r="E45" s="91"/>
      <c r="F45" s="118">
        <f>(SALARIOS!C47)</f>
        <v>0.05</v>
      </c>
      <c r="G45" s="119">
        <f>+F45*H40</f>
        <v>2914.9245620433317</v>
      </c>
      <c r="H45" s="80"/>
    </row>
    <row r="46" spans="1:8" ht="15.75" thickBot="1">
      <c r="A46" s="61"/>
      <c r="B46" s="61"/>
      <c r="C46" s="61"/>
      <c r="D46" s="61"/>
      <c r="E46" s="61"/>
      <c r="F46" s="61"/>
      <c r="G46" s="81" t="s">
        <v>491</v>
      </c>
      <c r="H46" s="120">
        <f>SUM(G43:G45)</f>
        <v>14574.622810216659</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72873</v>
      </c>
    </row>
  </sheetData>
  <mergeCells count="11">
    <mergeCell ref="A33:B33"/>
    <mergeCell ref="A3:C4"/>
    <mergeCell ref="A5:C5"/>
    <mergeCell ref="D5:H5"/>
    <mergeCell ref="A11:C11"/>
    <mergeCell ref="A12:C12"/>
    <mergeCell ref="A15:C15"/>
    <mergeCell ref="A16:C16"/>
    <mergeCell ref="A17:C17"/>
    <mergeCell ref="A20:C20"/>
    <mergeCell ref="A27:B27"/>
  </mergeCells>
  <pageMargins left="0.7" right="0.7" top="0.75" bottom="0.75" header="0.3" footer="0.3"/>
  <pageSetup paperSize="9" scale="90"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7"/>
  <sheetViews>
    <sheetView workbookViewId="0">
      <selection activeCell="K26" sqref="K2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1305</v>
      </c>
      <c r="H7" s="61"/>
    </row>
    <row r="8" spans="1:8">
      <c r="A8" s="60" t="s">
        <v>1266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4587.4578143481694</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4587.4578143481694</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1747</v>
      </c>
      <c r="B20" s="84"/>
      <c r="C20" s="85"/>
      <c r="D20" s="141" t="s">
        <v>1</v>
      </c>
      <c r="E20" s="139">
        <f>+MATERIALES!D252</f>
        <v>361316.41333333333</v>
      </c>
      <c r="F20" s="163">
        <v>1</v>
      </c>
      <c r="G20" s="137">
        <f>+E20*F20</f>
        <v>361316.41333333333</v>
      </c>
      <c r="H20" s="59"/>
    </row>
    <row r="21" spans="1:8">
      <c r="A21" s="83" t="s">
        <v>1738</v>
      </c>
      <c r="B21" s="84"/>
      <c r="C21" s="85"/>
      <c r="D21" s="141" t="s">
        <v>1742</v>
      </c>
      <c r="E21" s="139">
        <f>G20*5%</f>
        <v>18065.820666666667</v>
      </c>
      <c r="F21" s="163">
        <v>1</v>
      </c>
      <c r="G21" s="685">
        <f>E21*F21</f>
        <v>18065.820666666667</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379832.53981333331</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5.6</v>
      </c>
      <c r="G33" s="105">
        <f>+E33/F33</f>
        <v>13276.56463068224</v>
      </c>
      <c r="H33" s="72"/>
    </row>
    <row r="34" spans="1:8">
      <c r="A34" s="83" t="s">
        <v>629</v>
      </c>
      <c r="B34" s="84"/>
      <c r="C34" s="103">
        <f>+SALARIOS!C49*4</f>
        <v>102288</v>
      </c>
      <c r="D34" s="334">
        <f>+SALARIOS!C48</f>
        <v>1.7846558312967005</v>
      </c>
      <c r="E34" s="69">
        <f>+C34*D34</f>
        <v>182548.87567167688</v>
      </c>
      <c r="F34" s="69">
        <v>5.6</v>
      </c>
      <c r="G34" s="105">
        <f>+E34/F34</f>
        <v>32598.013512799447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45874.578143481689</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430294.57577116316</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64544.186365674468</v>
      </c>
      <c r="H42" s="117"/>
    </row>
    <row r="43" spans="1:8">
      <c r="A43" s="83" t="s">
        <v>513</v>
      </c>
      <c r="B43" s="84"/>
      <c r="C43" s="84"/>
      <c r="D43" s="84"/>
      <c r="E43" s="85"/>
      <c r="F43" s="115">
        <v>0.05</v>
      </c>
      <c r="G43" s="116">
        <f>+F43*H39</f>
        <v>21514.728788558161</v>
      </c>
      <c r="H43" s="117"/>
    </row>
    <row r="44" spans="1:8" ht="15.75" thickBot="1">
      <c r="A44" s="89" t="s">
        <v>514</v>
      </c>
      <c r="B44" s="90"/>
      <c r="C44" s="90"/>
      <c r="D44" s="90"/>
      <c r="E44" s="91"/>
      <c r="F44" s="118">
        <v>0.05</v>
      </c>
      <c r="G44" s="119">
        <f>+F44*H39</f>
        <v>21514.728788558161</v>
      </c>
      <c r="H44" s="80"/>
    </row>
    <row r="45" spans="1:8" ht="15.75" thickBot="1">
      <c r="A45" s="61"/>
      <c r="B45" s="61"/>
      <c r="C45" s="61"/>
      <c r="D45" s="61"/>
      <c r="E45" s="61"/>
      <c r="F45" s="61"/>
      <c r="G45" s="81" t="s">
        <v>491</v>
      </c>
      <c r="H45" s="120">
        <f>SUM(G42:G44)</f>
        <v>107573.64394279079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537868</v>
      </c>
    </row>
  </sheetData>
  <mergeCells count="1">
    <mergeCell ref="A3:C4"/>
  </mergeCell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7"/>
  <sheetViews>
    <sheetView workbookViewId="0">
      <selection activeCell="K24" sqref="K2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1306</v>
      </c>
      <c r="H7" s="61"/>
    </row>
    <row r="8" spans="1:8">
      <c r="A8" s="60" t="s">
        <v>1268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4014.0255875546472</v>
      </c>
      <c r="H12" s="72"/>
    </row>
    <row r="13" spans="1:8">
      <c r="A13" s="746" t="s">
        <v>1923</v>
      </c>
      <c r="B13" s="176"/>
      <c r="C13" s="174"/>
      <c r="D13" s="174" t="s">
        <v>6</v>
      </c>
      <c r="E13" s="173">
        <f>'EQUIPOS '!D28</f>
        <v>70000</v>
      </c>
      <c r="F13" s="69">
        <v>3.5</v>
      </c>
      <c r="G13" s="173">
        <f>E13/F13</f>
        <v>20000</v>
      </c>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24014.025587554646</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1748</v>
      </c>
      <c r="B20" s="84"/>
      <c r="C20" s="85"/>
      <c r="D20" s="141" t="s">
        <v>1</v>
      </c>
      <c r="E20" s="139">
        <f>+MATERIALES!D253</f>
        <v>474232.93999999994</v>
      </c>
      <c r="F20" s="163">
        <v>1</v>
      </c>
      <c r="G20" s="137">
        <f>+E20*F20</f>
        <v>474232.93999999994</v>
      </c>
      <c r="H20" s="59"/>
    </row>
    <row r="21" spans="1:8">
      <c r="A21" s="83" t="s">
        <v>1738</v>
      </c>
      <c r="B21" s="84"/>
      <c r="C21" s="85"/>
      <c r="D21" s="141" t="s">
        <v>1742</v>
      </c>
      <c r="E21" s="139">
        <f>G20*5%</f>
        <v>23711.646999999997</v>
      </c>
      <c r="F21" s="163">
        <v>1</v>
      </c>
      <c r="G21" s="685">
        <f>E21*F21</f>
        <v>23711.646999999997</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498394.89281333325</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6.4</v>
      </c>
      <c r="G33" s="105">
        <f>+E33/F33</f>
        <v>11616.994051846959</v>
      </c>
      <c r="H33" s="72"/>
    </row>
    <row r="34" spans="1:8">
      <c r="A34" s="83" t="s">
        <v>629</v>
      </c>
      <c r="B34" s="84"/>
      <c r="C34" s="103">
        <f>+SALARIOS!C49*4</f>
        <v>102288</v>
      </c>
      <c r="D34" s="334">
        <f>+SALARIOS!C48</f>
        <v>1.7846558312967005</v>
      </c>
      <c r="E34" s="69">
        <f>+C34*D34</f>
        <v>182548.87567167688</v>
      </c>
      <c r="F34" s="69">
        <v>6.4</v>
      </c>
      <c r="G34" s="105">
        <f>+E34/F34</f>
        <v>28523.261823699511</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40140.255875546471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562549.17427643435</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84382.376141465153</v>
      </c>
      <c r="H42" s="117"/>
    </row>
    <row r="43" spans="1:8">
      <c r="A43" s="83" t="s">
        <v>513</v>
      </c>
      <c r="B43" s="84"/>
      <c r="C43" s="84"/>
      <c r="D43" s="84"/>
      <c r="E43" s="85"/>
      <c r="F43" s="115">
        <v>0.05</v>
      </c>
      <c r="G43" s="116">
        <f>+F43*H39</f>
        <v>28127.458713821718</v>
      </c>
      <c r="H43" s="117"/>
    </row>
    <row r="44" spans="1:8" ht="15.75" thickBot="1">
      <c r="A44" s="89" t="s">
        <v>514</v>
      </c>
      <c r="B44" s="90"/>
      <c r="C44" s="90"/>
      <c r="D44" s="90"/>
      <c r="E44" s="91"/>
      <c r="F44" s="118">
        <v>0.05</v>
      </c>
      <c r="G44" s="119">
        <f>+F44*H39</f>
        <v>28127.458713821718</v>
      </c>
      <c r="H44" s="80"/>
    </row>
    <row r="45" spans="1:8" ht="15.75" thickBot="1">
      <c r="A45" s="61"/>
      <c r="B45" s="61"/>
      <c r="C45" s="61"/>
      <c r="D45" s="61"/>
      <c r="E45" s="61"/>
      <c r="F45" s="61"/>
      <c r="G45" s="81" t="s">
        <v>491</v>
      </c>
      <c r="H45" s="120">
        <f>SUM(G42:G44)</f>
        <v>140637.29356910859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703186</v>
      </c>
    </row>
  </sheetData>
  <mergeCells count="1">
    <mergeCell ref="A3:C4"/>
  </mergeCells>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7"/>
  <sheetViews>
    <sheetView workbookViewId="0">
      <selection activeCell="J23" sqref="J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1307</v>
      </c>
      <c r="H7" s="61"/>
    </row>
    <row r="8" spans="1:8">
      <c r="A8" s="60" t="s">
        <v>1271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4670.8661382454075</v>
      </c>
      <c r="H12" s="72"/>
    </row>
    <row r="13" spans="1:8">
      <c r="A13" s="746" t="s">
        <v>1923</v>
      </c>
      <c r="B13" s="176"/>
      <c r="C13" s="174"/>
      <c r="D13" s="174" t="s">
        <v>6</v>
      </c>
      <c r="E13" s="173">
        <f>'EQUIPOS '!D28</f>
        <v>70000</v>
      </c>
      <c r="F13" s="69">
        <v>3.5</v>
      </c>
      <c r="G13" s="173">
        <f>E13/F13</f>
        <v>20000</v>
      </c>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24670.866138245408</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1749</v>
      </c>
      <c r="B20" s="84"/>
      <c r="C20" s="85"/>
      <c r="D20" s="141" t="s">
        <v>1</v>
      </c>
      <c r="E20" s="139">
        <f>+MATERIALES!D254</f>
        <v>608669.59333333327</v>
      </c>
      <c r="F20" s="163">
        <v>1</v>
      </c>
      <c r="G20" s="137">
        <f>+E20*F20</f>
        <v>608669.59333333327</v>
      </c>
      <c r="H20" s="59"/>
    </row>
    <row r="21" spans="1:8">
      <c r="A21" s="83" t="s">
        <v>1738</v>
      </c>
      <c r="B21" s="84"/>
      <c r="C21" s="85"/>
      <c r="D21" s="141" t="s">
        <v>1742</v>
      </c>
      <c r="E21" s="139">
        <f>G20*5%</f>
        <v>30433.479666666666</v>
      </c>
      <c r="F21" s="163">
        <v>1</v>
      </c>
      <c r="G21" s="685">
        <f>E21*F21</f>
        <v>30433.479666666666</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639553.37881333323</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5.5</v>
      </c>
      <c r="G33" s="105">
        <f>+E33/F33</f>
        <v>13517.956714876462</v>
      </c>
      <c r="H33" s="72"/>
    </row>
    <row r="34" spans="1:8">
      <c r="A34" s="83" t="s">
        <v>629</v>
      </c>
      <c r="B34" s="84"/>
      <c r="C34" s="103">
        <f>+SALARIOS!C49*4</f>
        <v>102288</v>
      </c>
      <c r="D34" s="334">
        <f>+SALARIOS!C48</f>
        <v>1.7846558312967005</v>
      </c>
      <c r="E34" s="69">
        <f>+C34*D34</f>
        <v>182548.87567167688</v>
      </c>
      <c r="F34" s="69">
        <v>5.5</v>
      </c>
      <c r="G34" s="105">
        <f>+E34/F34</f>
        <v>33190.704667577615</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46708.661382454076</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710932.90633403277</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106639.93595010492</v>
      </c>
      <c r="H42" s="117"/>
    </row>
    <row r="43" spans="1:8">
      <c r="A43" s="83" t="s">
        <v>513</v>
      </c>
      <c r="B43" s="84"/>
      <c r="C43" s="84"/>
      <c r="D43" s="84"/>
      <c r="E43" s="85"/>
      <c r="F43" s="115">
        <v>0.05</v>
      </c>
      <c r="G43" s="116">
        <f>+F43*H39</f>
        <v>35546.645316701637</v>
      </c>
      <c r="H43" s="117"/>
    </row>
    <row r="44" spans="1:8" ht="15.75" thickBot="1">
      <c r="A44" s="89" t="s">
        <v>514</v>
      </c>
      <c r="B44" s="90"/>
      <c r="C44" s="90"/>
      <c r="D44" s="90"/>
      <c r="E44" s="91"/>
      <c r="F44" s="118">
        <v>0.05</v>
      </c>
      <c r="G44" s="119">
        <f>+F44*H39</f>
        <v>35546.645316701637</v>
      </c>
      <c r="H44" s="80"/>
    </row>
    <row r="45" spans="1:8" ht="15.75" thickBot="1">
      <c r="A45" s="61"/>
      <c r="B45" s="61"/>
      <c r="C45" s="61"/>
      <c r="D45" s="61"/>
      <c r="E45" s="61"/>
      <c r="F45" s="61"/>
      <c r="G45" s="81" t="s">
        <v>491</v>
      </c>
      <c r="H45" s="120">
        <f>SUM(G42:G44)</f>
        <v>177733.22658350819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888666</v>
      </c>
    </row>
  </sheetData>
  <mergeCells count="1">
    <mergeCell ref="A3:C4"/>
  </mergeCells>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7"/>
  <sheetViews>
    <sheetView workbookViewId="0">
      <selection activeCell="L21" sqref="L21"/>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1736</v>
      </c>
      <c r="B7" s="62"/>
      <c r="C7" s="61"/>
      <c r="D7" s="16"/>
      <c r="E7" s="62"/>
      <c r="F7" s="16"/>
      <c r="G7" s="62" t="s">
        <v>1308</v>
      </c>
      <c r="H7" s="61"/>
    </row>
    <row r="8" spans="1:8">
      <c r="A8" s="60" t="s">
        <v>1273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5708.8363911888318</v>
      </c>
      <c r="H12" s="72"/>
    </row>
    <row r="13" spans="1:8">
      <c r="A13" s="746" t="s">
        <v>1923</v>
      </c>
      <c r="B13" s="176"/>
      <c r="C13" s="174"/>
      <c r="D13" s="174" t="s">
        <v>6</v>
      </c>
      <c r="E13" s="173">
        <f>'EQUIPOS '!D28</f>
        <v>70000</v>
      </c>
      <c r="F13" s="69">
        <v>3.5</v>
      </c>
      <c r="G13" s="173">
        <f>E13/F13</f>
        <v>20000</v>
      </c>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25708.83639118883</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1750</v>
      </c>
      <c r="B20" s="84"/>
      <c r="C20" s="85"/>
      <c r="D20" s="141" t="s">
        <v>1</v>
      </c>
      <c r="E20" s="139">
        <f>+MATERIALES!D255</f>
        <v>758167.49333333317</v>
      </c>
      <c r="F20" s="163">
        <v>1</v>
      </c>
      <c r="G20" s="137">
        <f>+E20*F20</f>
        <v>758167.49333333317</v>
      </c>
      <c r="H20" s="59"/>
    </row>
    <row r="21" spans="1:8">
      <c r="A21" s="83" t="s">
        <v>1738</v>
      </c>
      <c r="B21" s="84"/>
      <c r="C21" s="85"/>
      <c r="D21" s="141" t="s">
        <v>1742</v>
      </c>
      <c r="E21" s="139">
        <f>G20*5%</f>
        <v>37908.374666666663</v>
      </c>
      <c r="F21" s="163">
        <v>1</v>
      </c>
      <c r="G21" s="685">
        <f>E21*F21</f>
        <v>37908.374666666663</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796526.17381333304</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4.5</v>
      </c>
      <c r="G33" s="105">
        <f>+E33/F33</f>
        <v>16521.94709596012</v>
      </c>
      <c r="H33" s="72"/>
    </row>
    <row r="34" spans="1:8">
      <c r="A34" s="83" t="s">
        <v>629</v>
      </c>
      <c r="B34" s="84"/>
      <c r="C34" s="103">
        <f>+SALARIOS!C49*4</f>
        <v>102288</v>
      </c>
      <c r="D34" s="334">
        <f>+SALARIOS!C48</f>
        <v>1.7846558312967005</v>
      </c>
      <c r="E34" s="69">
        <f>+C34*D34</f>
        <v>182548.87567167688</v>
      </c>
      <c r="F34" s="69">
        <v>4.5</v>
      </c>
      <c r="G34" s="105">
        <f>+E34/F34</f>
        <v>40566.416815928198</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57088.363911888315</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879323.37411641015</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131898.50611746151</v>
      </c>
      <c r="H42" s="117"/>
    </row>
    <row r="43" spans="1:8">
      <c r="A43" s="83" t="s">
        <v>513</v>
      </c>
      <c r="B43" s="84"/>
      <c r="C43" s="84"/>
      <c r="D43" s="84"/>
      <c r="E43" s="85"/>
      <c r="F43" s="115">
        <v>0.05</v>
      </c>
      <c r="G43" s="116">
        <f>+F43*H39</f>
        <v>43966.168705820513</v>
      </c>
      <c r="H43" s="117"/>
    </row>
    <row r="44" spans="1:8" ht="15.75" thickBot="1">
      <c r="A44" s="89" t="s">
        <v>514</v>
      </c>
      <c r="B44" s="90"/>
      <c r="C44" s="90"/>
      <c r="D44" s="90"/>
      <c r="E44" s="91"/>
      <c r="F44" s="118">
        <v>0.05</v>
      </c>
      <c r="G44" s="119">
        <f>+F44*H39</f>
        <v>43966.168705820513</v>
      </c>
      <c r="H44" s="80"/>
    </row>
    <row r="45" spans="1:8" ht="15.75" thickBot="1">
      <c r="A45" s="61"/>
      <c r="B45" s="61"/>
      <c r="C45" s="61"/>
      <c r="D45" s="61"/>
      <c r="E45" s="61"/>
      <c r="F45" s="61"/>
      <c r="G45" s="81" t="s">
        <v>491</v>
      </c>
      <c r="H45" s="120">
        <f>SUM(G42:G44)</f>
        <v>219830.84352910254</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1099154</v>
      </c>
    </row>
  </sheetData>
  <mergeCells count="1">
    <mergeCell ref="A3:C4"/>
  </mergeCells>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1309</v>
      </c>
      <c r="H7" s="61"/>
    </row>
    <row r="8" spans="1:8">
      <c r="A8" s="60" t="s">
        <v>1252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H38*10%</f>
        <v>676.01306027615919</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676.01306027615919</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1753</v>
      </c>
      <c r="B20" s="84"/>
      <c r="C20" s="85"/>
      <c r="D20" s="141" t="s">
        <v>1</v>
      </c>
      <c r="E20" s="139">
        <f>+MATERIALES!D257</f>
        <v>8217.6333333333332</v>
      </c>
      <c r="F20" s="163">
        <v>1</v>
      </c>
      <c r="G20" s="137">
        <f>+E20*F20</f>
        <v>8217.6333333333332</v>
      </c>
      <c r="H20" s="59"/>
    </row>
    <row r="21" spans="1:8">
      <c r="A21" s="83" t="s">
        <v>1738</v>
      </c>
      <c r="B21" s="84"/>
      <c r="C21" s="85"/>
      <c r="D21" s="141" t="s">
        <v>1739</v>
      </c>
      <c r="E21" s="139">
        <f>G20*25%</f>
        <v>2054.4083333333333</v>
      </c>
      <c r="F21" s="163">
        <v>1</v>
      </c>
      <c r="G21" s="685">
        <f>E21*F21</f>
        <v>2054.4083333333333</v>
      </c>
      <c r="H21" s="59"/>
    </row>
    <row r="22" spans="1:8">
      <c r="A22" s="83" t="s">
        <v>1709</v>
      </c>
      <c r="B22" s="84"/>
      <c r="C22" s="85"/>
      <c r="D22" s="73" t="s">
        <v>61</v>
      </c>
      <c r="E22" s="142">
        <f>MATERIALES!D53</f>
        <v>31988.933333333331</v>
      </c>
      <c r="F22" s="70">
        <v>8.0000000000000002E-3</v>
      </c>
      <c r="G22" s="105">
        <f>+E22*F22</f>
        <v>255.91146666666666</v>
      </c>
      <c r="H22" s="59"/>
    </row>
    <row r="23" spans="1:8">
      <c r="A23" s="83" t="s">
        <v>1158</v>
      </c>
      <c r="B23" s="84"/>
      <c r="C23" s="85"/>
      <c r="D23" s="68" t="s">
        <v>61</v>
      </c>
      <c r="E23" s="86">
        <f>MATERIALES!D42</f>
        <v>24299.293333333335</v>
      </c>
      <c r="F23" s="70">
        <v>8.0000000000000002E-3</v>
      </c>
      <c r="G23" s="105">
        <f>+E23*F23</f>
        <v>194.39434666666668</v>
      </c>
      <c r="H23" s="59"/>
    </row>
    <row r="24" spans="1:8" ht="15.75" thickBot="1">
      <c r="A24" s="100" t="s">
        <v>1710</v>
      </c>
      <c r="B24" s="106"/>
      <c r="C24" s="101"/>
      <c r="D24" s="76" t="s">
        <v>61</v>
      </c>
      <c r="E24" s="77">
        <f>MATERIALES!D26</f>
        <v>802.33333333333337</v>
      </c>
      <c r="F24" s="78">
        <v>0.2</v>
      </c>
      <c r="G24" s="453">
        <f>+E24*F24</f>
        <v>160.4666666666667</v>
      </c>
      <c r="H24" s="59"/>
    </row>
    <row r="25" spans="1:8" ht="15.75" thickBot="1">
      <c r="A25" s="61"/>
      <c r="B25" s="61"/>
      <c r="C25" s="61"/>
      <c r="D25" s="61"/>
      <c r="E25" s="61"/>
      <c r="F25" s="61"/>
      <c r="G25" s="81" t="s">
        <v>491</v>
      </c>
      <c r="H25" s="82">
        <f>SUM(G20:G24)</f>
        <v>10882.814146666666</v>
      </c>
    </row>
    <row r="26" spans="1:8" ht="15.75" thickBot="1">
      <c r="A26" s="92" t="s">
        <v>496</v>
      </c>
      <c r="B26" s="92"/>
      <c r="C26" s="90"/>
      <c r="D26" s="61"/>
      <c r="E26" s="61"/>
      <c r="F26" s="61"/>
      <c r="G26" s="61"/>
      <c r="H26" s="61"/>
    </row>
    <row r="27" spans="1:8">
      <c r="A27" s="382" t="s">
        <v>497</v>
      </c>
      <c r="B27" s="384"/>
      <c r="C27" s="93" t="s">
        <v>498</v>
      </c>
      <c r="D27" s="384" t="s">
        <v>499</v>
      </c>
      <c r="E27" s="384" t="s">
        <v>500</v>
      </c>
      <c r="F27" s="384"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382" t="s">
        <v>503</v>
      </c>
      <c r="B33" s="384"/>
      <c r="C33" s="384" t="s">
        <v>504</v>
      </c>
      <c r="D33" s="384" t="s">
        <v>505</v>
      </c>
      <c r="E33" s="124" t="s">
        <v>506</v>
      </c>
      <c r="F33" s="102" t="s">
        <v>488</v>
      </c>
      <c r="G33" s="383" t="s">
        <v>489</v>
      </c>
      <c r="H33" s="67"/>
    </row>
    <row r="34" spans="1:8">
      <c r="A34" s="83" t="s">
        <v>624</v>
      </c>
      <c r="B34" s="84"/>
      <c r="C34" s="103">
        <f>+SALARIOS!C50</f>
        <v>41660</v>
      </c>
      <c r="D34" s="334">
        <f>+SALARIOS!C48</f>
        <v>1.7846558312967005</v>
      </c>
      <c r="E34" s="69">
        <f>+C34*D34</f>
        <v>74348.76193182054</v>
      </c>
      <c r="F34" s="69">
        <v>24.5</v>
      </c>
      <c r="G34" s="105">
        <f>+E34/F34</f>
        <v>3034.6433441559402</v>
      </c>
      <c r="H34" s="72"/>
    </row>
    <row r="35" spans="1:8">
      <c r="A35" s="83" t="s">
        <v>554</v>
      </c>
      <c r="B35" s="84"/>
      <c r="C35" s="103">
        <f>+SALARIOS!C49*2</f>
        <v>51144</v>
      </c>
      <c r="D35" s="334">
        <f>+SALARIOS!C48</f>
        <v>1.7846558312967005</v>
      </c>
      <c r="E35" s="69">
        <f>+C35*D35</f>
        <v>91274.437835838442</v>
      </c>
      <c r="F35" s="69">
        <v>24.5</v>
      </c>
      <c r="G35" s="105">
        <f>+E35/F35</f>
        <v>3725.4872586056508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6760.130602761591</v>
      </c>
    </row>
    <row r="39" spans="1:8" ht="15.75" thickBot="1">
      <c r="A39" s="61"/>
      <c r="B39" s="61"/>
      <c r="C39" s="61"/>
      <c r="D39" s="61"/>
      <c r="E39" s="61"/>
      <c r="F39" s="61"/>
      <c r="G39" s="107"/>
      <c r="H39" s="58"/>
    </row>
    <row r="40" spans="1:8" ht="15.75" thickBot="1">
      <c r="A40" s="61"/>
      <c r="B40" s="61"/>
      <c r="C40" s="61"/>
      <c r="D40" s="61"/>
      <c r="E40" s="81" t="s">
        <v>508</v>
      </c>
      <c r="F40" s="107"/>
      <c r="G40" s="107"/>
      <c r="H40" s="82">
        <f>H17+H25+H31+H38</f>
        <v>18318.957809704414</v>
      </c>
    </row>
    <row r="41" spans="1:8" ht="15.75" thickBot="1">
      <c r="A41" s="63" t="s">
        <v>509</v>
      </c>
      <c r="B41" s="63"/>
      <c r="C41" s="61"/>
      <c r="D41" s="61"/>
      <c r="E41" s="61"/>
      <c r="F41" s="61"/>
      <c r="G41" s="61"/>
      <c r="H41" s="61"/>
    </row>
    <row r="42" spans="1:8">
      <c r="A42" s="233" t="s">
        <v>485</v>
      </c>
      <c r="B42" s="395"/>
      <c r="C42" s="395"/>
      <c r="D42" s="395"/>
      <c r="E42" s="396"/>
      <c r="F42" s="396" t="s">
        <v>510</v>
      </c>
      <c r="G42" s="395" t="s">
        <v>511</v>
      </c>
      <c r="H42" s="67"/>
    </row>
    <row r="43" spans="1:8">
      <c r="A43" s="83" t="s">
        <v>512</v>
      </c>
      <c r="B43" s="84"/>
      <c r="C43" s="84"/>
      <c r="D43" s="84"/>
      <c r="E43" s="85"/>
      <c r="F43" s="115">
        <v>0.15</v>
      </c>
      <c r="G43" s="116">
        <f>++F43*H40</f>
        <v>2747.8436714556619</v>
      </c>
      <c r="H43" s="117"/>
    </row>
    <row r="44" spans="1:8">
      <c r="A44" s="83" t="s">
        <v>513</v>
      </c>
      <c r="B44" s="84"/>
      <c r="C44" s="84"/>
      <c r="D44" s="84"/>
      <c r="E44" s="85"/>
      <c r="F44" s="115">
        <v>0.05</v>
      </c>
      <c r="G44" s="116">
        <f>+F44*H40</f>
        <v>915.9478904852208</v>
      </c>
      <c r="H44" s="117"/>
    </row>
    <row r="45" spans="1:8" ht="15.75" thickBot="1">
      <c r="A45" s="89" t="s">
        <v>514</v>
      </c>
      <c r="B45" s="90"/>
      <c r="C45" s="90"/>
      <c r="D45" s="90"/>
      <c r="E45" s="91"/>
      <c r="F45" s="118">
        <v>0.05</v>
      </c>
      <c r="G45" s="119">
        <f>+F45*H40</f>
        <v>915.9478904852208</v>
      </c>
      <c r="H45" s="80"/>
    </row>
    <row r="46" spans="1:8" ht="15.75" thickBot="1">
      <c r="A46" s="61"/>
      <c r="B46" s="61"/>
      <c r="C46" s="61"/>
      <c r="D46" s="61"/>
      <c r="E46" s="61"/>
      <c r="F46" s="61"/>
      <c r="G46" s="81" t="s">
        <v>491</v>
      </c>
      <c r="H46" s="120">
        <f>SUM(G43:G45)</f>
        <v>4579.7394524261035</v>
      </c>
    </row>
    <row r="47" spans="1:8" ht="15.75" thickBot="1">
      <c r="A47" s="61"/>
      <c r="B47" s="61"/>
      <c r="C47" s="61"/>
      <c r="D47" s="61"/>
      <c r="E47" s="61"/>
      <c r="F47" s="61"/>
      <c r="G47" s="61"/>
      <c r="H47" s="61"/>
    </row>
    <row r="48" spans="1:8" ht="15.75" thickBot="1">
      <c r="A48" s="16"/>
      <c r="B48" s="16"/>
      <c r="C48" s="61"/>
      <c r="D48" s="81" t="s">
        <v>515</v>
      </c>
      <c r="E48" s="107"/>
      <c r="F48" s="107"/>
      <c r="G48" s="107"/>
      <c r="H48" s="82">
        <f>ROUND((H40+H46),0)</f>
        <v>22899</v>
      </c>
    </row>
  </sheetData>
  <mergeCells count="1">
    <mergeCell ref="A3:C4"/>
  </mergeCells>
  <pageMargins left="0.7" right="0.7" top="0.75" bottom="0.75" header="0.3" footer="0.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1310</v>
      </c>
      <c r="H7" s="61"/>
    </row>
    <row r="8" spans="1:8">
      <c r="A8" s="60" t="s">
        <v>1254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1048.2480997953101</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1048.2480997953101</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1754</v>
      </c>
      <c r="B20" s="84"/>
      <c r="C20" s="85"/>
      <c r="D20" s="141" t="s">
        <v>1</v>
      </c>
      <c r="E20" s="139">
        <f>+MATERIALES!D258</f>
        <v>18077.826666666668</v>
      </c>
      <c r="F20" s="163">
        <v>1</v>
      </c>
      <c r="G20" s="137">
        <f>+E20*F20</f>
        <v>18077.826666666668</v>
      </c>
      <c r="H20" s="59"/>
    </row>
    <row r="21" spans="1:8">
      <c r="A21" s="83" t="s">
        <v>1738</v>
      </c>
      <c r="B21" s="84"/>
      <c r="C21" s="85"/>
      <c r="D21" s="141" t="s">
        <v>1742</v>
      </c>
      <c r="E21" s="139">
        <f>G20*5%</f>
        <v>903.89133333333348</v>
      </c>
      <c r="F21" s="163">
        <v>1</v>
      </c>
      <c r="G21" s="685">
        <f>E21*F21</f>
        <v>903.89133333333348</v>
      </c>
      <c r="H21" s="59"/>
    </row>
    <row r="22" spans="1:8">
      <c r="A22" s="83" t="s">
        <v>1709</v>
      </c>
      <c r="B22" s="84"/>
      <c r="C22" s="85"/>
      <c r="D22" s="73" t="s">
        <v>61</v>
      </c>
      <c r="E22" s="142">
        <f>MATERIALES!D53</f>
        <v>31988.933333333331</v>
      </c>
      <c r="F22" s="70">
        <v>8.0000000000000002E-3</v>
      </c>
      <c r="G22" s="105">
        <f>+E22*F22</f>
        <v>255.91146666666666</v>
      </c>
      <c r="H22" s="59"/>
    </row>
    <row r="23" spans="1:8" ht="15.75" thickBot="1">
      <c r="A23" s="83" t="s">
        <v>1158</v>
      </c>
      <c r="B23" s="84"/>
      <c r="C23" s="85"/>
      <c r="D23" s="68" t="s">
        <v>61</v>
      </c>
      <c r="E23" s="86">
        <f>MATERIALES!D42</f>
        <v>24299.293333333335</v>
      </c>
      <c r="F23" s="70">
        <v>8.0000000000000002E-3</v>
      </c>
      <c r="G23" s="105">
        <f>+E23*F23</f>
        <v>194.39434666666668</v>
      </c>
      <c r="H23" s="59"/>
    </row>
    <row r="24" spans="1:8" ht="15.75" thickBot="1">
      <c r="A24" s="61"/>
      <c r="B24" s="61"/>
      <c r="C24" s="61"/>
      <c r="D24" s="61"/>
      <c r="E24" s="61"/>
      <c r="F24" s="61"/>
      <c r="G24" s="81" t="s">
        <v>491</v>
      </c>
      <c r="H24" s="82">
        <f>SUM(G20:G23)</f>
        <v>19432.023813333337</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15.8</v>
      </c>
      <c r="G33" s="105">
        <f>+E33/F33</f>
        <v>4705.6178437861099</v>
      </c>
      <c r="H33" s="72"/>
    </row>
    <row r="34" spans="1:8">
      <c r="A34" s="83" t="s">
        <v>554</v>
      </c>
      <c r="B34" s="84"/>
      <c r="C34" s="103">
        <f>+SALARIOS!C49*2</f>
        <v>51144</v>
      </c>
      <c r="D34" s="334">
        <f>+SALARIOS!C48</f>
        <v>1.7846558312967005</v>
      </c>
      <c r="E34" s="69">
        <f>+C34*D34</f>
        <v>91274.437835838442</v>
      </c>
      <c r="F34" s="69">
        <v>15.8</v>
      </c>
      <c r="G34" s="105">
        <f>+E34/F34</f>
        <v>5776.8631541669902</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10482.4809979531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30962.752911081749</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4644.4129366622619</v>
      </c>
      <c r="H42" s="117"/>
    </row>
    <row r="43" spans="1:8">
      <c r="A43" s="83" t="s">
        <v>513</v>
      </c>
      <c r="B43" s="84"/>
      <c r="C43" s="84"/>
      <c r="D43" s="84"/>
      <c r="E43" s="85"/>
      <c r="F43" s="115">
        <v>0.05</v>
      </c>
      <c r="G43" s="116">
        <f>+F43*H39</f>
        <v>1548.1376455540876</v>
      </c>
      <c r="H43" s="117"/>
    </row>
    <row r="44" spans="1:8" ht="15.75" thickBot="1">
      <c r="A44" s="89" t="s">
        <v>514</v>
      </c>
      <c r="B44" s="90"/>
      <c r="C44" s="90"/>
      <c r="D44" s="90"/>
      <c r="E44" s="91"/>
      <c r="F44" s="118">
        <v>0.05</v>
      </c>
      <c r="G44" s="119">
        <f>+F44*H39</f>
        <v>1548.1376455540876</v>
      </c>
      <c r="H44" s="80"/>
    </row>
    <row r="45" spans="1:8" ht="15.75" thickBot="1">
      <c r="A45" s="61"/>
      <c r="B45" s="61"/>
      <c r="C45" s="61"/>
      <c r="D45" s="61"/>
      <c r="E45" s="61"/>
      <c r="F45" s="61"/>
      <c r="G45" s="81" t="s">
        <v>491</v>
      </c>
      <c r="H45" s="120">
        <f>SUM(G42:G44)</f>
        <v>7740.6882277704372</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38703</v>
      </c>
    </row>
  </sheetData>
  <mergeCells count="1">
    <mergeCell ref="A3:C4"/>
  </mergeCells>
  <pageMargins left="0.7" right="0.7" top="0.75" bottom="0.75" header="0.3" footer="0.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1311</v>
      </c>
      <c r="H7" s="61"/>
    </row>
    <row r="8" spans="1:8">
      <c r="A8" s="60" t="s">
        <v>1256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1341.0785406288178</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1341.0785406288178</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1755</v>
      </c>
      <c r="B20" s="84"/>
      <c r="C20" s="85"/>
      <c r="D20" s="141" t="s">
        <v>1</v>
      </c>
      <c r="E20" s="139">
        <f>+MATERIALES!D259</f>
        <v>29857.626666666667</v>
      </c>
      <c r="F20" s="163">
        <v>1</v>
      </c>
      <c r="G20" s="137">
        <f>+E20*F20</f>
        <v>29857.626666666667</v>
      </c>
      <c r="H20" s="59"/>
    </row>
    <row r="21" spans="1:8">
      <c r="A21" s="83" t="s">
        <v>1738</v>
      </c>
      <c r="B21" s="84"/>
      <c r="C21" s="85"/>
      <c r="D21" s="141" t="s">
        <v>1742</v>
      </c>
      <c r="E21" s="139">
        <f>G20*5%</f>
        <v>1492.8813333333335</v>
      </c>
      <c r="F21" s="163">
        <v>1</v>
      </c>
      <c r="G21" s="685">
        <f>E21*F21</f>
        <v>1492.8813333333335</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31800.813813333338</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12.35</v>
      </c>
      <c r="G33" s="105">
        <f>+E33/F33</f>
        <v>6020.1426665441732</v>
      </c>
      <c r="H33" s="72"/>
    </row>
    <row r="34" spans="1:8">
      <c r="A34" s="83" t="s">
        <v>554</v>
      </c>
      <c r="B34" s="84"/>
      <c r="C34" s="103">
        <f>+SALARIOS!C49*2</f>
        <v>51144</v>
      </c>
      <c r="D34" s="334">
        <f>+SALARIOS!C48</f>
        <v>1.7846558312967005</v>
      </c>
      <c r="E34" s="69">
        <f>+C34*D34</f>
        <v>91274.437835838442</v>
      </c>
      <c r="F34" s="69">
        <v>12.35</v>
      </c>
      <c r="G34" s="105">
        <f>+E34/F34</f>
        <v>7390.6427397440038</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13410.785406288178</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46552.677760250328</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6982.9016640375494</v>
      </c>
      <c r="H42" s="117"/>
    </row>
    <row r="43" spans="1:8">
      <c r="A43" s="83" t="s">
        <v>513</v>
      </c>
      <c r="B43" s="84"/>
      <c r="C43" s="84"/>
      <c r="D43" s="84"/>
      <c r="E43" s="85"/>
      <c r="F43" s="115">
        <v>0.05</v>
      </c>
      <c r="G43" s="116">
        <f>+F43*H39</f>
        <v>2327.6338880125163</v>
      </c>
      <c r="H43" s="117"/>
    </row>
    <row r="44" spans="1:8" ht="15.75" thickBot="1">
      <c r="A44" s="89" t="s">
        <v>514</v>
      </c>
      <c r="B44" s="90"/>
      <c r="C44" s="90"/>
      <c r="D44" s="90"/>
      <c r="E44" s="91"/>
      <c r="F44" s="118">
        <v>0.05</v>
      </c>
      <c r="G44" s="119">
        <f>+F44*H39</f>
        <v>2327.6338880125163</v>
      </c>
      <c r="H44" s="80"/>
    </row>
    <row r="45" spans="1:8" ht="15.75" thickBot="1">
      <c r="A45" s="61"/>
      <c r="B45" s="61"/>
      <c r="C45" s="61"/>
      <c r="D45" s="61"/>
      <c r="E45" s="61"/>
      <c r="F45" s="61"/>
      <c r="G45" s="81" t="s">
        <v>491</v>
      </c>
      <c r="H45" s="120">
        <f>SUM(G42:G44)</f>
        <v>11638.169440062582</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58191</v>
      </c>
    </row>
  </sheetData>
  <mergeCells count="1">
    <mergeCell ref="A3:C4"/>
  </mergeCells>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1312</v>
      </c>
      <c r="H7" s="61"/>
    </row>
    <row r="8" spans="1:8">
      <c r="A8" s="60" t="s">
        <v>1258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1562.4830166760282</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1562.4830166760282</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1756</v>
      </c>
      <c r="B20" s="84"/>
      <c r="C20" s="85"/>
      <c r="D20" s="141" t="s">
        <v>1</v>
      </c>
      <c r="E20" s="139">
        <f>+MATERIALES!D260</f>
        <v>63960.273333333324</v>
      </c>
      <c r="F20" s="163">
        <v>1</v>
      </c>
      <c r="G20" s="137">
        <f>+E20*F20</f>
        <v>63960.273333333324</v>
      </c>
      <c r="H20" s="59"/>
    </row>
    <row r="21" spans="1:8">
      <c r="A21" s="83" t="s">
        <v>1738</v>
      </c>
      <c r="B21" s="84"/>
      <c r="C21" s="85"/>
      <c r="D21" s="141" t="s">
        <v>1742</v>
      </c>
      <c r="E21" s="139">
        <f>G20*5%</f>
        <v>3198.0136666666663</v>
      </c>
      <c r="F21" s="163">
        <v>1</v>
      </c>
      <c r="G21" s="685">
        <f>E21*F21</f>
        <v>3198.0136666666663</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67608.592813333336</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10.6</v>
      </c>
      <c r="G33" s="105">
        <f>+E33/F33</f>
        <v>7014.0341445113718</v>
      </c>
      <c r="H33" s="72"/>
    </row>
    <row r="34" spans="1:8">
      <c r="A34" s="83" t="s">
        <v>564</v>
      </c>
      <c r="B34" s="84"/>
      <c r="C34" s="103">
        <f>+SALARIOS!C49*2</f>
        <v>51144</v>
      </c>
      <c r="D34" s="334">
        <f>+SALARIOS!C48</f>
        <v>1.7846558312967005</v>
      </c>
      <c r="E34" s="69">
        <f>+C34*D34</f>
        <v>91274.437835838442</v>
      </c>
      <c r="F34" s="69">
        <v>10.6</v>
      </c>
      <c r="G34" s="105">
        <f>+E34/F34</f>
        <v>8610.7960222489091</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15624.830166760281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84795.905996769638</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12719.385899515446</v>
      </c>
      <c r="H42" s="117"/>
    </row>
    <row r="43" spans="1:8">
      <c r="A43" s="83" t="s">
        <v>513</v>
      </c>
      <c r="B43" s="84"/>
      <c r="C43" s="84"/>
      <c r="D43" s="84"/>
      <c r="E43" s="85"/>
      <c r="F43" s="115">
        <v>0.05</v>
      </c>
      <c r="G43" s="116">
        <f>+F43*H39</f>
        <v>4239.7952998384817</v>
      </c>
      <c r="H43" s="117"/>
    </row>
    <row r="44" spans="1:8" ht="15.75" thickBot="1">
      <c r="A44" s="89" t="s">
        <v>514</v>
      </c>
      <c r="B44" s="90"/>
      <c r="C44" s="90"/>
      <c r="D44" s="90"/>
      <c r="E44" s="91"/>
      <c r="F44" s="118">
        <v>0.05</v>
      </c>
      <c r="G44" s="119">
        <f>+F44*H39</f>
        <v>4239.7952998384817</v>
      </c>
      <c r="H44" s="80"/>
    </row>
    <row r="45" spans="1:8" ht="15.75" thickBot="1">
      <c r="A45" s="61"/>
      <c r="B45" s="61"/>
      <c r="C45" s="61"/>
      <c r="D45" s="61"/>
      <c r="E45" s="61"/>
      <c r="F45" s="61"/>
      <c r="G45" s="81" t="s">
        <v>491</v>
      </c>
      <c r="H45" s="120">
        <f>SUM(G42:G44)</f>
        <v>21198.976499192409</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105995</v>
      </c>
    </row>
  </sheetData>
  <mergeCells count="1">
    <mergeCell ref="A3:C4"/>
  </mergeCells>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1313</v>
      </c>
      <c r="H7" s="61"/>
    </row>
    <row r="8" spans="1:8">
      <c r="A8" s="60" t="s">
        <v>1260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2640.7552335697278</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2640.7552335697278</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1757</v>
      </c>
      <c r="B20" s="84"/>
      <c r="C20" s="85"/>
      <c r="D20" s="141" t="s">
        <v>1</v>
      </c>
      <c r="E20" s="139">
        <f>+MATERIALES!D261</f>
        <v>108809.54666666666</v>
      </c>
      <c r="F20" s="163">
        <v>1</v>
      </c>
      <c r="G20" s="137">
        <f>+E20*F20</f>
        <v>108809.54666666666</v>
      </c>
      <c r="H20" s="59"/>
    </row>
    <row r="21" spans="1:8">
      <c r="A21" s="83" t="s">
        <v>1738</v>
      </c>
      <c r="B21" s="84"/>
      <c r="C21" s="85"/>
      <c r="D21" s="141" t="s">
        <v>1742</v>
      </c>
      <c r="E21" s="139">
        <f>G20*5%</f>
        <v>5440.4773333333333</v>
      </c>
      <c r="F21" s="163">
        <v>1</v>
      </c>
      <c r="G21" s="685">
        <f>E21*F21</f>
        <v>5440.4773333333333</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114700.32981333333</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8</v>
      </c>
      <c r="G33" s="105">
        <f>+E33/F33</f>
        <v>9293.5952414775675</v>
      </c>
      <c r="H33" s="72"/>
    </row>
    <row r="34" spans="1:8">
      <c r="A34" s="83" t="s">
        <v>564</v>
      </c>
      <c r="B34" s="84"/>
      <c r="C34" s="103">
        <f>+SALARIOS!C49*3</f>
        <v>76716</v>
      </c>
      <c r="D34" s="334">
        <f>+SALARIOS!C48</f>
        <v>1.7846558312967005</v>
      </c>
      <c r="E34" s="69">
        <f>+C34*D34</f>
        <v>136911.65675375768</v>
      </c>
      <c r="F34" s="69">
        <v>8</v>
      </c>
      <c r="G34" s="105">
        <f>+E34/F34</f>
        <v>17113.95709421971</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26407.552335697277</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143748.63738260034</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21562.29560739005</v>
      </c>
      <c r="H42" s="117"/>
    </row>
    <row r="43" spans="1:8">
      <c r="A43" s="83" t="s">
        <v>513</v>
      </c>
      <c r="B43" s="84"/>
      <c r="C43" s="84"/>
      <c r="D43" s="84"/>
      <c r="E43" s="85"/>
      <c r="F43" s="115">
        <v>0.05</v>
      </c>
      <c r="G43" s="116">
        <f>+F43*H39</f>
        <v>7187.4318691300177</v>
      </c>
      <c r="H43" s="117"/>
    </row>
    <row r="44" spans="1:8" ht="15.75" thickBot="1">
      <c r="A44" s="89" t="s">
        <v>514</v>
      </c>
      <c r="B44" s="90"/>
      <c r="C44" s="90"/>
      <c r="D44" s="90"/>
      <c r="E44" s="91"/>
      <c r="F44" s="118">
        <v>0.05</v>
      </c>
      <c r="G44" s="119">
        <f>+F44*H39</f>
        <v>7187.4318691300177</v>
      </c>
      <c r="H44" s="80"/>
    </row>
    <row r="45" spans="1:8" ht="15.75" thickBot="1">
      <c r="A45" s="61"/>
      <c r="B45" s="61"/>
      <c r="C45" s="61"/>
      <c r="D45" s="61"/>
      <c r="E45" s="61"/>
      <c r="F45" s="61"/>
      <c r="G45" s="81" t="s">
        <v>491</v>
      </c>
      <c r="H45" s="120">
        <f>SUM(G42:G44)</f>
        <v>35937.159345650085</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179686</v>
      </c>
    </row>
  </sheetData>
  <mergeCells count="1">
    <mergeCell ref="A3:C4"/>
  </mergeCells>
  <pageMargins left="0.7" right="0.7" top="0.75" bottom="0.75" header="0.3" footer="0.3"/>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1314</v>
      </c>
      <c r="H7" s="61"/>
    </row>
    <row r="8" spans="1:8">
      <c r="A8" s="60" t="s">
        <v>1262</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3314.8082271419025</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3314.8082271419025</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1758</v>
      </c>
      <c r="B20" s="84"/>
      <c r="C20" s="85"/>
      <c r="D20" s="141" t="s">
        <v>1</v>
      </c>
      <c r="E20" s="139">
        <f>+MATERIALES!D262</f>
        <v>169364.63999999998</v>
      </c>
      <c r="F20" s="163">
        <v>1</v>
      </c>
      <c r="G20" s="137">
        <f>+E20*F20</f>
        <v>169364.63999999998</v>
      </c>
      <c r="H20" s="59"/>
    </row>
    <row r="21" spans="1:8">
      <c r="A21" s="83" t="s">
        <v>1738</v>
      </c>
      <c r="B21" s="84"/>
      <c r="C21" s="85"/>
      <c r="D21" s="141" t="s">
        <v>1742</v>
      </c>
      <c r="E21" s="139">
        <f>G20*5%</f>
        <v>8468.232</v>
      </c>
      <c r="F21" s="163">
        <v>1</v>
      </c>
      <c r="G21" s="685">
        <f>E21*F21</f>
        <v>8468.232</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178283.17781333331</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7.75</v>
      </c>
      <c r="G33" s="105">
        <f>+E33/F33</f>
        <v>9593.3886363639413</v>
      </c>
      <c r="H33" s="72"/>
    </row>
    <row r="34" spans="1:8">
      <c r="A34" s="83" t="s">
        <v>629</v>
      </c>
      <c r="B34" s="84"/>
      <c r="C34" s="103">
        <f>+SALARIOS!C49*4</f>
        <v>102288</v>
      </c>
      <c r="D34" s="334">
        <f>+SALARIOS!C48</f>
        <v>1.7846558312967005</v>
      </c>
      <c r="E34" s="69">
        <f>+C34*D34</f>
        <v>182548.87567167688</v>
      </c>
      <c r="F34" s="69">
        <v>7.75</v>
      </c>
      <c r="G34" s="105">
        <f>+E34/F34</f>
        <v>23554.693635055082</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33148.082271419022</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214746.06831189425</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32211.910246784137</v>
      </c>
      <c r="H42" s="117"/>
    </row>
    <row r="43" spans="1:8">
      <c r="A43" s="83" t="s">
        <v>513</v>
      </c>
      <c r="B43" s="84"/>
      <c r="C43" s="84"/>
      <c r="D43" s="84"/>
      <c r="E43" s="85"/>
      <c r="F43" s="115">
        <v>0.05</v>
      </c>
      <c r="G43" s="116">
        <f>+F43*H39</f>
        <v>10737.303415594713</v>
      </c>
      <c r="H43" s="117"/>
    </row>
    <row r="44" spans="1:8" ht="15.75" thickBot="1">
      <c r="A44" s="89" t="s">
        <v>514</v>
      </c>
      <c r="B44" s="90"/>
      <c r="C44" s="90"/>
      <c r="D44" s="90"/>
      <c r="E44" s="91"/>
      <c r="F44" s="118">
        <v>0.05</v>
      </c>
      <c r="G44" s="119">
        <f>+F44*H39</f>
        <v>10737.303415594713</v>
      </c>
      <c r="H44" s="80"/>
    </row>
    <row r="45" spans="1:8" ht="15.75" thickBot="1">
      <c r="A45" s="61"/>
      <c r="B45" s="61"/>
      <c r="C45" s="61"/>
      <c r="D45" s="61"/>
      <c r="E45" s="61"/>
      <c r="F45" s="61"/>
      <c r="G45" s="81" t="s">
        <v>491</v>
      </c>
      <c r="H45" s="120">
        <f>SUM(G42:G44)</f>
        <v>53686.517077973564</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268433</v>
      </c>
    </row>
  </sheetData>
  <mergeCells count="1">
    <mergeCell ref="A3:C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31" workbookViewId="0"/>
  </sheetViews>
  <sheetFormatPr baseColWidth="10" defaultRowHeight="15"/>
  <cols>
    <col min="3" max="3"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590</v>
      </c>
      <c r="B7" s="62"/>
      <c r="C7" s="61"/>
      <c r="D7" s="16"/>
      <c r="E7" s="62"/>
      <c r="F7" s="16"/>
      <c r="G7" s="62" t="s">
        <v>591</v>
      </c>
      <c r="H7" s="61"/>
    </row>
    <row r="8" spans="1:8">
      <c r="A8" s="60" t="s">
        <v>578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0" t="s">
        <v>486</v>
      </c>
      <c r="E11" s="65" t="s">
        <v>487</v>
      </c>
      <c r="F11" s="170" t="s">
        <v>488</v>
      </c>
      <c r="G11" s="169" t="s">
        <v>489</v>
      </c>
      <c r="H11" s="67"/>
    </row>
    <row r="12" spans="1:8">
      <c r="A12" s="1463" t="s">
        <v>1327</v>
      </c>
      <c r="B12" s="1464"/>
      <c r="C12" s="1465"/>
      <c r="D12" s="68"/>
      <c r="E12" s="86"/>
      <c r="F12" s="161"/>
      <c r="G12" s="71">
        <f>H38*10%</f>
        <v>3380.5347346606832</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3380.5347346606832</v>
      </c>
    </row>
    <row r="19" spans="1:8" ht="15.75" thickBot="1">
      <c r="A19" s="63" t="s">
        <v>492</v>
      </c>
      <c r="B19" s="63"/>
      <c r="C19" s="61"/>
      <c r="D19" s="61"/>
      <c r="E19" s="61"/>
      <c r="F19" s="61"/>
      <c r="G19" s="61"/>
      <c r="H19" s="61"/>
    </row>
    <row r="20" spans="1:8">
      <c r="A20" s="1472" t="s">
        <v>485</v>
      </c>
      <c r="B20" s="1473"/>
      <c r="C20" s="1474"/>
      <c r="D20" s="172" t="s">
        <v>493</v>
      </c>
      <c r="E20" s="172" t="s">
        <v>494</v>
      </c>
      <c r="F20" s="172" t="s">
        <v>495</v>
      </c>
      <c r="G20" s="171"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0" t="s">
        <v>499</v>
      </c>
      <c r="E27" s="170" t="s">
        <v>500</v>
      </c>
      <c r="F27" s="170"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0" t="s">
        <v>504</v>
      </c>
      <c r="D33" s="170" t="s">
        <v>505</v>
      </c>
      <c r="E33" s="124" t="s">
        <v>506</v>
      </c>
      <c r="F33" s="102" t="s">
        <v>488</v>
      </c>
      <c r="G33" s="169" t="s">
        <v>489</v>
      </c>
      <c r="H33" s="67"/>
    </row>
    <row r="34" spans="1:8">
      <c r="A34" s="83" t="s">
        <v>554</v>
      </c>
      <c r="B34" s="84"/>
      <c r="C34" s="103">
        <f>+SALARIOS!C49*2</f>
        <v>51144</v>
      </c>
      <c r="D34" s="104">
        <f>+SALARIOS!C48</f>
        <v>1.7846558312967005</v>
      </c>
      <c r="E34" s="69">
        <f>C34*D34</f>
        <v>91274.437835838442</v>
      </c>
      <c r="F34" s="69">
        <v>2.7</v>
      </c>
      <c r="G34" s="105">
        <f>E34/F34</f>
        <v>33805.347346606832</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33805.347346606832</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37185.882081267511</v>
      </c>
    </row>
    <row r="41" spans="1:8" ht="15.75" thickBot="1">
      <c r="A41" s="63" t="s">
        <v>509</v>
      </c>
      <c r="B41" s="63"/>
      <c r="C41" s="61"/>
      <c r="D41" s="61"/>
      <c r="E41" s="61"/>
      <c r="F41" s="61"/>
      <c r="G41" s="61"/>
      <c r="H41" s="61"/>
    </row>
    <row r="42" spans="1:8">
      <c r="A42" s="110" t="s">
        <v>485</v>
      </c>
      <c r="B42" s="111"/>
      <c r="C42" s="111"/>
      <c r="D42" s="111"/>
      <c r="E42" s="112"/>
      <c r="F42" s="172" t="s">
        <v>510</v>
      </c>
      <c r="G42" s="171" t="s">
        <v>511</v>
      </c>
      <c r="H42" s="67"/>
    </row>
    <row r="43" spans="1:8">
      <c r="A43" s="83" t="s">
        <v>512</v>
      </c>
      <c r="B43" s="84"/>
      <c r="C43" s="84"/>
      <c r="D43" s="84"/>
      <c r="E43" s="85"/>
      <c r="F43" s="115">
        <f>(SALARIOS!C45)</f>
        <v>0.15</v>
      </c>
      <c r="G43" s="116">
        <f>++F43*H40</f>
        <v>5577.8823121901269</v>
      </c>
      <c r="H43" s="117"/>
    </row>
    <row r="44" spans="1:8">
      <c r="A44" s="83" t="s">
        <v>513</v>
      </c>
      <c r="B44" s="84"/>
      <c r="C44" s="84"/>
      <c r="D44" s="84"/>
      <c r="E44" s="85"/>
      <c r="F44" s="115">
        <f>(SALARIOS!C46)</f>
        <v>0.05</v>
      </c>
      <c r="G44" s="116">
        <f>+F44*H40</f>
        <v>1859.2941040633757</v>
      </c>
      <c r="H44" s="117"/>
    </row>
    <row r="45" spans="1:8" ht="15.75" thickBot="1">
      <c r="A45" s="89" t="s">
        <v>514</v>
      </c>
      <c r="B45" s="90"/>
      <c r="C45" s="90"/>
      <c r="D45" s="90"/>
      <c r="E45" s="91"/>
      <c r="F45" s="118">
        <f>SALARIOS!C47</f>
        <v>0.05</v>
      </c>
      <c r="G45" s="119">
        <f>+F45*H40</f>
        <v>1859.2941040633757</v>
      </c>
      <c r="H45" s="80"/>
    </row>
    <row r="46" spans="1:8" ht="15.75" thickBot="1">
      <c r="A46" s="61"/>
      <c r="B46" s="61"/>
      <c r="C46" s="61"/>
      <c r="D46" s="61"/>
      <c r="E46" s="61"/>
      <c r="F46" s="61"/>
      <c r="G46" s="81" t="s">
        <v>491</v>
      </c>
      <c r="H46" s="120">
        <f>SUM(G43:G45)</f>
        <v>9296.4705203168778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46482</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pageSetup paperSize="9" scale="90"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1315</v>
      </c>
      <c r="H7" s="61"/>
    </row>
    <row r="8" spans="1:8">
      <c r="A8" s="60" t="s">
        <v>1264</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4847.1252378018389</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4847.1252378018389</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1759</v>
      </c>
      <c r="B20" s="84"/>
      <c r="C20" s="85"/>
      <c r="D20" s="141" t="s">
        <v>1</v>
      </c>
      <c r="E20" s="139">
        <f>+MATERIALES!D263</f>
        <v>238745.78666666662</v>
      </c>
      <c r="F20" s="163">
        <v>1</v>
      </c>
      <c r="G20" s="137">
        <f>+E20*F20</f>
        <v>238745.78666666662</v>
      </c>
      <c r="H20" s="59"/>
    </row>
    <row r="21" spans="1:8">
      <c r="A21" s="83" t="s">
        <v>1738</v>
      </c>
      <c r="B21" s="84"/>
      <c r="C21" s="85"/>
      <c r="D21" s="141" t="s">
        <v>1742</v>
      </c>
      <c r="E21" s="139">
        <f>G20*5%</f>
        <v>11937.289333333332</v>
      </c>
      <c r="F21" s="163">
        <v>1</v>
      </c>
      <c r="G21" s="685">
        <f>E21*F21</f>
        <v>11937.289333333332</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251133.38181333328</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5.3</v>
      </c>
      <c r="G33" s="105">
        <f>+E33/F33</f>
        <v>14028.068289022744</v>
      </c>
      <c r="H33" s="72"/>
    </row>
    <row r="34" spans="1:8">
      <c r="A34" s="83" t="s">
        <v>629</v>
      </c>
      <c r="B34" s="84"/>
      <c r="C34" s="103">
        <f>+SALARIOS!C49*4</f>
        <v>102288</v>
      </c>
      <c r="D34" s="334">
        <f>+SALARIOS!C48</f>
        <v>1.7846558312967005</v>
      </c>
      <c r="E34" s="69">
        <f>+C34*D34</f>
        <v>182548.87567167688</v>
      </c>
      <c r="F34" s="69">
        <v>5.3</v>
      </c>
      <c r="G34" s="105">
        <f>+E34/F34</f>
        <v>34443.184088995637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48471.252378018384</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304451.75942915352</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45667.763914373027</v>
      </c>
      <c r="H42" s="117"/>
    </row>
    <row r="43" spans="1:8">
      <c r="A43" s="83" t="s">
        <v>513</v>
      </c>
      <c r="B43" s="84"/>
      <c r="C43" s="84"/>
      <c r="D43" s="84"/>
      <c r="E43" s="85"/>
      <c r="F43" s="115">
        <v>0.05</v>
      </c>
      <c r="G43" s="116">
        <f>+F43*H39</f>
        <v>15222.587971457677</v>
      </c>
      <c r="H43" s="117"/>
    </row>
    <row r="44" spans="1:8" ht="15.75" thickBot="1">
      <c r="A44" s="89" t="s">
        <v>514</v>
      </c>
      <c r="B44" s="90"/>
      <c r="C44" s="90"/>
      <c r="D44" s="90"/>
      <c r="E44" s="91"/>
      <c r="F44" s="118">
        <v>0.05</v>
      </c>
      <c r="G44" s="119">
        <f>+F44*H39</f>
        <v>15222.587971457677</v>
      </c>
      <c r="H44" s="80"/>
    </row>
    <row r="45" spans="1:8" ht="15.75" thickBot="1">
      <c r="A45" s="61"/>
      <c r="B45" s="61"/>
      <c r="C45" s="61"/>
      <c r="D45" s="61"/>
      <c r="E45" s="61"/>
      <c r="F45" s="61"/>
      <c r="G45" s="81" t="s">
        <v>491</v>
      </c>
      <c r="H45" s="120">
        <f>SUM(G42:G44)</f>
        <v>76112.93985728838</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380565</v>
      </c>
    </row>
  </sheetData>
  <mergeCells count="1">
    <mergeCell ref="A3:C4"/>
  </mergeCells>
  <pageMargins left="0.7" right="0.7" top="0.75" bottom="0.75" header="0.3" footer="0.3"/>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1316</v>
      </c>
      <c r="H7" s="61"/>
    </row>
    <row r="8" spans="1:8">
      <c r="A8" s="60" t="s">
        <v>1266</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4587.4578143481694</v>
      </c>
      <c r="H12" s="72"/>
    </row>
    <row r="13" spans="1:8">
      <c r="A13" s="388"/>
      <c r="B13" s="389"/>
      <c r="C13" s="390"/>
      <c r="D13" s="73"/>
      <c r="E13" s="74"/>
      <c r="F13" s="69"/>
      <c r="G13" s="71"/>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4587.4578143481694</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1760</v>
      </c>
      <c r="B20" s="84"/>
      <c r="C20" s="85"/>
      <c r="D20" s="141" t="s">
        <v>1</v>
      </c>
      <c r="E20" s="139">
        <f>+MATERIALES!D264</f>
        <v>297060.05</v>
      </c>
      <c r="F20" s="163">
        <v>1</v>
      </c>
      <c r="G20" s="137">
        <f>+E20*F20</f>
        <v>297060.05</v>
      </c>
      <c r="H20" s="59"/>
    </row>
    <row r="21" spans="1:8">
      <c r="A21" s="83" t="s">
        <v>1738</v>
      </c>
      <c r="B21" s="84"/>
      <c r="C21" s="85"/>
      <c r="D21" s="141" t="s">
        <v>1742</v>
      </c>
      <c r="E21" s="139">
        <f>G20*5%</f>
        <v>14853.002500000001</v>
      </c>
      <c r="F21" s="163">
        <v>1</v>
      </c>
      <c r="G21" s="685">
        <f>E21*F21</f>
        <v>14853.002500000001</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312363.3583133333</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5.6</v>
      </c>
      <c r="G33" s="105">
        <f>+E33/F33</f>
        <v>13276.56463068224</v>
      </c>
      <c r="H33" s="72"/>
    </row>
    <row r="34" spans="1:8">
      <c r="A34" s="83" t="s">
        <v>629</v>
      </c>
      <c r="B34" s="84"/>
      <c r="C34" s="103">
        <f>+SALARIOS!C49*4</f>
        <v>102288</v>
      </c>
      <c r="D34" s="334">
        <f>+SALARIOS!C48</f>
        <v>1.7846558312967005</v>
      </c>
      <c r="E34" s="69">
        <f>+C34*D34</f>
        <v>182548.87567167688</v>
      </c>
      <c r="F34" s="69">
        <v>5.6</v>
      </c>
      <c r="G34" s="105">
        <f>+E34/F34</f>
        <v>32598.013512799447</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45874.578143481689</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362825.39427116315</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54423.809140674472</v>
      </c>
      <c r="H42" s="117"/>
    </row>
    <row r="43" spans="1:8">
      <c r="A43" s="83" t="s">
        <v>513</v>
      </c>
      <c r="B43" s="84"/>
      <c r="C43" s="84"/>
      <c r="D43" s="84"/>
      <c r="E43" s="85"/>
      <c r="F43" s="115">
        <v>0.05</v>
      </c>
      <c r="G43" s="116">
        <f>+F43*H39</f>
        <v>18141.269713558158</v>
      </c>
      <c r="H43" s="117"/>
    </row>
    <row r="44" spans="1:8" ht="15.75" thickBot="1">
      <c r="A44" s="89" t="s">
        <v>514</v>
      </c>
      <c r="B44" s="90"/>
      <c r="C44" s="90"/>
      <c r="D44" s="90"/>
      <c r="E44" s="91"/>
      <c r="F44" s="118">
        <v>0.05</v>
      </c>
      <c r="G44" s="119">
        <f>+F44*H39</f>
        <v>18141.269713558158</v>
      </c>
      <c r="H44" s="80"/>
    </row>
    <row r="45" spans="1:8" ht="15.75" thickBot="1">
      <c r="A45" s="61"/>
      <c r="B45" s="61"/>
      <c r="C45" s="61"/>
      <c r="D45" s="61"/>
      <c r="E45" s="61"/>
      <c r="F45" s="61"/>
      <c r="G45" s="81" t="s">
        <v>491</v>
      </c>
      <c r="H45" s="120">
        <f>SUM(G42:G44)</f>
        <v>90706.348567790788</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453532</v>
      </c>
    </row>
  </sheetData>
  <mergeCells count="1">
    <mergeCell ref="A3:C4"/>
  </mergeCells>
  <pageMargins left="0.7" right="0.7" top="0.75" bottom="0.75" header="0.3" footer="0.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1317</v>
      </c>
      <c r="H7" s="61"/>
    </row>
    <row r="8" spans="1:8">
      <c r="A8" s="60" t="s">
        <v>1268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4014.0255875546472</v>
      </c>
      <c r="H12" s="72"/>
    </row>
    <row r="13" spans="1:8">
      <c r="A13" s="746" t="s">
        <v>1923</v>
      </c>
      <c r="B13" s="176"/>
      <c r="C13" s="174"/>
      <c r="D13" s="174" t="s">
        <v>6</v>
      </c>
      <c r="E13" s="173">
        <f>'EQUIPOS '!D28</f>
        <v>70000</v>
      </c>
      <c r="F13" s="69">
        <v>3.5</v>
      </c>
      <c r="G13" s="173">
        <f>E13/F13</f>
        <v>20000</v>
      </c>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24014.025587554646</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1761</v>
      </c>
      <c r="B20" s="84"/>
      <c r="C20" s="85"/>
      <c r="D20" s="141" t="s">
        <v>1</v>
      </c>
      <c r="E20" s="139">
        <f>+MATERIALES!D265</f>
        <v>394136.19666666666</v>
      </c>
      <c r="F20" s="163">
        <v>1</v>
      </c>
      <c r="G20" s="137">
        <f>+E20*F20</f>
        <v>394136.19666666666</v>
      </c>
      <c r="H20" s="59"/>
    </row>
    <row r="21" spans="1:8">
      <c r="A21" s="83" t="s">
        <v>1738</v>
      </c>
      <c r="B21" s="84"/>
      <c r="C21" s="85"/>
      <c r="D21" s="141" t="s">
        <v>1742</v>
      </c>
      <c r="E21" s="139">
        <f>G20*5%</f>
        <v>19706.809833333333</v>
      </c>
      <c r="F21" s="163">
        <v>1</v>
      </c>
      <c r="G21" s="685">
        <f>E21*F21</f>
        <v>19706.809833333333</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414293.31231333333</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6.4</v>
      </c>
      <c r="G33" s="105">
        <f>+E33/F33</f>
        <v>11616.994051846959</v>
      </c>
      <c r="H33" s="72"/>
    </row>
    <row r="34" spans="1:8">
      <c r="A34" s="83" t="s">
        <v>629</v>
      </c>
      <c r="B34" s="84"/>
      <c r="C34" s="103">
        <f>+SALARIOS!C49*4</f>
        <v>102288</v>
      </c>
      <c r="D34" s="334">
        <f>+SALARIOS!C48</f>
        <v>1.7846558312967005</v>
      </c>
      <c r="E34" s="69">
        <f>+C34*D34</f>
        <v>182548.87567167688</v>
      </c>
      <c r="F34" s="69">
        <v>6.4</v>
      </c>
      <c r="G34" s="105">
        <f>+E34/F34</f>
        <v>28523.261823699511</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40140.255875546471</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478447.59377643449</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71767.13906646517</v>
      </c>
      <c r="H42" s="117"/>
    </row>
    <row r="43" spans="1:8">
      <c r="A43" s="83" t="s">
        <v>513</v>
      </c>
      <c r="B43" s="84"/>
      <c r="C43" s="84"/>
      <c r="D43" s="84"/>
      <c r="E43" s="85"/>
      <c r="F43" s="115">
        <v>0.05</v>
      </c>
      <c r="G43" s="116">
        <f>+F43*H39</f>
        <v>23922.379688821726</v>
      </c>
      <c r="H43" s="117"/>
    </row>
    <row r="44" spans="1:8" ht="15.75" thickBot="1">
      <c r="A44" s="89" t="s">
        <v>514</v>
      </c>
      <c r="B44" s="90"/>
      <c r="C44" s="90"/>
      <c r="D44" s="90"/>
      <c r="E44" s="91"/>
      <c r="F44" s="118">
        <v>0.05</v>
      </c>
      <c r="G44" s="119">
        <f>+F44*H39</f>
        <v>23922.379688821726</v>
      </c>
      <c r="H44" s="80"/>
    </row>
    <row r="45" spans="1:8" ht="15.75" thickBot="1">
      <c r="A45" s="61"/>
      <c r="B45" s="61"/>
      <c r="C45" s="61"/>
      <c r="D45" s="61"/>
      <c r="E45" s="61"/>
      <c r="F45" s="61"/>
      <c r="G45" s="81" t="s">
        <v>491</v>
      </c>
      <c r="H45" s="120">
        <f>SUM(G42:G44)</f>
        <v>119611.89844410864</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598059</v>
      </c>
    </row>
  </sheetData>
  <mergeCells count="1">
    <mergeCell ref="A3:C4"/>
  </mergeCells>
  <pageMargins left="0.7" right="0.7" top="0.75" bottom="0.75" header="0.3" footer="0.3"/>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workbookViewId="0">
      <selection activeCell="A23" sqref="A23:G2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1318</v>
      </c>
      <c r="H7" s="61"/>
    </row>
    <row r="8" spans="1:8">
      <c r="A8" s="60" t="s">
        <v>1271</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4670.8661382454075</v>
      </c>
      <c r="H12" s="72"/>
    </row>
    <row r="13" spans="1:8">
      <c r="A13" s="746" t="s">
        <v>1923</v>
      </c>
      <c r="B13" s="176"/>
      <c r="C13" s="174"/>
      <c r="D13" s="174" t="s">
        <v>6</v>
      </c>
      <c r="E13" s="173">
        <f>'EQUIPOS '!D28</f>
        <v>70000</v>
      </c>
      <c r="F13" s="69">
        <v>3.5</v>
      </c>
      <c r="G13" s="173">
        <f>E13/F13</f>
        <v>20000</v>
      </c>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24670.866138245408</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1762</v>
      </c>
      <c r="B20" s="84"/>
      <c r="C20" s="85"/>
      <c r="D20" s="141" t="s">
        <v>1</v>
      </c>
      <c r="E20" s="139">
        <f>+MATERIALES!D266</f>
        <v>505201.07333333325</v>
      </c>
      <c r="F20" s="163">
        <v>1</v>
      </c>
      <c r="G20" s="137">
        <f>+E20*F20</f>
        <v>505201.07333333325</v>
      </c>
      <c r="H20" s="59"/>
    </row>
    <row r="21" spans="1:8">
      <c r="A21" s="83" t="s">
        <v>1738</v>
      </c>
      <c r="B21" s="84"/>
      <c r="C21" s="85"/>
      <c r="D21" s="141" t="s">
        <v>1742</v>
      </c>
      <c r="E21" s="139">
        <f>G20*5%</f>
        <v>25260.053666666663</v>
      </c>
      <c r="F21" s="163">
        <v>1</v>
      </c>
      <c r="G21" s="685">
        <f>E21*F21</f>
        <v>25260.053666666663</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530911.43281333311</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5.5</v>
      </c>
      <c r="G33" s="105">
        <f>+E33/F33</f>
        <v>13517.956714876462</v>
      </c>
      <c r="H33" s="72"/>
    </row>
    <row r="34" spans="1:8">
      <c r="A34" s="83" t="s">
        <v>629</v>
      </c>
      <c r="B34" s="84"/>
      <c r="C34" s="103">
        <f>+SALARIOS!C49*4</f>
        <v>102288</v>
      </c>
      <c r="D34" s="334">
        <f>+SALARIOS!C48</f>
        <v>1.7846558312967005</v>
      </c>
      <c r="E34" s="69">
        <f>+C34*D34</f>
        <v>182548.87567167688</v>
      </c>
      <c r="F34" s="69">
        <v>5.5</v>
      </c>
      <c r="G34" s="105">
        <f>+E34/F34</f>
        <v>33190.704667577615</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46708.661382454076</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602290.96033403266</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90343.644050104893</v>
      </c>
      <c r="H42" s="117"/>
    </row>
    <row r="43" spans="1:8">
      <c r="A43" s="83" t="s">
        <v>513</v>
      </c>
      <c r="B43" s="84"/>
      <c r="C43" s="84"/>
      <c r="D43" s="84"/>
      <c r="E43" s="85"/>
      <c r="F43" s="115">
        <v>0.05</v>
      </c>
      <c r="G43" s="116">
        <f>+F43*H39</f>
        <v>30114.548016701636</v>
      </c>
      <c r="H43" s="117"/>
    </row>
    <row r="44" spans="1:8" ht="15.75" thickBot="1">
      <c r="A44" s="89" t="s">
        <v>514</v>
      </c>
      <c r="B44" s="90"/>
      <c r="C44" s="90"/>
      <c r="D44" s="90"/>
      <c r="E44" s="91"/>
      <c r="F44" s="118">
        <v>0.05</v>
      </c>
      <c r="G44" s="119">
        <f>+F44*H39</f>
        <v>30114.548016701636</v>
      </c>
      <c r="H44" s="80"/>
    </row>
    <row r="45" spans="1:8" ht="15.75" thickBot="1">
      <c r="A45" s="61"/>
      <c r="B45" s="61"/>
      <c r="C45" s="61"/>
      <c r="D45" s="61"/>
      <c r="E45" s="61"/>
      <c r="F45" s="61"/>
      <c r="G45" s="81" t="s">
        <v>491</v>
      </c>
      <c r="H45" s="120">
        <f>SUM(G42:G44)</f>
        <v>150572.74008350816</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752864</v>
      </c>
    </row>
  </sheetData>
  <mergeCells count="1">
    <mergeCell ref="A3:C4"/>
  </mergeCells>
  <pageMargins left="0.7" right="0.7" top="0.75" bottom="0.75" header="0.3" footer="0.3"/>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2:H47"/>
  <sheetViews>
    <sheetView topLeftCell="A25" workbookViewId="0">
      <selection activeCell="E21" sqref="E21"/>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379" t="s">
        <v>520</v>
      </c>
      <c r="B5" s="380"/>
      <c r="C5" s="381"/>
      <c r="D5" s="385"/>
      <c r="E5" s="386"/>
      <c r="F5" s="386"/>
      <c r="G5" s="386"/>
      <c r="H5" s="387"/>
    </row>
    <row r="6" spans="1:8">
      <c r="A6" s="60"/>
      <c r="B6" s="61"/>
      <c r="C6" s="61"/>
      <c r="D6" s="61"/>
      <c r="E6" s="61"/>
      <c r="F6" s="61"/>
      <c r="G6" s="61"/>
      <c r="H6" s="61"/>
    </row>
    <row r="7" spans="1:8">
      <c r="A7" s="60" t="s">
        <v>1752</v>
      </c>
      <c r="B7" s="62"/>
      <c r="C7" s="61"/>
      <c r="D7" s="16"/>
      <c r="E7" s="62"/>
      <c r="F7" s="16"/>
      <c r="G7" s="62" t="s">
        <v>1319</v>
      </c>
      <c r="H7" s="61"/>
    </row>
    <row r="8" spans="1:8">
      <c r="A8" s="60" t="s">
        <v>1273</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382" t="s">
        <v>485</v>
      </c>
      <c r="B11" s="383"/>
      <c r="C11" s="384"/>
      <c r="D11" s="384" t="s">
        <v>486</v>
      </c>
      <c r="E11" s="65" t="s">
        <v>487</v>
      </c>
      <c r="F11" s="384" t="s">
        <v>488</v>
      </c>
      <c r="G11" s="383" t="s">
        <v>489</v>
      </c>
      <c r="H11" s="67"/>
    </row>
    <row r="12" spans="1:8">
      <c r="A12" s="175" t="s">
        <v>1327</v>
      </c>
      <c r="B12" s="176"/>
      <c r="C12" s="174"/>
      <c r="D12" s="174"/>
      <c r="E12" s="173"/>
      <c r="F12" s="69"/>
      <c r="G12" s="173">
        <f>H37*10%</f>
        <v>5708.8363911888318</v>
      </c>
      <c r="H12" s="72"/>
    </row>
    <row r="13" spans="1:8">
      <c r="A13" s="746" t="s">
        <v>1923</v>
      </c>
      <c r="B13" s="176"/>
      <c r="C13" s="174"/>
      <c r="D13" s="174" t="s">
        <v>6</v>
      </c>
      <c r="E13" s="173">
        <f>'EQUIPOS '!D28</f>
        <v>70000</v>
      </c>
      <c r="F13" s="69">
        <v>3.5</v>
      </c>
      <c r="G13" s="173">
        <f>E13/F13</f>
        <v>20000</v>
      </c>
      <c r="H13" s="72"/>
    </row>
    <row r="14" spans="1:8">
      <c r="A14" s="388"/>
      <c r="B14" s="389"/>
      <c r="C14" s="390"/>
      <c r="D14" s="73"/>
      <c r="E14" s="74"/>
      <c r="F14" s="69"/>
      <c r="G14" s="71"/>
      <c r="H14" s="72"/>
    </row>
    <row r="15" spans="1:8">
      <c r="A15" s="388"/>
      <c r="B15" s="389"/>
      <c r="C15" s="390"/>
      <c r="D15" s="73"/>
      <c r="E15" s="74"/>
      <c r="F15" s="69"/>
      <c r="G15" s="71"/>
      <c r="H15" s="72"/>
    </row>
    <row r="16" spans="1:8" ht="15.75" thickBot="1">
      <c r="A16" s="391"/>
      <c r="B16" s="392"/>
      <c r="C16" s="393"/>
      <c r="D16" s="76"/>
      <c r="E16" s="77"/>
      <c r="F16" s="78"/>
      <c r="G16" s="79"/>
      <c r="H16" s="80"/>
    </row>
    <row r="17" spans="1:8" ht="15.75" thickBot="1">
      <c r="A17" s="61"/>
      <c r="B17" s="61"/>
      <c r="C17" s="61"/>
      <c r="D17" s="61"/>
      <c r="E17" s="61"/>
      <c r="F17" s="61"/>
      <c r="G17" s="81" t="s">
        <v>491</v>
      </c>
      <c r="H17" s="82">
        <f>SUM(G12:G16)</f>
        <v>25708.83639118883</v>
      </c>
    </row>
    <row r="18" spans="1:8" ht="15.75" thickBot="1">
      <c r="A18" s="63" t="s">
        <v>492</v>
      </c>
      <c r="B18" s="63"/>
      <c r="C18" s="61"/>
      <c r="D18" s="61"/>
      <c r="E18" s="61"/>
      <c r="F18" s="61"/>
      <c r="G18" s="61"/>
      <c r="H18" s="61"/>
    </row>
    <row r="19" spans="1:8">
      <c r="A19" s="394" t="s">
        <v>485</v>
      </c>
      <c r="B19" s="395"/>
      <c r="C19" s="396"/>
      <c r="D19" s="396" t="s">
        <v>493</v>
      </c>
      <c r="E19" s="396" t="s">
        <v>494</v>
      </c>
      <c r="F19" s="396" t="s">
        <v>495</v>
      </c>
      <c r="G19" s="395" t="s">
        <v>489</v>
      </c>
      <c r="H19" s="67"/>
    </row>
    <row r="20" spans="1:8">
      <c r="A20" s="127" t="s">
        <v>1763</v>
      </c>
      <c r="B20" s="84"/>
      <c r="C20" s="85"/>
      <c r="D20" s="141" t="s">
        <v>1</v>
      </c>
      <c r="E20" s="139">
        <f>+MATERIALES!D267</f>
        <v>650909.73666666658</v>
      </c>
      <c r="F20" s="163">
        <v>1</v>
      </c>
      <c r="G20" s="137">
        <f>+E20*F20</f>
        <v>650909.73666666658</v>
      </c>
      <c r="H20" s="59"/>
    </row>
    <row r="21" spans="1:8">
      <c r="A21" s="83" t="s">
        <v>1738</v>
      </c>
      <c r="B21" s="84"/>
      <c r="C21" s="85"/>
      <c r="D21" s="141" t="s">
        <v>1742</v>
      </c>
      <c r="E21" s="139">
        <f>G20*5%</f>
        <v>32545.486833333329</v>
      </c>
      <c r="F21" s="163">
        <v>1</v>
      </c>
      <c r="G21" s="685">
        <f>E21*F21</f>
        <v>32545.486833333329</v>
      </c>
      <c r="H21" s="59"/>
    </row>
    <row r="22" spans="1:8">
      <c r="A22" s="83" t="s">
        <v>1158</v>
      </c>
      <c r="B22" s="84"/>
      <c r="C22" s="85"/>
      <c r="D22" s="68" t="s">
        <v>61</v>
      </c>
      <c r="E22" s="86">
        <f>MATERIALES!D42</f>
        <v>24299.293333333335</v>
      </c>
      <c r="F22" s="70">
        <v>8.0000000000000002E-3</v>
      </c>
      <c r="G22" s="105">
        <f>+E22*F22</f>
        <v>194.39434666666668</v>
      </c>
      <c r="H22" s="59"/>
    </row>
    <row r="23" spans="1:8" ht="15.75" thickBot="1">
      <c r="A23" s="100" t="s">
        <v>1709</v>
      </c>
      <c r="B23" s="106"/>
      <c r="C23" s="101"/>
      <c r="D23" s="76" t="s">
        <v>61</v>
      </c>
      <c r="E23" s="820">
        <f>MATERIALES!D53</f>
        <v>31988.933333333331</v>
      </c>
      <c r="F23" s="520">
        <v>8.0000000000000002E-3</v>
      </c>
      <c r="G23" s="453">
        <f>+E23*F23</f>
        <v>255.91146666666666</v>
      </c>
      <c r="H23" s="80"/>
    </row>
    <row r="24" spans="1:8" ht="15.75" thickBot="1">
      <c r="A24" s="61"/>
      <c r="B24" s="61"/>
      <c r="C24" s="61"/>
      <c r="D24" s="61"/>
      <c r="E24" s="61"/>
      <c r="F24" s="61"/>
      <c r="G24" s="81" t="s">
        <v>491</v>
      </c>
      <c r="H24" s="82">
        <f>SUM(G20:G23)</f>
        <v>683905.5293133331</v>
      </c>
    </row>
    <row r="25" spans="1:8" ht="15.75" thickBot="1">
      <c r="A25" s="92" t="s">
        <v>496</v>
      </c>
      <c r="B25" s="92"/>
      <c r="C25" s="90"/>
      <c r="D25" s="61"/>
      <c r="E25" s="61"/>
      <c r="F25" s="61"/>
      <c r="G25" s="61"/>
      <c r="H25" s="61"/>
    </row>
    <row r="26" spans="1:8">
      <c r="A26" s="382" t="s">
        <v>497</v>
      </c>
      <c r="B26" s="384"/>
      <c r="C26" s="93" t="s">
        <v>498</v>
      </c>
      <c r="D26" s="384" t="s">
        <v>499</v>
      </c>
      <c r="E26" s="384" t="s">
        <v>500</v>
      </c>
      <c r="F26" s="384"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382" t="s">
        <v>503</v>
      </c>
      <c r="B32" s="384"/>
      <c r="C32" s="384" t="s">
        <v>504</v>
      </c>
      <c r="D32" s="384" t="s">
        <v>505</v>
      </c>
      <c r="E32" s="124" t="s">
        <v>506</v>
      </c>
      <c r="F32" s="102" t="s">
        <v>488</v>
      </c>
      <c r="G32" s="383" t="s">
        <v>489</v>
      </c>
      <c r="H32" s="67"/>
    </row>
    <row r="33" spans="1:8">
      <c r="A33" s="83" t="s">
        <v>624</v>
      </c>
      <c r="B33" s="84"/>
      <c r="C33" s="103">
        <f>+SALARIOS!C50</f>
        <v>41660</v>
      </c>
      <c r="D33" s="334">
        <f>+SALARIOS!C48</f>
        <v>1.7846558312967005</v>
      </c>
      <c r="E33" s="69">
        <f>+C33*D33</f>
        <v>74348.76193182054</v>
      </c>
      <c r="F33" s="69">
        <v>4.5</v>
      </c>
      <c r="G33" s="105">
        <f>+E33/F33</f>
        <v>16521.94709596012</v>
      </c>
      <c r="H33" s="72"/>
    </row>
    <row r="34" spans="1:8">
      <c r="A34" s="83" t="s">
        <v>629</v>
      </c>
      <c r="B34" s="84"/>
      <c r="C34" s="103">
        <f>+SALARIOS!C49*4</f>
        <v>102288</v>
      </c>
      <c r="D34" s="334">
        <f>+SALARIOS!C48</f>
        <v>1.7846558312967005</v>
      </c>
      <c r="E34" s="69">
        <f>+C34*D34</f>
        <v>182548.87567167688</v>
      </c>
      <c r="F34" s="69">
        <v>4.5</v>
      </c>
      <c r="G34" s="105">
        <f>+E34/F34</f>
        <v>40566.416815928198</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57088.363911888315</v>
      </c>
    </row>
    <row r="38" spans="1:8" ht="15.75" thickBot="1">
      <c r="A38" s="61"/>
      <c r="B38" s="61"/>
      <c r="C38" s="61"/>
      <c r="D38" s="61"/>
      <c r="E38" s="61"/>
      <c r="F38" s="61"/>
      <c r="G38" s="107"/>
      <c r="H38" s="58"/>
    </row>
    <row r="39" spans="1:8" ht="15.75" thickBot="1">
      <c r="A39" s="61"/>
      <c r="B39" s="61"/>
      <c r="C39" s="61"/>
      <c r="D39" s="61"/>
      <c r="E39" s="81" t="s">
        <v>508</v>
      </c>
      <c r="F39" s="107"/>
      <c r="G39" s="107"/>
      <c r="H39" s="82">
        <f>H17+H24+H30+H37</f>
        <v>766702.72961641022</v>
      </c>
    </row>
    <row r="40" spans="1:8" ht="15.75" thickBot="1">
      <c r="A40" s="63" t="s">
        <v>509</v>
      </c>
      <c r="B40" s="63"/>
      <c r="C40" s="61"/>
      <c r="D40" s="61"/>
      <c r="E40" s="61"/>
      <c r="F40" s="61"/>
      <c r="G40" s="61"/>
      <c r="H40" s="61"/>
    </row>
    <row r="41" spans="1:8">
      <c r="A41" s="233" t="s">
        <v>485</v>
      </c>
      <c r="B41" s="395"/>
      <c r="C41" s="395"/>
      <c r="D41" s="395"/>
      <c r="E41" s="396"/>
      <c r="F41" s="396" t="s">
        <v>510</v>
      </c>
      <c r="G41" s="395" t="s">
        <v>511</v>
      </c>
      <c r="H41" s="67"/>
    </row>
    <row r="42" spans="1:8">
      <c r="A42" s="83" t="s">
        <v>512</v>
      </c>
      <c r="B42" s="84"/>
      <c r="C42" s="84"/>
      <c r="D42" s="84"/>
      <c r="E42" s="85"/>
      <c r="F42" s="115">
        <v>0.15</v>
      </c>
      <c r="G42" s="116">
        <f>++F42*H39</f>
        <v>115005.40944246153</v>
      </c>
      <c r="H42" s="117"/>
    </row>
    <row r="43" spans="1:8">
      <c r="A43" s="83" t="s">
        <v>513</v>
      </c>
      <c r="B43" s="84"/>
      <c r="C43" s="84"/>
      <c r="D43" s="84"/>
      <c r="E43" s="85"/>
      <c r="F43" s="115">
        <v>0.05</v>
      </c>
      <c r="G43" s="116">
        <f>+F43*H39</f>
        <v>38335.136480820511</v>
      </c>
      <c r="H43" s="117"/>
    </row>
    <row r="44" spans="1:8" ht="15.75" thickBot="1">
      <c r="A44" s="89" t="s">
        <v>514</v>
      </c>
      <c r="B44" s="90"/>
      <c r="C44" s="90"/>
      <c r="D44" s="90"/>
      <c r="E44" s="91"/>
      <c r="F44" s="118">
        <v>0.05</v>
      </c>
      <c r="G44" s="119">
        <f>+F44*H39</f>
        <v>38335.136480820511</v>
      </c>
      <c r="H44" s="80"/>
    </row>
    <row r="45" spans="1:8" ht="15.75" thickBot="1">
      <c r="A45" s="61"/>
      <c r="B45" s="61"/>
      <c r="C45" s="61"/>
      <c r="D45" s="61"/>
      <c r="E45" s="61"/>
      <c r="F45" s="61"/>
      <c r="G45" s="81" t="s">
        <v>491</v>
      </c>
      <c r="H45" s="120">
        <f>SUM(G42:G44)</f>
        <v>191675.68240410255</v>
      </c>
    </row>
    <row r="46" spans="1:8" ht="15.75" thickBot="1">
      <c r="A46" s="61"/>
      <c r="B46" s="61"/>
      <c r="C46" s="61"/>
      <c r="D46" s="61"/>
      <c r="E46" s="61"/>
      <c r="F46" s="61"/>
      <c r="G46" s="61"/>
      <c r="H46" s="61"/>
    </row>
    <row r="47" spans="1:8" ht="15.75" thickBot="1">
      <c r="A47" s="16"/>
      <c r="B47" s="16"/>
      <c r="C47" s="61"/>
      <c r="D47" s="81" t="s">
        <v>515</v>
      </c>
      <c r="E47" s="107"/>
      <c r="F47" s="107"/>
      <c r="G47" s="107"/>
      <c r="H47" s="82">
        <f>ROUND((H39+H45),0)</f>
        <v>958378</v>
      </c>
    </row>
  </sheetData>
  <mergeCells count="1">
    <mergeCell ref="A3:C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25"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590</v>
      </c>
      <c r="B7" s="62"/>
      <c r="C7" s="61"/>
      <c r="D7" s="16"/>
      <c r="E7" s="62"/>
      <c r="F7" s="16"/>
      <c r="G7" s="62" t="s">
        <v>592</v>
      </c>
      <c r="H7" s="61"/>
    </row>
    <row r="8" spans="1:8">
      <c r="A8" s="60" t="s">
        <v>579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1487</v>
      </c>
      <c r="B12" s="1481"/>
      <c r="C12" s="1482"/>
      <c r="D12" s="68"/>
      <c r="E12" s="86"/>
      <c r="F12" s="161"/>
      <c r="G12" s="71">
        <f>H38*10%</f>
        <v>3650.9775134335378</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3650.9775134335378</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t="s">
        <v>554</v>
      </c>
      <c r="B34" s="84"/>
      <c r="C34" s="103">
        <f>+SALARIOS!C49*2</f>
        <v>51144</v>
      </c>
      <c r="D34" s="104">
        <f>+SALARIOS!C48</f>
        <v>1.7846558312967005</v>
      </c>
      <c r="E34" s="69">
        <f>C34*D34</f>
        <v>91274.437835838442</v>
      </c>
      <c r="F34" s="69">
        <v>2.5</v>
      </c>
      <c r="G34" s="105">
        <f>E34/F34</f>
        <v>36509.775134335374</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36509.775134335374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40160.75264776891</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6024.1128971653361</v>
      </c>
      <c r="H43" s="117"/>
    </row>
    <row r="44" spans="1:8">
      <c r="A44" s="83" t="s">
        <v>513</v>
      </c>
      <c r="B44" s="84"/>
      <c r="C44" s="84"/>
      <c r="D44" s="84"/>
      <c r="E44" s="85"/>
      <c r="F44" s="115">
        <f>(SALARIOS!C46)</f>
        <v>0.05</v>
      </c>
      <c r="G44" s="116">
        <f>+F44*H40</f>
        <v>2008.0376323884457</v>
      </c>
      <c r="H44" s="117"/>
    </row>
    <row r="45" spans="1:8" ht="15.75" thickBot="1">
      <c r="A45" s="89" t="s">
        <v>514</v>
      </c>
      <c r="B45" s="90"/>
      <c r="C45" s="90"/>
      <c r="D45" s="90"/>
      <c r="E45" s="91"/>
      <c r="F45" s="118">
        <f>SALARIOS!C47</f>
        <v>0.05</v>
      </c>
      <c r="G45" s="119">
        <f>+F45*H40</f>
        <v>2008.0376323884457</v>
      </c>
      <c r="H45" s="80"/>
    </row>
    <row r="46" spans="1:8" ht="15.75" thickBot="1">
      <c r="A46" s="61"/>
      <c r="B46" s="61"/>
      <c r="C46" s="61"/>
      <c r="D46" s="61"/>
      <c r="E46" s="61"/>
      <c r="F46" s="61"/>
      <c r="G46" s="81" t="s">
        <v>491</v>
      </c>
      <c r="H46" s="120">
        <f>SUM(G43:G45)</f>
        <v>10040.188161942227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50201</v>
      </c>
    </row>
  </sheetData>
  <mergeCells count="12">
    <mergeCell ref="A33:B33"/>
    <mergeCell ref="A14:C14"/>
    <mergeCell ref="A15:C15"/>
    <mergeCell ref="A16:C16"/>
    <mergeCell ref="A17:C17"/>
    <mergeCell ref="A20:C20"/>
    <mergeCell ref="A27:B27"/>
    <mergeCell ref="A11:C11"/>
    <mergeCell ref="A3:C4"/>
    <mergeCell ref="A5:C5"/>
    <mergeCell ref="D5:H5"/>
    <mergeCell ref="A12:C1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L48"/>
  <sheetViews>
    <sheetView topLeftCell="A22" workbookViewId="0">
      <selection activeCell="L34" sqref="L34"/>
    </sheetView>
  </sheetViews>
  <sheetFormatPr baseColWidth="10" defaultRowHeight="15"/>
  <cols>
    <col min="5" max="5" width="11.42578125" customWidth="1"/>
    <col min="11" max="11"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590</v>
      </c>
      <c r="B7" s="62"/>
      <c r="C7" s="61"/>
      <c r="D7" s="16"/>
      <c r="E7" s="62"/>
      <c r="F7" s="16"/>
      <c r="G7" s="62" t="s">
        <v>593</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1487</v>
      </c>
      <c r="B12" s="1481"/>
      <c r="C12" s="1482"/>
      <c r="D12" s="68"/>
      <c r="E12" s="86"/>
      <c r="F12" s="161"/>
      <c r="G12" s="71">
        <f>H38*10%</f>
        <v>6519.6027025598896</v>
      </c>
      <c r="H12" s="72"/>
    </row>
    <row r="13" spans="1:8">
      <c r="A13" s="175" t="s">
        <v>63</v>
      </c>
      <c r="B13" s="176"/>
      <c r="C13" s="174"/>
      <c r="D13" s="174" t="s">
        <v>17</v>
      </c>
      <c r="E13" s="173">
        <f>+'EQUIPOS '!D9</f>
        <v>84100</v>
      </c>
      <c r="F13" s="173">
        <v>15.49</v>
      </c>
      <c r="G13" s="173">
        <f>+E13/F13</f>
        <v>5429.3092317624269</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11948.911934322317</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12">
      <c r="A33" s="1454" t="s">
        <v>503</v>
      </c>
      <c r="B33" s="1456"/>
      <c r="C33" s="178" t="s">
        <v>504</v>
      </c>
      <c r="D33" s="178" t="s">
        <v>505</v>
      </c>
      <c r="E33" s="124" t="s">
        <v>506</v>
      </c>
      <c r="F33" s="102" t="s">
        <v>488</v>
      </c>
      <c r="G33" s="177" t="s">
        <v>489</v>
      </c>
      <c r="H33" s="67"/>
    </row>
    <row r="34" spans="1:12">
      <c r="A34" s="83" t="s">
        <v>564</v>
      </c>
      <c r="B34" s="84"/>
      <c r="C34" s="103">
        <f>+SALARIOS!C49*3</f>
        <v>76716</v>
      </c>
      <c r="D34" s="104">
        <f>+SALARIOS!C48</f>
        <v>1.7846558312967005</v>
      </c>
      <c r="E34" s="69">
        <f>C34*D34</f>
        <v>136911.65675375768</v>
      </c>
      <c r="F34" s="69">
        <v>2.1</v>
      </c>
      <c r="G34" s="105">
        <f>E34/F34</f>
        <v>65196.027025598894</v>
      </c>
      <c r="H34" s="72"/>
    </row>
    <row r="35" spans="1:12">
      <c r="A35" s="83"/>
      <c r="B35" s="84"/>
      <c r="C35" s="103"/>
      <c r="D35" s="104"/>
      <c r="E35" s="69"/>
      <c r="F35" s="69"/>
      <c r="G35" s="105"/>
      <c r="H35" s="72"/>
    </row>
    <row r="36" spans="1:12">
      <c r="A36" s="83"/>
      <c r="B36" s="84"/>
      <c r="C36" s="103"/>
      <c r="D36" s="104"/>
      <c r="E36" s="69"/>
      <c r="F36" s="69"/>
      <c r="G36" s="105"/>
      <c r="H36" s="72"/>
      <c r="K36" s="33"/>
    </row>
    <row r="37" spans="1:12" ht="15.75" thickBot="1">
      <c r="A37" s="100"/>
      <c r="B37" s="106"/>
      <c r="C37" s="77"/>
      <c r="D37" s="91"/>
      <c r="E37" s="143"/>
      <c r="F37" s="91"/>
      <c r="G37" s="90"/>
      <c r="H37" s="80"/>
    </row>
    <row r="38" spans="1:12" ht="15.75" thickBot="1">
      <c r="A38" s="61"/>
      <c r="B38" s="61"/>
      <c r="C38" s="61"/>
      <c r="D38" s="61"/>
      <c r="E38" s="61"/>
      <c r="F38" s="61"/>
      <c r="G38" s="81" t="s">
        <v>491</v>
      </c>
      <c r="H38" s="82">
        <f>SUM(G34:G37)</f>
        <v>65196.027025598894</v>
      </c>
      <c r="L38" s="26"/>
    </row>
    <row r="39" spans="1:12" ht="15.75" thickBot="1">
      <c r="A39" s="61"/>
      <c r="B39" s="61"/>
      <c r="C39" s="61"/>
      <c r="D39" s="61"/>
      <c r="E39" s="61"/>
      <c r="F39" s="61"/>
      <c r="G39" s="107"/>
      <c r="H39" s="58"/>
    </row>
    <row r="40" spans="1:12" ht="15.75" thickBot="1">
      <c r="A40" s="61"/>
      <c r="B40" s="61"/>
      <c r="C40" s="61"/>
      <c r="D40" s="61"/>
      <c r="E40" s="108" t="s">
        <v>508</v>
      </c>
      <c r="F40" s="109"/>
      <c r="G40" s="109"/>
      <c r="H40" s="82">
        <f>H18+H25+H31+H38</f>
        <v>77144.938959921215</v>
      </c>
    </row>
    <row r="41" spans="1:12" ht="15.75" thickBot="1">
      <c r="A41" s="63" t="s">
        <v>509</v>
      </c>
      <c r="B41" s="63"/>
      <c r="C41" s="61"/>
      <c r="D41" s="61"/>
      <c r="E41" s="61"/>
      <c r="F41" s="61"/>
      <c r="G41" s="61"/>
      <c r="H41" s="61"/>
    </row>
    <row r="42" spans="1:12">
      <c r="A42" s="110" t="s">
        <v>485</v>
      </c>
      <c r="B42" s="111"/>
      <c r="C42" s="111"/>
      <c r="D42" s="111"/>
      <c r="E42" s="112"/>
      <c r="F42" s="180" t="s">
        <v>510</v>
      </c>
      <c r="G42" s="179" t="s">
        <v>511</v>
      </c>
      <c r="H42" s="67"/>
    </row>
    <row r="43" spans="1:12">
      <c r="A43" s="83" t="s">
        <v>512</v>
      </c>
      <c r="B43" s="84"/>
      <c r="C43" s="84"/>
      <c r="D43" s="84"/>
      <c r="E43" s="85"/>
      <c r="F43" s="115">
        <f>(SALARIOS!C45)</f>
        <v>0.15</v>
      </c>
      <c r="G43" s="116">
        <f>++F43*H40</f>
        <v>11571.740843988182</v>
      </c>
      <c r="H43" s="117"/>
    </row>
    <row r="44" spans="1:12">
      <c r="A44" s="83" t="s">
        <v>513</v>
      </c>
      <c r="B44" s="84"/>
      <c r="C44" s="84"/>
      <c r="D44" s="84"/>
      <c r="E44" s="85"/>
      <c r="F44" s="115">
        <f>(SALARIOS!C46)</f>
        <v>0.05</v>
      </c>
      <c r="G44" s="116">
        <f>+F44*H40</f>
        <v>3857.246947996061</v>
      </c>
      <c r="H44" s="117"/>
    </row>
    <row r="45" spans="1:12" ht="15.75" thickBot="1">
      <c r="A45" s="89" t="s">
        <v>514</v>
      </c>
      <c r="B45" s="90"/>
      <c r="C45" s="90"/>
      <c r="D45" s="90"/>
      <c r="E45" s="91"/>
      <c r="F45" s="118">
        <f>SALARIOS!C47</f>
        <v>0.05</v>
      </c>
      <c r="G45" s="119">
        <f>+F45*H40</f>
        <v>3857.246947996061</v>
      </c>
      <c r="H45" s="80"/>
    </row>
    <row r="46" spans="1:12" ht="15.75" thickBot="1">
      <c r="A46" s="61"/>
      <c r="B46" s="61"/>
      <c r="C46" s="61"/>
      <c r="D46" s="61"/>
      <c r="E46" s="61"/>
      <c r="F46" s="61"/>
      <c r="G46" s="81" t="s">
        <v>491</v>
      </c>
      <c r="H46" s="120">
        <f>SUM(G43:G45)</f>
        <v>19286.234739980304</v>
      </c>
    </row>
    <row r="47" spans="1:12" ht="15.75" thickBot="1">
      <c r="A47" s="61"/>
      <c r="B47" s="61"/>
      <c r="C47" s="61"/>
      <c r="D47" s="61"/>
      <c r="E47" s="61"/>
      <c r="F47" s="61"/>
      <c r="G47" s="61"/>
      <c r="H47" s="61"/>
    </row>
    <row r="48" spans="1:12" ht="15.75" thickBot="1">
      <c r="A48" s="16"/>
      <c r="B48" s="16"/>
      <c r="C48" s="61"/>
      <c r="D48" s="108" t="s">
        <v>515</v>
      </c>
      <c r="E48" s="109"/>
      <c r="F48" s="109"/>
      <c r="G48" s="109"/>
      <c r="H48" s="82">
        <f>ROUND((H40+H46),0)</f>
        <v>96431</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7"/>
  <sheetViews>
    <sheetView topLeftCell="A34" zoomScale="85" zoomScaleNormal="85" zoomScaleSheetLayoutView="70" workbookViewId="0">
      <selection activeCell="G102" sqref="G102"/>
    </sheetView>
  </sheetViews>
  <sheetFormatPr baseColWidth="10" defaultRowHeight="14.25"/>
  <cols>
    <col min="1" max="1" width="11.42578125" style="1215"/>
    <col min="2" max="2" width="27.7109375" style="1215" customWidth="1"/>
    <col min="3" max="3" width="12.85546875" style="1215" bestFit="1" customWidth="1"/>
    <col min="4" max="4" width="19.42578125" style="1215" bestFit="1" customWidth="1"/>
    <col min="5" max="5" width="16.140625" style="1215" bestFit="1" customWidth="1"/>
    <col min="6" max="6" width="16.7109375" style="1215" bestFit="1" customWidth="1"/>
    <col min="7" max="7" width="19.5703125" style="1215" customWidth="1"/>
    <col min="8" max="8" width="12.7109375" style="1215" bestFit="1" customWidth="1"/>
    <col min="9" max="257" width="11.42578125" style="1215"/>
    <col min="258" max="258" width="26.85546875" style="1215" customWidth="1"/>
    <col min="259" max="259" width="12.85546875" style="1215" bestFit="1" customWidth="1"/>
    <col min="260" max="260" width="19.42578125" style="1215" bestFit="1" customWidth="1"/>
    <col min="261" max="261" width="16.140625" style="1215" bestFit="1" customWidth="1"/>
    <col min="262" max="262" width="16.7109375" style="1215" bestFit="1" customWidth="1"/>
    <col min="263" max="263" width="19.5703125" style="1215" customWidth="1"/>
    <col min="264" max="264" width="12.7109375" style="1215" bestFit="1" customWidth="1"/>
    <col min="265" max="513" width="11.42578125" style="1215"/>
    <col min="514" max="514" width="26.85546875" style="1215" customWidth="1"/>
    <col min="515" max="515" width="12.85546875" style="1215" bestFit="1" customWidth="1"/>
    <col min="516" max="516" width="19.42578125" style="1215" bestFit="1" customWidth="1"/>
    <col min="517" max="517" width="16.140625" style="1215" bestFit="1" customWidth="1"/>
    <col min="518" max="518" width="16.7109375" style="1215" bestFit="1" customWidth="1"/>
    <col min="519" max="519" width="19.5703125" style="1215" customWidth="1"/>
    <col min="520" max="520" width="12.7109375" style="1215" bestFit="1" customWidth="1"/>
    <col min="521" max="769" width="11.42578125" style="1215"/>
    <col min="770" max="770" width="26.85546875" style="1215" customWidth="1"/>
    <col min="771" max="771" width="12.85546875" style="1215" bestFit="1" customWidth="1"/>
    <col min="772" max="772" width="19.42578125" style="1215" bestFit="1" customWidth="1"/>
    <col min="773" max="773" width="16.140625" style="1215" bestFit="1" customWidth="1"/>
    <col min="774" max="774" width="16.7109375" style="1215" bestFit="1" customWidth="1"/>
    <col min="775" max="775" width="19.5703125" style="1215" customWidth="1"/>
    <col min="776" max="776" width="12.7109375" style="1215" bestFit="1" customWidth="1"/>
    <col min="777" max="1025" width="11.42578125" style="1215"/>
    <col min="1026" max="1026" width="26.85546875" style="1215" customWidth="1"/>
    <col min="1027" max="1027" width="12.85546875" style="1215" bestFit="1" customWidth="1"/>
    <col min="1028" max="1028" width="19.42578125" style="1215" bestFit="1" customWidth="1"/>
    <col min="1029" max="1029" width="16.140625" style="1215" bestFit="1" customWidth="1"/>
    <col min="1030" max="1030" width="16.7109375" style="1215" bestFit="1" customWidth="1"/>
    <col min="1031" max="1031" width="19.5703125" style="1215" customWidth="1"/>
    <col min="1032" max="1032" width="12.7109375" style="1215" bestFit="1" customWidth="1"/>
    <col min="1033" max="1281" width="11.42578125" style="1215"/>
    <col min="1282" max="1282" width="26.85546875" style="1215" customWidth="1"/>
    <col min="1283" max="1283" width="12.85546875" style="1215" bestFit="1" customWidth="1"/>
    <col min="1284" max="1284" width="19.42578125" style="1215" bestFit="1" customWidth="1"/>
    <col min="1285" max="1285" width="16.140625" style="1215" bestFit="1" customWidth="1"/>
    <col min="1286" max="1286" width="16.7109375" style="1215" bestFit="1" customWidth="1"/>
    <col min="1287" max="1287" width="19.5703125" style="1215" customWidth="1"/>
    <col min="1288" max="1288" width="12.7109375" style="1215" bestFit="1" customWidth="1"/>
    <col min="1289" max="1537" width="11.42578125" style="1215"/>
    <col min="1538" max="1538" width="26.85546875" style="1215" customWidth="1"/>
    <col min="1539" max="1539" width="12.85546875" style="1215" bestFit="1" customWidth="1"/>
    <col min="1540" max="1540" width="19.42578125" style="1215" bestFit="1" customWidth="1"/>
    <col min="1541" max="1541" width="16.140625" style="1215" bestFit="1" customWidth="1"/>
    <col min="1542" max="1542" width="16.7109375" style="1215" bestFit="1" customWidth="1"/>
    <col min="1543" max="1543" width="19.5703125" style="1215" customWidth="1"/>
    <col min="1544" max="1544" width="12.7109375" style="1215" bestFit="1" customWidth="1"/>
    <col min="1545" max="1793" width="11.42578125" style="1215"/>
    <col min="1794" max="1794" width="26.85546875" style="1215" customWidth="1"/>
    <col min="1795" max="1795" width="12.85546875" style="1215" bestFit="1" customWidth="1"/>
    <col min="1796" max="1796" width="19.42578125" style="1215" bestFit="1" customWidth="1"/>
    <col min="1797" max="1797" width="16.140625" style="1215" bestFit="1" customWidth="1"/>
    <col min="1798" max="1798" width="16.7109375" style="1215" bestFit="1" customWidth="1"/>
    <col min="1799" max="1799" width="19.5703125" style="1215" customWidth="1"/>
    <col min="1800" max="1800" width="12.7109375" style="1215" bestFit="1" customWidth="1"/>
    <col min="1801" max="2049" width="11.42578125" style="1215"/>
    <col min="2050" max="2050" width="26.85546875" style="1215" customWidth="1"/>
    <col min="2051" max="2051" width="12.85546875" style="1215" bestFit="1" customWidth="1"/>
    <col min="2052" max="2052" width="19.42578125" style="1215" bestFit="1" customWidth="1"/>
    <col min="2053" max="2053" width="16.140625" style="1215" bestFit="1" customWidth="1"/>
    <col min="2054" max="2054" width="16.7109375" style="1215" bestFit="1" customWidth="1"/>
    <col min="2055" max="2055" width="19.5703125" style="1215" customWidth="1"/>
    <col min="2056" max="2056" width="12.7109375" style="1215" bestFit="1" customWidth="1"/>
    <col min="2057" max="2305" width="11.42578125" style="1215"/>
    <col min="2306" max="2306" width="26.85546875" style="1215" customWidth="1"/>
    <col min="2307" max="2307" width="12.85546875" style="1215" bestFit="1" customWidth="1"/>
    <col min="2308" max="2308" width="19.42578125" style="1215" bestFit="1" customWidth="1"/>
    <col min="2309" max="2309" width="16.140625" style="1215" bestFit="1" customWidth="1"/>
    <col min="2310" max="2310" width="16.7109375" style="1215" bestFit="1" customWidth="1"/>
    <col min="2311" max="2311" width="19.5703125" style="1215" customWidth="1"/>
    <col min="2312" max="2312" width="12.7109375" style="1215" bestFit="1" customWidth="1"/>
    <col min="2313" max="2561" width="11.42578125" style="1215"/>
    <col min="2562" max="2562" width="26.85546875" style="1215" customWidth="1"/>
    <col min="2563" max="2563" width="12.85546875" style="1215" bestFit="1" customWidth="1"/>
    <col min="2564" max="2564" width="19.42578125" style="1215" bestFit="1" customWidth="1"/>
    <col min="2565" max="2565" width="16.140625" style="1215" bestFit="1" customWidth="1"/>
    <col min="2566" max="2566" width="16.7109375" style="1215" bestFit="1" customWidth="1"/>
    <col min="2567" max="2567" width="19.5703125" style="1215" customWidth="1"/>
    <col min="2568" max="2568" width="12.7109375" style="1215" bestFit="1" customWidth="1"/>
    <col min="2569" max="2817" width="11.42578125" style="1215"/>
    <col min="2818" max="2818" width="26.85546875" style="1215" customWidth="1"/>
    <col min="2819" max="2819" width="12.85546875" style="1215" bestFit="1" customWidth="1"/>
    <col min="2820" max="2820" width="19.42578125" style="1215" bestFit="1" customWidth="1"/>
    <col min="2821" max="2821" width="16.140625" style="1215" bestFit="1" customWidth="1"/>
    <col min="2822" max="2822" width="16.7109375" style="1215" bestFit="1" customWidth="1"/>
    <col min="2823" max="2823" width="19.5703125" style="1215" customWidth="1"/>
    <col min="2824" max="2824" width="12.7109375" style="1215" bestFit="1" customWidth="1"/>
    <col min="2825" max="3073" width="11.42578125" style="1215"/>
    <col min="3074" max="3074" width="26.85546875" style="1215" customWidth="1"/>
    <col min="3075" max="3075" width="12.85546875" style="1215" bestFit="1" customWidth="1"/>
    <col min="3076" max="3076" width="19.42578125" style="1215" bestFit="1" customWidth="1"/>
    <col min="3077" max="3077" width="16.140625" style="1215" bestFit="1" customWidth="1"/>
    <col min="3078" max="3078" width="16.7109375" style="1215" bestFit="1" customWidth="1"/>
    <col min="3079" max="3079" width="19.5703125" style="1215" customWidth="1"/>
    <col min="3080" max="3080" width="12.7109375" style="1215" bestFit="1" customWidth="1"/>
    <col min="3081" max="3329" width="11.42578125" style="1215"/>
    <col min="3330" max="3330" width="26.85546875" style="1215" customWidth="1"/>
    <col min="3331" max="3331" width="12.85546875" style="1215" bestFit="1" customWidth="1"/>
    <col min="3332" max="3332" width="19.42578125" style="1215" bestFit="1" customWidth="1"/>
    <col min="3333" max="3333" width="16.140625" style="1215" bestFit="1" customWidth="1"/>
    <col min="3334" max="3334" width="16.7109375" style="1215" bestFit="1" customWidth="1"/>
    <col min="3335" max="3335" width="19.5703125" style="1215" customWidth="1"/>
    <col min="3336" max="3336" width="12.7109375" style="1215" bestFit="1" customWidth="1"/>
    <col min="3337" max="3585" width="11.42578125" style="1215"/>
    <col min="3586" max="3586" width="26.85546875" style="1215" customWidth="1"/>
    <col min="3587" max="3587" width="12.85546875" style="1215" bestFit="1" customWidth="1"/>
    <col min="3588" max="3588" width="19.42578125" style="1215" bestFit="1" customWidth="1"/>
    <col min="3589" max="3589" width="16.140625" style="1215" bestFit="1" customWidth="1"/>
    <col min="3590" max="3590" width="16.7109375" style="1215" bestFit="1" customWidth="1"/>
    <col min="3591" max="3591" width="19.5703125" style="1215" customWidth="1"/>
    <col min="3592" max="3592" width="12.7109375" style="1215" bestFit="1" customWidth="1"/>
    <col min="3593" max="3841" width="11.42578125" style="1215"/>
    <col min="3842" max="3842" width="26.85546875" style="1215" customWidth="1"/>
    <col min="3843" max="3843" width="12.85546875" style="1215" bestFit="1" customWidth="1"/>
    <col min="3844" max="3844" width="19.42578125" style="1215" bestFit="1" customWidth="1"/>
    <col min="3845" max="3845" width="16.140625" style="1215" bestFit="1" customWidth="1"/>
    <col min="3846" max="3846" width="16.7109375" style="1215" bestFit="1" customWidth="1"/>
    <col min="3847" max="3847" width="19.5703125" style="1215" customWidth="1"/>
    <col min="3848" max="3848" width="12.7109375" style="1215" bestFit="1" customWidth="1"/>
    <col min="3849" max="4097" width="11.42578125" style="1215"/>
    <col min="4098" max="4098" width="26.85546875" style="1215" customWidth="1"/>
    <col min="4099" max="4099" width="12.85546875" style="1215" bestFit="1" customWidth="1"/>
    <col min="4100" max="4100" width="19.42578125" style="1215" bestFit="1" customWidth="1"/>
    <col min="4101" max="4101" width="16.140625" style="1215" bestFit="1" customWidth="1"/>
    <col min="4102" max="4102" width="16.7109375" style="1215" bestFit="1" customWidth="1"/>
    <col min="4103" max="4103" width="19.5703125" style="1215" customWidth="1"/>
    <col min="4104" max="4104" width="12.7109375" style="1215" bestFit="1" customWidth="1"/>
    <col min="4105" max="4353" width="11.42578125" style="1215"/>
    <col min="4354" max="4354" width="26.85546875" style="1215" customWidth="1"/>
    <col min="4355" max="4355" width="12.85546875" style="1215" bestFit="1" customWidth="1"/>
    <col min="4356" max="4356" width="19.42578125" style="1215" bestFit="1" customWidth="1"/>
    <col min="4357" max="4357" width="16.140625" style="1215" bestFit="1" customWidth="1"/>
    <col min="4358" max="4358" width="16.7109375" style="1215" bestFit="1" customWidth="1"/>
    <col min="4359" max="4359" width="19.5703125" style="1215" customWidth="1"/>
    <col min="4360" max="4360" width="12.7109375" style="1215" bestFit="1" customWidth="1"/>
    <col min="4361" max="4609" width="11.42578125" style="1215"/>
    <col min="4610" max="4610" width="26.85546875" style="1215" customWidth="1"/>
    <col min="4611" max="4611" width="12.85546875" style="1215" bestFit="1" customWidth="1"/>
    <col min="4612" max="4612" width="19.42578125" style="1215" bestFit="1" customWidth="1"/>
    <col min="4613" max="4613" width="16.140625" style="1215" bestFit="1" customWidth="1"/>
    <col min="4614" max="4614" width="16.7109375" style="1215" bestFit="1" customWidth="1"/>
    <col min="4615" max="4615" width="19.5703125" style="1215" customWidth="1"/>
    <col min="4616" max="4616" width="12.7109375" style="1215" bestFit="1" customWidth="1"/>
    <col min="4617" max="4865" width="11.42578125" style="1215"/>
    <col min="4866" max="4866" width="26.85546875" style="1215" customWidth="1"/>
    <col min="4867" max="4867" width="12.85546875" style="1215" bestFit="1" customWidth="1"/>
    <col min="4868" max="4868" width="19.42578125" style="1215" bestFit="1" customWidth="1"/>
    <col min="4869" max="4869" width="16.140625" style="1215" bestFit="1" customWidth="1"/>
    <col min="4870" max="4870" width="16.7109375" style="1215" bestFit="1" customWidth="1"/>
    <col min="4871" max="4871" width="19.5703125" style="1215" customWidth="1"/>
    <col min="4872" max="4872" width="12.7109375" style="1215" bestFit="1" customWidth="1"/>
    <col min="4873" max="5121" width="11.42578125" style="1215"/>
    <col min="5122" max="5122" width="26.85546875" style="1215" customWidth="1"/>
    <col min="5123" max="5123" width="12.85546875" style="1215" bestFit="1" customWidth="1"/>
    <col min="5124" max="5124" width="19.42578125" style="1215" bestFit="1" customWidth="1"/>
    <col min="5125" max="5125" width="16.140625" style="1215" bestFit="1" customWidth="1"/>
    <col min="5126" max="5126" width="16.7109375" style="1215" bestFit="1" customWidth="1"/>
    <col min="5127" max="5127" width="19.5703125" style="1215" customWidth="1"/>
    <col min="5128" max="5128" width="12.7109375" style="1215" bestFit="1" customWidth="1"/>
    <col min="5129" max="5377" width="11.42578125" style="1215"/>
    <col min="5378" max="5378" width="26.85546875" style="1215" customWidth="1"/>
    <col min="5379" max="5379" width="12.85546875" style="1215" bestFit="1" customWidth="1"/>
    <col min="5380" max="5380" width="19.42578125" style="1215" bestFit="1" customWidth="1"/>
    <col min="5381" max="5381" width="16.140625" style="1215" bestFit="1" customWidth="1"/>
    <col min="5382" max="5382" width="16.7109375" style="1215" bestFit="1" customWidth="1"/>
    <col min="5383" max="5383" width="19.5703125" style="1215" customWidth="1"/>
    <col min="5384" max="5384" width="12.7109375" style="1215" bestFit="1" customWidth="1"/>
    <col min="5385" max="5633" width="11.42578125" style="1215"/>
    <col min="5634" max="5634" width="26.85546875" style="1215" customWidth="1"/>
    <col min="5635" max="5635" width="12.85546875" style="1215" bestFit="1" customWidth="1"/>
    <col min="5636" max="5636" width="19.42578125" style="1215" bestFit="1" customWidth="1"/>
    <col min="5637" max="5637" width="16.140625" style="1215" bestFit="1" customWidth="1"/>
    <col min="5638" max="5638" width="16.7109375" style="1215" bestFit="1" customWidth="1"/>
    <col min="5639" max="5639" width="19.5703125" style="1215" customWidth="1"/>
    <col min="5640" max="5640" width="12.7109375" style="1215" bestFit="1" customWidth="1"/>
    <col min="5641" max="5889" width="11.42578125" style="1215"/>
    <col min="5890" max="5890" width="26.85546875" style="1215" customWidth="1"/>
    <col min="5891" max="5891" width="12.85546875" style="1215" bestFit="1" customWidth="1"/>
    <col min="5892" max="5892" width="19.42578125" style="1215" bestFit="1" customWidth="1"/>
    <col min="5893" max="5893" width="16.140625" style="1215" bestFit="1" customWidth="1"/>
    <col min="5894" max="5894" width="16.7109375" style="1215" bestFit="1" customWidth="1"/>
    <col min="5895" max="5895" width="19.5703125" style="1215" customWidth="1"/>
    <col min="5896" max="5896" width="12.7109375" style="1215" bestFit="1" customWidth="1"/>
    <col min="5897" max="6145" width="11.42578125" style="1215"/>
    <col min="6146" max="6146" width="26.85546875" style="1215" customWidth="1"/>
    <col min="6147" max="6147" width="12.85546875" style="1215" bestFit="1" customWidth="1"/>
    <col min="6148" max="6148" width="19.42578125" style="1215" bestFit="1" customWidth="1"/>
    <col min="6149" max="6149" width="16.140625" style="1215" bestFit="1" customWidth="1"/>
    <col min="6150" max="6150" width="16.7109375" style="1215" bestFit="1" customWidth="1"/>
    <col min="6151" max="6151" width="19.5703125" style="1215" customWidth="1"/>
    <col min="6152" max="6152" width="12.7109375" style="1215" bestFit="1" customWidth="1"/>
    <col min="6153" max="6401" width="11.42578125" style="1215"/>
    <col min="6402" max="6402" width="26.85546875" style="1215" customWidth="1"/>
    <col min="6403" max="6403" width="12.85546875" style="1215" bestFit="1" customWidth="1"/>
    <col min="6404" max="6404" width="19.42578125" style="1215" bestFit="1" customWidth="1"/>
    <col min="6405" max="6405" width="16.140625" style="1215" bestFit="1" customWidth="1"/>
    <col min="6406" max="6406" width="16.7109375" style="1215" bestFit="1" customWidth="1"/>
    <col min="6407" max="6407" width="19.5703125" style="1215" customWidth="1"/>
    <col min="6408" max="6408" width="12.7109375" style="1215" bestFit="1" customWidth="1"/>
    <col min="6409" max="6657" width="11.42578125" style="1215"/>
    <col min="6658" max="6658" width="26.85546875" style="1215" customWidth="1"/>
    <col min="6659" max="6659" width="12.85546875" style="1215" bestFit="1" customWidth="1"/>
    <col min="6660" max="6660" width="19.42578125" style="1215" bestFit="1" customWidth="1"/>
    <col min="6661" max="6661" width="16.140625" style="1215" bestFit="1" customWidth="1"/>
    <col min="6662" max="6662" width="16.7109375" style="1215" bestFit="1" customWidth="1"/>
    <col min="6663" max="6663" width="19.5703125" style="1215" customWidth="1"/>
    <col min="6664" max="6664" width="12.7109375" style="1215" bestFit="1" customWidth="1"/>
    <col min="6665" max="6913" width="11.42578125" style="1215"/>
    <col min="6914" max="6914" width="26.85546875" style="1215" customWidth="1"/>
    <col min="6915" max="6915" width="12.85546875" style="1215" bestFit="1" customWidth="1"/>
    <col min="6916" max="6916" width="19.42578125" style="1215" bestFit="1" customWidth="1"/>
    <col min="6917" max="6917" width="16.140625" style="1215" bestFit="1" customWidth="1"/>
    <col min="6918" max="6918" width="16.7109375" style="1215" bestFit="1" customWidth="1"/>
    <col min="6919" max="6919" width="19.5703125" style="1215" customWidth="1"/>
    <col min="6920" max="6920" width="12.7109375" style="1215" bestFit="1" customWidth="1"/>
    <col min="6921" max="7169" width="11.42578125" style="1215"/>
    <col min="7170" max="7170" width="26.85546875" style="1215" customWidth="1"/>
    <col min="7171" max="7171" width="12.85546875" style="1215" bestFit="1" customWidth="1"/>
    <col min="7172" max="7172" width="19.42578125" style="1215" bestFit="1" customWidth="1"/>
    <col min="7173" max="7173" width="16.140625" style="1215" bestFit="1" customWidth="1"/>
    <col min="7174" max="7174" width="16.7109375" style="1215" bestFit="1" customWidth="1"/>
    <col min="7175" max="7175" width="19.5703125" style="1215" customWidth="1"/>
    <col min="7176" max="7176" width="12.7109375" style="1215" bestFit="1" customWidth="1"/>
    <col min="7177" max="7425" width="11.42578125" style="1215"/>
    <col min="7426" max="7426" width="26.85546875" style="1215" customWidth="1"/>
    <col min="7427" max="7427" width="12.85546875" style="1215" bestFit="1" customWidth="1"/>
    <col min="7428" max="7428" width="19.42578125" style="1215" bestFit="1" customWidth="1"/>
    <col min="7429" max="7429" width="16.140625" style="1215" bestFit="1" customWidth="1"/>
    <col min="7430" max="7430" width="16.7109375" style="1215" bestFit="1" customWidth="1"/>
    <col min="7431" max="7431" width="19.5703125" style="1215" customWidth="1"/>
    <col min="7432" max="7432" width="12.7109375" style="1215" bestFit="1" customWidth="1"/>
    <col min="7433" max="7681" width="11.42578125" style="1215"/>
    <col min="7682" max="7682" width="26.85546875" style="1215" customWidth="1"/>
    <col min="7683" max="7683" width="12.85546875" style="1215" bestFit="1" customWidth="1"/>
    <col min="7684" max="7684" width="19.42578125" style="1215" bestFit="1" customWidth="1"/>
    <col min="7685" max="7685" width="16.140625" style="1215" bestFit="1" customWidth="1"/>
    <col min="7686" max="7686" width="16.7109375" style="1215" bestFit="1" customWidth="1"/>
    <col min="7687" max="7687" width="19.5703125" style="1215" customWidth="1"/>
    <col min="7688" max="7688" width="12.7109375" style="1215" bestFit="1" customWidth="1"/>
    <col min="7689" max="7937" width="11.42578125" style="1215"/>
    <col min="7938" max="7938" width="26.85546875" style="1215" customWidth="1"/>
    <col min="7939" max="7939" width="12.85546875" style="1215" bestFit="1" customWidth="1"/>
    <col min="7940" max="7940" width="19.42578125" style="1215" bestFit="1" customWidth="1"/>
    <col min="7941" max="7941" width="16.140625" style="1215" bestFit="1" customWidth="1"/>
    <col min="7942" max="7942" width="16.7109375" style="1215" bestFit="1" customWidth="1"/>
    <col min="7943" max="7943" width="19.5703125" style="1215" customWidth="1"/>
    <col min="7944" max="7944" width="12.7109375" style="1215" bestFit="1" customWidth="1"/>
    <col min="7945" max="8193" width="11.42578125" style="1215"/>
    <col min="8194" max="8194" width="26.85546875" style="1215" customWidth="1"/>
    <col min="8195" max="8195" width="12.85546875" style="1215" bestFit="1" customWidth="1"/>
    <col min="8196" max="8196" width="19.42578125" style="1215" bestFit="1" customWidth="1"/>
    <col min="8197" max="8197" width="16.140625" style="1215" bestFit="1" customWidth="1"/>
    <col min="8198" max="8198" width="16.7109375" style="1215" bestFit="1" customWidth="1"/>
    <col min="8199" max="8199" width="19.5703125" style="1215" customWidth="1"/>
    <col min="8200" max="8200" width="12.7109375" style="1215" bestFit="1" customWidth="1"/>
    <col min="8201" max="8449" width="11.42578125" style="1215"/>
    <col min="8450" max="8450" width="26.85546875" style="1215" customWidth="1"/>
    <col min="8451" max="8451" width="12.85546875" style="1215" bestFit="1" customWidth="1"/>
    <col min="8452" max="8452" width="19.42578125" style="1215" bestFit="1" customWidth="1"/>
    <col min="8453" max="8453" width="16.140625" style="1215" bestFit="1" customWidth="1"/>
    <col min="8454" max="8454" width="16.7109375" style="1215" bestFit="1" customWidth="1"/>
    <col min="8455" max="8455" width="19.5703125" style="1215" customWidth="1"/>
    <col min="8456" max="8456" width="12.7109375" style="1215" bestFit="1" customWidth="1"/>
    <col min="8457" max="8705" width="11.42578125" style="1215"/>
    <col min="8706" max="8706" width="26.85546875" style="1215" customWidth="1"/>
    <col min="8707" max="8707" width="12.85546875" style="1215" bestFit="1" customWidth="1"/>
    <col min="8708" max="8708" width="19.42578125" style="1215" bestFit="1" customWidth="1"/>
    <col min="8709" max="8709" width="16.140625" style="1215" bestFit="1" customWidth="1"/>
    <col min="8710" max="8710" width="16.7109375" style="1215" bestFit="1" customWidth="1"/>
    <col min="8711" max="8711" width="19.5703125" style="1215" customWidth="1"/>
    <col min="8712" max="8712" width="12.7109375" style="1215" bestFit="1" customWidth="1"/>
    <col min="8713" max="8961" width="11.42578125" style="1215"/>
    <col min="8962" max="8962" width="26.85546875" style="1215" customWidth="1"/>
    <col min="8963" max="8963" width="12.85546875" style="1215" bestFit="1" customWidth="1"/>
    <col min="8964" max="8964" width="19.42578125" style="1215" bestFit="1" customWidth="1"/>
    <col min="8965" max="8965" width="16.140625" style="1215" bestFit="1" customWidth="1"/>
    <col min="8966" max="8966" width="16.7109375" style="1215" bestFit="1" customWidth="1"/>
    <col min="8967" max="8967" width="19.5703125" style="1215" customWidth="1"/>
    <col min="8968" max="8968" width="12.7109375" style="1215" bestFit="1" customWidth="1"/>
    <col min="8969" max="9217" width="11.42578125" style="1215"/>
    <col min="9218" max="9218" width="26.85546875" style="1215" customWidth="1"/>
    <col min="9219" max="9219" width="12.85546875" style="1215" bestFit="1" customWidth="1"/>
    <col min="9220" max="9220" width="19.42578125" style="1215" bestFit="1" customWidth="1"/>
    <col min="9221" max="9221" width="16.140625" style="1215" bestFit="1" customWidth="1"/>
    <col min="9222" max="9222" width="16.7109375" style="1215" bestFit="1" customWidth="1"/>
    <col min="9223" max="9223" width="19.5703125" style="1215" customWidth="1"/>
    <col min="9224" max="9224" width="12.7109375" style="1215" bestFit="1" customWidth="1"/>
    <col min="9225" max="9473" width="11.42578125" style="1215"/>
    <col min="9474" max="9474" width="26.85546875" style="1215" customWidth="1"/>
    <col min="9475" max="9475" width="12.85546875" style="1215" bestFit="1" customWidth="1"/>
    <col min="9476" max="9476" width="19.42578125" style="1215" bestFit="1" customWidth="1"/>
    <col min="9477" max="9477" width="16.140625" style="1215" bestFit="1" customWidth="1"/>
    <col min="9478" max="9478" width="16.7109375" style="1215" bestFit="1" customWidth="1"/>
    <col min="9479" max="9479" width="19.5703125" style="1215" customWidth="1"/>
    <col min="9480" max="9480" width="12.7109375" style="1215" bestFit="1" customWidth="1"/>
    <col min="9481" max="9729" width="11.42578125" style="1215"/>
    <col min="9730" max="9730" width="26.85546875" style="1215" customWidth="1"/>
    <col min="9731" max="9731" width="12.85546875" style="1215" bestFit="1" customWidth="1"/>
    <col min="9732" max="9732" width="19.42578125" style="1215" bestFit="1" customWidth="1"/>
    <col min="9733" max="9733" width="16.140625" style="1215" bestFit="1" customWidth="1"/>
    <col min="9734" max="9734" width="16.7109375" style="1215" bestFit="1" customWidth="1"/>
    <col min="9735" max="9735" width="19.5703125" style="1215" customWidth="1"/>
    <col min="9736" max="9736" width="12.7109375" style="1215" bestFit="1" customWidth="1"/>
    <col min="9737" max="9985" width="11.42578125" style="1215"/>
    <col min="9986" max="9986" width="26.85546875" style="1215" customWidth="1"/>
    <col min="9987" max="9987" width="12.85546875" style="1215" bestFit="1" customWidth="1"/>
    <col min="9988" max="9988" width="19.42578125" style="1215" bestFit="1" customWidth="1"/>
    <col min="9989" max="9989" width="16.140625" style="1215" bestFit="1" customWidth="1"/>
    <col min="9990" max="9990" width="16.7109375" style="1215" bestFit="1" customWidth="1"/>
    <col min="9991" max="9991" width="19.5703125" style="1215" customWidth="1"/>
    <col min="9992" max="9992" width="12.7109375" style="1215" bestFit="1" customWidth="1"/>
    <col min="9993" max="10241" width="11.42578125" style="1215"/>
    <col min="10242" max="10242" width="26.85546875" style="1215" customWidth="1"/>
    <col min="10243" max="10243" width="12.85546875" style="1215" bestFit="1" customWidth="1"/>
    <col min="10244" max="10244" width="19.42578125" style="1215" bestFit="1" customWidth="1"/>
    <col min="10245" max="10245" width="16.140625" style="1215" bestFit="1" customWidth="1"/>
    <col min="10246" max="10246" width="16.7109375" style="1215" bestFit="1" customWidth="1"/>
    <col min="10247" max="10247" width="19.5703125" style="1215" customWidth="1"/>
    <col min="10248" max="10248" width="12.7109375" style="1215" bestFit="1" customWidth="1"/>
    <col min="10249" max="10497" width="11.42578125" style="1215"/>
    <col min="10498" max="10498" width="26.85546875" style="1215" customWidth="1"/>
    <col min="10499" max="10499" width="12.85546875" style="1215" bestFit="1" customWidth="1"/>
    <col min="10500" max="10500" width="19.42578125" style="1215" bestFit="1" customWidth="1"/>
    <col min="10501" max="10501" width="16.140625" style="1215" bestFit="1" customWidth="1"/>
    <col min="10502" max="10502" width="16.7109375" style="1215" bestFit="1" customWidth="1"/>
    <col min="10503" max="10503" width="19.5703125" style="1215" customWidth="1"/>
    <col min="10504" max="10504" width="12.7109375" style="1215" bestFit="1" customWidth="1"/>
    <col min="10505" max="10753" width="11.42578125" style="1215"/>
    <col min="10754" max="10754" width="26.85546875" style="1215" customWidth="1"/>
    <col min="10755" max="10755" width="12.85546875" style="1215" bestFit="1" customWidth="1"/>
    <col min="10756" max="10756" width="19.42578125" style="1215" bestFit="1" customWidth="1"/>
    <col min="10757" max="10757" width="16.140625" style="1215" bestFit="1" customWidth="1"/>
    <col min="10758" max="10758" width="16.7109375" style="1215" bestFit="1" customWidth="1"/>
    <col min="10759" max="10759" width="19.5703125" style="1215" customWidth="1"/>
    <col min="10760" max="10760" width="12.7109375" style="1215" bestFit="1" customWidth="1"/>
    <col min="10761" max="11009" width="11.42578125" style="1215"/>
    <col min="11010" max="11010" width="26.85546875" style="1215" customWidth="1"/>
    <col min="11011" max="11011" width="12.85546875" style="1215" bestFit="1" customWidth="1"/>
    <col min="11012" max="11012" width="19.42578125" style="1215" bestFit="1" customWidth="1"/>
    <col min="11013" max="11013" width="16.140625" style="1215" bestFit="1" customWidth="1"/>
    <col min="11014" max="11014" width="16.7109375" style="1215" bestFit="1" customWidth="1"/>
    <col min="11015" max="11015" width="19.5703125" style="1215" customWidth="1"/>
    <col min="11016" max="11016" width="12.7109375" style="1215" bestFit="1" customWidth="1"/>
    <col min="11017" max="11265" width="11.42578125" style="1215"/>
    <col min="11266" max="11266" width="26.85546875" style="1215" customWidth="1"/>
    <col min="11267" max="11267" width="12.85546875" style="1215" bestFit="1" customWidth="1"/>
    <col min="11268" max="11268" width="19.42578125" style="1215" bestFit="1" customWidth="1"/>
    <col min="11269" max="11269" width="16.140625" style="1215" bestFit="1" customWidth="1"/>
    <col min="11270" max="11270" width="16.7109375" style="1215" bestFit="1" customWidth="1"/>
    <col min="11271" max="11271" width="19.5703125" style="1215" customWidth="1"/>
    <col min="11272" max="11272" width="12.7109375" style="1215" bestFit="1" customWidth="1"/>
    <col min="11273" max="11521" width="11.42578125" style="1215"/>
    <col min="11522" max="11522" width="26.85546875" style="1215" customWidth="1"/>
    <col min="11523" max="11523" width="12.85546875" style="1215" bestFit="1" customWidth="1"/>
    <col min="11524" max="11524" width="19.42578125" style="1215" bestFit="1" customWidth="1"/>
    <col min="11525" max="11525" width="16.140625" style="1215" bestFit="1" customWidth="1"/>
    <col min="11526" max="11526" width="16.7109375" style="1215" bestFit="1" customWidth="1"/>
    <col min="11527" max="11527" width="19.5703125" style="1215" customWidth="1"/>
    <col min="11528" max="11528" width="12.7109375" style="1215" bestFit="1" customWidth="1"/>
    <col min="11529" max="11777" width="11.42578125" style="1215"/>
    <col min="11778" max="11778" width="26.85546875" style="1215" customWidth="1"/>
    <col min="11779" max="11779" width="12.85546875" style="1215" bestFit="1" customWidth="1"/>
    <col min="11780" max="11780" width="19.42578125" style="1215" bestFit="1" customWidth="1"/>
    <col min="11781" max="11781" width="16.140625" style="1215" bestFit="1" customWidth="1"/>
    <col min="11782" max="11782" width="16.7109375" style="1215" bestFit="1" customWidth="1"/>
    <col min="11783" max="11783" width="19.5703125" style="1215" customWidth="1"/>
    <col min="11784" max="11784" width="12.7109375" style="1215" bestFit="1" customWidth="1"/>
    <col min="11785" max="12033" width="11.42578125" style="1215"/>
    <col min="12034" max="12034" width="26.85546875" style="1215" customWidth="1"/>
    <col min="12035" max="12035" width="12.85546875" style="1215" bestFit="1" customWidth="1"/>
    <col min="12036" max="12036" width="19.42578125" style="1215" bestFit="1" customWidth="1"/>
    <col min="12037" max="12037" width="16.140625" style="1215" bestFit="1" customWidth="1"/>
    <col min="12038" max="12038" width="16.7109375" style="1215" bestFit="1" customWidth="1"/>
    <col min="12039" max="12039" width="19.5703125" style="1215" customWidth="1"/>
    <col min="12040" max="12040" width="12.7109375" style="1215" bestFit="1" customWidth="1"/>
    <col min="12041" max="12289" width="11.42578125" style="1215"/>
    <col min="12290" max="12290" width="26.85546875" style="1215" customWidth="1"/>
    <col min="12291" max="12291" width="12.85546875" style="1215" bestFit="1" customWidth="1"/>
    <col min="12292" max="12292" width="19.42578125" style="1215" bestFit="1" customWidth="1"/>
    <col min="12293" max="12293" width="16.140625" style="1215" bestFit="1" customWidth="1"/>
    <col min="12294" max="12294" width="16.7109375" style="1215" bestFit="1" customWidth="1"/>
    <col min="12295" max="12295" width="19.5703125" style="1215" customWidth="1"/>
    <col min="12296" max="12296" width="12.7109375" style="1215" bestFit="1" customWidth="1"/>
    <col min="12297" max="12545" width="11.42578125" style="1215"/>
    <col min="12546" max="12546" width="26.85546875" style="1215" customWidth="1"/>
    <col min="12547" max="12547" width="12.85546875" style="1215" bestFit="1" customWidth="1"/>
    <col min="12548" max="12548" width="19.42578125" style="1215" bestFit="1" customWidth="1"/>
    <col min="12549" max="12549" width="16.140625" style="1215" bestFit="1" customWidth="1"/>
    <col min="12550" max="12550" width="16.7109375" style="1215" bestFit="1" customWidth="1"/>
    <col min="12551" max="12551" width="19.5703125" style="1215" customWidth="1"/>
    <col min="12552" max="12552" width="12.7109375" style="1215" bestFit="1" customWidth="1"/>
    <col min="12553" max="12801" width="11.42578125" style="1215"/>
    <col min="12802" max="12802" width="26.85546875" style="1215" customWidth="1"/>
    <col min="12803" max="12803" width="12.85546875" style="1215" bestFit="1" customWidth="1"/>
    <col min="12804" max="12804" width="19.42578125" style="1215" bestFit="1" customWidth="1"/>
    <col min="12805" max="12805" width="16.140625" style="1215" bestFit="1" customWidth="1"/>
    <col min="12806" max="12806" width="16.7109375" style="1215" bestFit="1" customWidth="1"/>
    <col min="12807" max="12807" width="19.5703125" style="1215" customWidth="1"/>
    <col min="12808" max="12808" width="12.7109375" style="1215" bestFit="1" customWidth="1"/>
    <col min="12809" max="13057" width="11.42578125" style="1215"/>
    <col min="13058" max="13058" width="26.85546875" style="1215" customWidth="1"/>
    <col min="13059" max="13059" width="12.85546875" style="1215" bestFit="1" customWidth="1"/>
    <col min="13060" max="13060" width="19.42578125" style="1215" bestFit="1" customWidth="1"/>
    <col min="13061" max="13061" width="16.140625" style="1215" bestFit="1" customWidth="1"/>
    <col min="13062" max="13062" width="16.7109375" style="1215" bestFit="1" customWidth="1"/>
    <col min="13063" max="13063" width="19.5703125" style="1215" customWidth="1"/>
    <col min="13064" max="13064" width="12.7109375" style="1215" bestFit="1" customWidth="1"/>
    <col min="13065" max="13313" width="11.42578125" style="1215"/>
    <col min="13314" max="13314" width="26.85546875" style="1215" customWidth="1"/>
    <col min="13315" max="13315" width="12.85546875" style="1215" bestFit="1" customWidth="1"/>
    <col min="13316" max="13316" width="19.42578125" style="1215" bestFit="1" customWidth="1"/>
    <col min="13317" max="13317" width="16.140625" style="1215" bestFit="1" customWidth="1"/>
    <col min="13318" max="13318" width="16.7109375" style="1215" bestFit="1" customWidth="1"/>
    <col min="13319" max="13319" width="19.5703125" style="1215" customWidth="1"/>
    <col min="13320" max="13320" width="12.7109375" style="1215" bestFit="1" customWidth="1"/>
    <col min="13321" max="13569" width="11.42578125" style="1215"/>
    <col min="13570" max="13570" width="26.85546875" style="1215" customWidth="1"/>
    <col min="13571" max="13571" width="12.85546875" style="1215" bestFit="1" customWidth="1"/>
    <col min="13572" max="13572" width="19.42578125" style="1215" bestFit="1" customWidth="1"/>
    <col min="13573" max="13573" width="16.140625" style="1215" bestFit="1" customWidth="1"/>
    <col min="13574" max="13574" width="16.7109375" style="1215" bestFit="1" customWidth="1"/>
    <col min="13575" max="13575" width="19.5703125" style="1215" customWidth="1"/>
    <col min="13576" max="13576" width="12.7109375" style="1215" bestFit="1" customWidth="1"/>
    <col min="13577" max="13825" width="11.42578125" style="1215"/>
    <col min="13826" max="13826" width="26.85546875" style="1215" customWidth="1"/>
    <col min="13827" max="13827" width="12.85546875" style="1215" bestFit="1" customWidth="1"/>
    <col min="13828" max="13828" width="19.42578125" style="1215" bestFit="1" customWidth="1"/>
    <col min="13829" max="13829" width="16.140625" style="1215" bestFit="1" customWidth="1"/>
    <col min="13830" max="13830" width="16.7109375" style="1215" bestFit="1" customWidth="1"/>
    <col min="13831" max="13831" width="19.5703125" style="1215" customWidth="1"/>
    <col min="13832" max="13832" width="12.7109375" style="1215" bestFit="1" customWidth="1"/>
    <col min="13833" max="14081" width="11.42578125" style="1215"/>
    <col min="14082" max="14082" width="26.85546875" style="1215" customWidth="1"/>
    <col min="14083" max="14083" width="12.85546875" style="1215" bestFit="1" customWidth="1"/>
    <col min="14084" max="14084" width="19.42578125" style="1215" bestFit="1" customWidth="1"/>
    <col min="14085" max="14085" width="16.140625" style="1215" bestFit="1" customWidth="1"/>
    <col min="14086" max="14086" width="16.7109375" style="1215" bestFit="1" customWidth="1"/>
    <col min="14087" max="14087" width="19.5703125" style="1215" customWidth="1"/>
    <col min="14088" max="14088" width="12.7109375" style="1215" bestFit="1" customWidth="1"/>
    <col min="14089" max="14337" width="11.42578125" style="1215"/>
    <col min="14338" max="14338" width="26.85546875" style="1215" customWidth="1"/>
    <col min="14339" max="14339" width="12.85546875" style="1215" bestFit="1" customWidth="1"/>
    <col min="14340" max="14340" width="19.42578125" style="1215" bestFit="1" customWidth="1"/>
    <col min="14341" max="14341" width="16.140625" style="1215" bestFit="1" customWidth="1"/>
    <col min="14342" max="14342" width="16.7109375" style="1215" bestFit="1" customWidth="1"/>
    <col min="14343" max="14343" width="19.5703125" style="1215" customWidth="1"/>
    <col min="14344" max="14344" width="12.7109375" style="1215" bestFit="1" customWidth="1"/>
    <col min="14345" max="14593" width="11.42578125" style="1215"/>
    <col min="14594" max="14594" width="26.85546875" style="1215" customWidth="1"/>
    <col min="14595" max="14595" width="12.85546875" style="1215" bestFit="1" customWidth="1"/>
    <col min="14596" max="14596" width="19.42578125" style="1215" bestFit="1" customWidth="1"/>
    <col min="14597" max="14597" width="16.140625" style="1215" bestFit="1" customWidth="1"/>
    <col min="14598" max="14598" width="16.7109375" style="1215" bestFit="1" customWidth="1"/>
    <col min="14599" max="14599" width="19.5703125" style="1215" customWidth="1"/>
    <col min="14600" max="14600" width="12.7109375" style="1215" bestFit="1" customWidth="1"/>
    <col min="14601" max="14849" width="11.42578125" style="1215"/>
    <col min="14850" max="14850" width="26.85546875" style="1215" customWidth="1"/>
    <col min="14851" max="14851" width="12.85546875" style="1215" bestFit="1" customWidth="1"/>
    <col min="14852" max="14852" width="19.42578125" style="1215" bestFit="1" customWidth="1"/>
    <col min="14853" max="14853" width="16.140625" style="1215" bestFit="1" customWidth="1"/>
    <col min="14854" max="14854" width="16.7109375" style="1215" bestFit="1" customWidth="1"/>
    <col min="14855" max="14855" width="19.5703125" style="1215" customWidth="1"/>
    <col min="14856" max="14856" width="12.7109375" style="1215" bestFit="1" customWidth="1"/>
    <col min="14857" max="15105" width="11.42578125" style="1215"/>
    <col min="15106" max="15106" width="26.85546875" style="1215" customWidth="1"/>
    <col min="15107" max="15107" width="12.85546875" style="1215" bestFit="1" customWidth="1"/>
    <col min="15108" max="15108" width="19.42578125" style="1215" bestFit="1" customWidth="1"/>
    <col min="15109" max="15109" width="16.140625" style="1215" bestFit="1" customWidth="1"/>
    <col min="15110" max="15110" width="16.7109375" style="1215" bestFit="1" customWidth="1"/>
    <col min="15111" max="15111" width="19.5703125" style="1215" customWidth="1"/>
    <col min="15112" max="15112" width="12.7109375" style="1215" bestFit="1" customWidth="1"/>
    <col min="15113" max="15361" width="11.42578125" style="1215"/>
    <col min="15362" max="15362" width="26.85546875" style="1215" customWidth="1"/>
    <col min="15363" max="15363" width="12.85546875" style="1215" bestFit="1" customWidth="1"/>
    <col min="15364" max="15364" width="19.42578125" style="1215" bestFit="1" customWidth="1"/>
    <col min="15365" max="15365" width="16.140625" style="1215" bestFit="1" customWidth="1"/>
    <col min="15366" max="15366" width="16.7109375" style="1215" bestFit="1" customWidth="1"/>
    <col min="15367" max="15367" width="19.5703125" style="1215" customWidth="1"/>
    <col min="15368" max="15368" width="12.7109375" style="1215" bestFit="1" customWidth="1"/>
    <col min="15369" max="15617" width="11.42578125" style="1215"/>
    <col min="15618" max="15618" width="26.85546875" style="1215" customWidth="1"/>
    <col min="15619" max="15619" width="12.85546875" style="1215" bestFit="1" customWidth="1"/>
    <col min="15620" max="15620" width="19.42578125" style="1215" bestFit="1" customWidth="1"/>
    <col min="15621" max="15621" width="16.140625" style="1215" bestFit="1" customWidth="1"/>
    <col min="15622" max="15622" width="16.7109375" style="1215" bestFit="1" customWidth="1"/>
    <col min="15623" max="15623" width="19.5703125" style="1215" customWidth="1"/>
    <col min="15624" max="15624" width="12.7109375" style="1215" bestFit="1" customWidth="1"/>
    <col min="15625" max="15873" width="11.42578125" style="1215"/>
    <col min="15874" max="15874" width="26.85546875" style="1215" customWidth="1"/>
    <col min="15875" max="15875" width="12.85546875" style="1215" bestFit="1" customWidth="1"/>
    <col min="15876" max="15876" width="19.42578125" style="1215" bestFit="1" customWidth="1"/>
    <col min="15877" max="15877" width="16.140625" style="1215" bestFit="1" customWidth="1"/>
    <col min="15878" max="15878" width="16.7109375" style="1215" bestFit="1" customWidth="1"/>
    <col min="15879" max="15879" width="19.5703125" style="1215" customWidth="1"/>
    <col min="15880" max="15880" width="12.7109375" style="1215" bestFit="1" customWidth="1"/>
    <col min="15881" max="16129" width="11.42578125" style="1215"/>
    <col min="16130" max="16130" width="26.85546875" style="1215" customWidth="1"/>
    <col min="16131" max="16131" width="12.85546875" style="1215" bestFit="1" customWidth="1"/>
    <col min="16132" max="16132" width="19.42578125" style="1215" bestFit="1" customWidth="1"/>
    <col min="16133" max="16133" width="16.140625" style="1215" bestFit="1" customWidth="1"/>
    <col min="16134" max="16134" width="16.7109375" style="1215" bestFit="1" customWidth="1"/>
    <col min="16135" max="16135" width="19.5703125" style="1215" customWidth="1"/>
    <col min="16136" max="16136" width="12.7109375" style="1215" bestFit="1" customWidth="1"/>
    <col min="16137" max="16384" width="11.42578125" style="1215"/>
  </cols>
  <sheetData>
    <row r="1" spans="1:7" ht="15">
      <c r="A1" s="1214"/>
      <c r="B1" s="1214"/>
      <c r="C1" s="1214"/>
      <c r="D1" s="1214"/>
      <c r="E1" s="1214"/>
      <c r="F1" s="1214"/>
      <c r="G1" s="1214"/>
    </row>
    <row r="2" spans="1:7" ht="15">
      <c r="A2" s="1214"/>
      <c r="B2" s="1214"/>
      <c r="C2" s="1214"/>
      <c r="D2" s="1214"/>
      <c r="E2" s="1214"/>
      <c r="F2" s="1214"/>
      <c r="G2" s="1214"/>
    </row>
    <row r="3" spans="1:7" ht="15">
      <c r="A3" s="1214"/>
      <c r="B3" s="1214"/>
      <c r="C3" s="1214"/>
      <c r="D3" s="1214"/>
      <c r="E3" s="1214"/>
      <c r="F3" s="1214"/>
      <c r="G3" s="1214"/>
    </row>
    <row r="4" spans="1:7">
      <c r="A4" s="1216"/>
      <c r="B4" s="1216"/>
      <c r="C4" s="1216"/>
      <c r="D4" s="1216"/>
      <c r="E4" s="1216"/>
      <c r="F4" s="1216"/>
      <c r="G4" s="1216"/>
    </row>
    <row r="5" spans="1:7">
      <c r="A5" s="1216"/>
      <c r="B5" s="1216"/>
      <c r="C5" s="1216"/>
      <c r="D5" s="1216"/>
      <c r="E5" s="1216"/>
      <c r="F5" s="1216"/>
      <c r="G5" s="1216"/>
    </row>
    <row r="6" spans="1:7">
      <c r="A6" s="1216"/>
      <c r="B6" s="1216"/>
      <c r="C6" s="1216"/>
      <c r="D6" s="1216"/>
      <c r="E6" s="1216"/>
      <c r="F6" s="1216"/>
      <c r="G6" s="1216"/>
    </row>
    <row r="7" spans="1:7">
      <c r="A7" s="1216"/>
      <c r="B7" s="1216"/>
      <c r="C7" s="1216"/>
      <c r="D7" s="1216"/>
      <c r="E7" s="1216"/>
      <c r="F7" s="1216"/>
      <c r="G7" s="1216"/>
    </row>
    <row r="8" spans="1:7">
      <c r="A8" s="1216"/>
      <c r="B8" s="1216"/>
      <c r="C8" s="1216"/>
      <c r="D8" s="1216"/>
      <c r="E8" s="1216"/>
      <c r="F8" s="1216"/>
      <c r="G8" s="1216"/>
    </row>
    <row r="9" spans="1:7">
      <c r="A9" s="1216"/>
      <c r="B9" s="1216"/>
      <c r="C9" s="1216"/>
      <c r="D9" s="1216"/>
      <c r="E9" s="1216"/>
      <c r="F9" s="1216"/>
      <c r="G9" s="1216"/>
    </row>
    <row r="10" spans="1:7">
      <c r="A10" s="1217"/>
      <c r="B10" s="1217"/>
      <c r="C10" s="1217"/>
      <c r="D10" s="1217"/>
      <c r="E10" s="1217"/>
      <c r="F10" s="1217"/>
      <c r="G10" s="1217"/>
    </row>
    <row r="11" spans="1:7" ht="15">
      <c r="A11" s="1218"/>
      <c r="B11" s="1356" t="s">
        <v>2325</v>
      </c>
      <c r="C11" s="1357"/>
      <c r="D11" s="1357"/>
      <c r="E11" s="1357"/>
      <c r="F11" s="1358"/>
      <c r="G11" s="1219" t="s">
        <v>2282</v>
      </c>
    </row>
    <row r="12" spans="1:7" ht="15">
      <c r="B12" s="1357"/>
      <c r="C12" s="1357"/>
      <c r="D12" s="1357"/>
      <c r="E12" s="1357"/>
      <c r="F12" s="1358"/>
      <c r="G12" s="1220" t="s">
        <v>61</v>
      </c>
    </row>
    <row r="13" spans="1:7">
      <c r="A13" s="1215" t="s">
        <v>2283</v>
      </c>
      <c r="G13" s="1221"/>
    </row>
    <row r="14" spans="1:7">
      <c r="A14" s="1222" t="s">
        <v>1997</v>
      </c>
      <c r="B14" s="1223"/>
      <c r="C14" s="1223"/>
      <c r="D14" s="1224" t="s">
        <v>1980</v>
      </c>
      <c r="E14" s="1224" t="s">
        <v>2284</v>
      </c>
      <c r="F14" s="1224" t="s">
        <v>2285</v>
      </c>
      <c r="G14" s="1224" t="s">
        <v>2286</v>
      </c>
    </row>
    <row r="15" spans="1:7">
      <c r="A15" s="1225"/>
      <c r="B15" s="1226"/>
      <c r="C15" s="1227"/>
      <c r="D15" s="1228"/>
      <c r="E15" s="1229"/>
      <c r="F15" s="1229"/>
      <c r="G15" s="1228"/>
    </row>
    <row r="16" spans="1:7">
      <c r="A16" s="1230" t="s">
        <v>3</v>
      </c>
      <c r="B16" s="1231"/>
      <c r="C16" s="1231"/>
      <c r="D16" s="1232" t="s">
        <v>62</v>
      </c>
      <c r="E16" s="1233">
        <v>10000</v>
      </c>
      <c r="F16" s="1233">
        <v>100</v>
      </c>
      <c r="G16" s="1232">
        <f>+E16/F16</f>
        <v>100</v>
      </c>
    </row>
    <row r="17" spans="1:7">
      <c r="A17" s="1234"/>
      <c r="B17" s="1235"/>
      <c r="C17" s="1235"/>
      <c r="D17" s="1236"/>
      <c r="E17" s="1236"/>
      <c r="F17" s="1236"/>
      <c r="G17" s="1237"/>
    </row>
    <row r="18" spans="1:7">
      <c r="A18" s="1231"/>
      <c r="B18" s="1231"/>
      <c r="C18" s="1231"/>
      <c r="D18" s="1231"/>
      <c r="E18" s="1231"/>
      <c r="F18" s="1224" t="s">
        <v>2287</v>
      </c>
      <c r="G18" s="1238">
        <f>ROUND(SUM(G15:G17),2)</f>
        <v>100</v>
      </c>
    </row>
    <row r="19" spans="1:7">
      <c r="A19" s="1231"/>
      <c r="B19" s="1231"/>
      <c r="C19" s="1231"/>
      <c r="D19" s="1231"/>
      <c r="E19" s="1231"/>
      <c r="F19" s="1231"/>
      <c r="G19" s="1239"/>
    </row>
    <row r="20" spans="1:7">
      <c r="G20" s="1221"/>
    </row>
    <row r="21" spans="1:7">
      <c r="A21" s="1215" t="s">
        <v>2288</v>
      </c>
      <c r="F21" s="1231"/>
      <c r="G21" s="1221"/>
    </row>
    <row r="22" spans="1:7">
      <c r="A22" s="1222" t="s">
        <v>1997</v>
      </c>
      <c r="B22" s="1240"/>
      <c r="C22" s="1224" t="s">
        <v>0</v>
      </c>
      <c r="D22" s="1224" t="s">
        <v>4</v>
      </c>
      <c r="E22" s="1222" t="s">
        <v>2289</v>
      </c>
      <c r="F22" s="1224" t="s">
        <v>2290</v>
      </c>
      <c r="G22" s="1224" t="s">
        <v>2286</v>
      </c>
    </row>
    <row r="23" spans="1:7">
      <c r="A23" s="1373" t="s">
        <v>2326</v>
      </c>
      <c r="B23" s="1374"/>
      <c r="C23" s="1375" t="s">
        <v>61</v>
      </c>
      <c r="D23" s="1372">
        <v>1991103</v>
      </c>
      <c r="E23" s="1376">
        <v>1</v>
      </c>
      <c r="F23" s="1245"/>
      <c r="G23" s="1372">
        <f>+D23*E23</f>
        <v>1991103</v>
      </c>
    </row>
    <row r="24" spans="1:7">
      <c r="A24" s="1359"/>
      <c r="B24" s="1360"/>
      <c r="C24" s="1361"/>
      <c r="D24" s="1362"/>
      <c r="E24" s="1363"/>
      <c r="F24" s="1250"/>
      <c r="G24" s="1362"/>
    </row>
    <row r="25" spans="1:7">
      <c r="A25" s="1359" t="s">
        <v>2320</v>
      </c>
      <c r="B25" s="1360"/>
      <c r="C25" s="1361" t="s">
        <v>61</v>
      </c>
      <c r="D25" s="1362">
        <f>2919000*1.16</f>
        <v>3386039.9999999995</v>
      </c>
      <c r="E25" s="1363">
        <v>1</v>
      </c>
      <c r="F25" s="1361"/>
      <c r="G25" s="1362">
        <f>+D25*E25</f>
        <v>3386039.9999999995</v>
      </c>
    </row>
    <row r="26" spans="1:7">
      <c r="A26" s="1359"/>
      <c r="B26" s="1360"/>
      <c r="C26" s="1361"/>
      <c r="D26" s="1362"/>
      <c r="E26" s="1363"/>
      <c r="F26" s="1361"/>
      <c r="G26" s="1362"/>
    </row>
    <row r="27" spans="1:7">
      <c r="A27" s="1231" t="s">
        <v>2327</v>
      </c>
      <c r="B27" s="1253"/>
      <c r="C27" s="1247" t="s">
        <v>61</v>
      </c>
      <c r="D27" s="1248">
        <v>245800</v>
      </c>
      <c r="E27" s="1249">
        <v>1</v>
      </c>
      <c r="F27" s="1247"/>
      <c r="G27" s="1248">
        <f t="shared" ref="G27:G28" si="0">+D27*E27</f>
        <v>245800</v>
      </c>
    </row>
    <row r="28" spans="1:7">
      <c r="A28" s="1231" t="s">
        <v>2328</v>
      </c>
      <c r="B28" s="1253"/>
      <c r="C28" s="1247" t="s">
        <v>61</v>
      </c>
      <c r="D28" s="1248">
        <f>162000*1.16</f>
        <v>187920</v>
      </c>
      <c r="E28" s="1249">
        <v>1</v>
      </c>
      <c r="F28" s="1247"/>
      <c r="G28" s="1248">
        <f t="shared" si="0"/>
        <v>187920</v>
      </c>
    </row>
    <row r="29" spans="1:7">
      <c r="A29" s="1231" t="s">
        <v>2329</v>
      </c>
      <c r="B29" s="1253"/>
      <c r="C29" s="1247" t="s">
        <v>61</v>
      </c>
      <c r="D29" s="1248">
        <v>224200</v>
      </c>
      <c r="E29" s="1249">
        <v>1</v>
      </c>
      <c r="F29" s="1254"/>
      <c r="G29" s="1248">
        <f>+D29*E29</f>
        <v>224200</v>
      </c>
    </row>
    <row r="30" spans="1:7" ht="30" customHeight="1">
      <c r="A30" s="1359" t="s">
        <v>2330</v>
      </c>
      <c r="B30" s="1360"/>
      <c r="C30" s="1247" t="s">
        <v>61</v>
      </c>
      <c r="D30" s="1248">
        <v>142600</v>
      </c>
      <c r="E30" s="1249">
        <v>1</v>
      </c>
      <c r="F30" s="1254"/>
      <c r="G30" s="1248">
        <f t="shared" ref="G30" si="1">+D30*E30</f>
        <v>142600</v>
      </c>
    </row>
    <row r="31" spans="1:7">
      <c r="A31" s="1364" t="s">
        <v>2331</v>
      </c>
      <c r="B31" s="1365"/>
      <c r="C31" s="1220" t="s">
        <v>61</v>
      </c>
      <c r="D31" s="1277">
        <v>501200</v>
      </c>
      <c r="E31" s="1278">
        <v>1</v>
      </c>
      <c r="F31" s="1236"/>
      <c r="G31" s="1277">
        <f>+D31*E31</f>
        <v>501200</v>
      </c>
    </row>
    <row r="32" spans="1:7">
      <c r="F32" s="1236" t="s">
        <v>2287</v>
      </c>
      <c r="G32" s="1255">
        <f>ROUND(SUM(G23:G31),2)</f>
        <v>6678863</v>
      </c>
    </row>
    <row r="33" spans="1:7">
      <c r="G33" s="1239"/>
    </row>
    <row r="34" spans="1:7">
      <c r="G34" s="1221"/>
    </row>
    <row r="35" spans="1:7">
      <c r="A35" s="1215" t="s">
        <v>2304</v>
      </c>
      <c r="G35" s="1221"/>
    </row>
    <row r="36" spans="1:7">
      <c r="A36" s="1222" t="s">
        <v>1997</v>
      </c>
      <c r="B36" s="1223"/>
      <c r="C36" s="1240"/>
      <c r="D36" s="1224" t="s">
        <v>2305</v>
      </c>
      <c r="E36" s="1224" t="s">
        <v>5</v>
      </c>
      <c r="F36" s="1224" t="s">
        <v>2306</v>
      </c>
      <c r="G36" s="1224" t="s">
        <v>2286</v>
      </c>
    </row>
    <row r="37" spans="1:7">
      <c r="A37" s="1241" t="s">
        <v>2307</v>
      </c>
      <c r="B37" s="1256"/>
      <c r="C37" s="1242"/>
      <c r="D37" s="1229"/>
      <c r="E37" s="1229"/>
      <c r="F37" s="1257">
        <v>300000</v>
      </c>
      <c r="G37" s="1258">
        <f>+F37</f>
        <v>300000</v>
      </c>
    </row>
    <row r="38" spans="1:7">
      <c r="A38" s="1230"/>
      <c r="B38" s="1231"/>
      <c r="C38" s="1246"/>
      <c r="D38" s="1233"/>
      <c r="E38" s="1233"/>
      <c r="F38" s="1233"/>
      <c r="G38" s="1259"/>
    </row>
    <row r="39" spans="1:7">
      <c r="A39" s="1230"/>
      <c r="B39" s="1231"/>
      <c r="C39" s="1246"/>
      <c r="D39" s="1233"/>
      <c r="E39" s="1233"/>
      <c r="F39" s="1233"/>
      <c r="G39" s="1259"/>
    </row>
    <row r="40" spans="1:7">
      <c r="A40" s="1234"/>
      <c r="B40" s="1235"/>
      <c r="C40" s="1260"/>
      <c r="D40" s="1261"/>
      <c r="E40" s="1261"/>
      <c r="F40" s="1261"/>
      <c r="G40" s="1259"/>
    </row>
    <row r="41" spans="1:7">
      <c r="F41" s="1262" t="s">
        <v>2308</v>
      </c>
      <c r="G41" s="1238">
        <f>ROUND(SUM(G37:G40),2)</f>
        <v>300000</v>
      </c>
    </row>
    <row r="42" spans="1:7">
      <c r="G42" s="1239"/>
    </row>
    <row r="43" spans="1:7">
      <c r="G43" s="1221"/>
    </row>
    <row r="44" spans="1:7">
      <c r="A44" s="1215" t="s">
        <v>2309</v>
      </c>
      <c r="G44" s="1221"/>
    </row>
    <row r="45" spans="1:7">
      <c r="A45" s="1369" t="s">
        <v>1997</v>
      </c>
      <c r="B45" s="1370"/>
      <c r="C45" s="1224" t="s">
        <v>2289</v>
      </c>
      <c r="D45" s="1224" t="s">
        <v>2310</v>
      </c>
      <c r="E45" s="1224" t="s">
        <v>2311</v>
      </c>
      <c r="F45" s="1224" t="s">
        <v>2285</v>
      </c>
      <c r="G45" s="1224" t="s">
        <v>2286</v>
      </c>
    </row>
    <row r="46" spans="1:7">
      <c r="A46" s="1230" t="s">
        <v>64</v>
      </c>
      <c r="B46" s="1246"/>
      <c r="C46" s="1233">
        <v>1</v>
      </c>
      <c r="D46" s="1233">
        <f>8500*8</f>
        <v>68000</v>
      </c>
      <c r="E46" s="1263">
        <f>+C46*D46</f>
        <v>68000</v>
      </c>
      <c r="F46" s="1254"/>
      <c r="G46" s="1254"/>
    </row>
    <row r="47" spans="1:7">
      <c r="A47" s="1230" t="s">
        <v>2312</v>
      </c>
      <c r="B47" s="1246"/>
      <c r="C47" s="1233">
        <v>3</v>
      </c>
      <c r="D47" s="1233">
        <f>5400*8</f>
        <v>43200</v>
      </c>
      <c r="E47" s="1263">
        <f>+C47*D47</f>
        <v>129600</v>
      </c>
      <c r="F47" s="1254"/>
      <c r="G47" s="1254"/>
    </row>
    <row r="48" spans="1:7">
      <c r="A48" s="1230"/>
      <c r="B48" s="1246"/>
      <c r="C48" s="1264"/>
      <c r="D48" s="1233"/>
      <c r="E48" s="1254"/>
      <c r="F48" s="1254"/>
      <c r="G48" s="1254"/>
    </row>
    <row r="49" spans="1:7">
      <c r="A49" s="1234"/>
      <c r="B49" s="1260"/>
      <c r="C49" s="1236"/>
      <c r="D49" s="1236"/>
      <c r="E49" s="1265">
        <f>SUM(E46:E48)</f>
        <v>197600</v>
      </c>
      <c r="F49" s="1266">
        <v>2</v>
      </c>
      <c r="G49" s="1233">
        <f>ROUND(+E49/F49,2)</f>
        <v>98800</v>
      </c>
    </row>
    <row r="50" spans="1:7">
      <c r="F50" s="1262" t="s">
        <v>2308</v>
      </c>
      <c r="G50" s="1267">
        <f>ROUND(SUM(G46:G49),0)</f>
        <v>98800</v>
      </c>
    </row>
    <row r="51" spans="1:7">
      <c r="F51" s="1246"/>
      <c r="G51" s="1268"/>
    </row>
    <row r="52" spans="1:7" ht="15">
      <c r="E52" s="1357" t="s">
        <v>2313</v>
      </c>
      <c r="F52" s="1358"/>
      <c r="G52" s="1269">
        <f>SUM(G18+G32+G41+G50)</f>
        <v>7077763</v>
      </c>
    </row>
    <row r="54" spans="1:7" ht="15">
      <c r="E54" s="1217"/>
      <c r="F54" s="1270" t="s">
        <v>2314</v>
      </c>
      <c r="G54" s="1271">
        <v>0.25</v>
      </c>
    </row>
    <row r="55" spans="1:7" ht="15">
      <c r="E55" s="1217"/>
      <c r="F55" s="1217"/>
      <c r="G55" s="1272"/>
    </row>
    <row r="56" spans="1:7" ht="15">
      <c r="E56" s="1371" t="s">
        <v>2315</v>
      </c>
      <c r="F56" s="1371"/>
      <c r="G56" s="1273">
        <f>ROUND(+(G54+1)*G52,0)</f>
        <v>8847204</v>
      </c>
    </row>
    <row r="57" spans="1:7">
      <c r="A57" s="1231"/>
      <c r="B57" s="1231"/>
      <c r="C57" s="1231"/>
      <c r="D57" s="1231"/>
      <c r="E57" s="1231"/>
      <c r="F57" s="1274"/>
      <c r="G57" s="1275"/>
    </row>
    <row r="58" spans="1:7">
      <c r="A58" s="1217"/>
      <c r="B58" s="1217"/>
      <c r="C58" s="1217"/>
      <c r="D58" s="1217"/>
      <c r="E58" s="1217"/>
      <c r="F58" s="1217"/>
      <c r="G58" s="1217"/>
    </row>
    <row r="59" spans="1:7" ht="15">
      <c r="A59" s="1218"/>
      <c r="B59" s="1356" t="s">
        <v>2332</v>
      </c>
      <c r="C59" s="1356"/>
      <c r="D59" s="1356"/>
      <c r="E59" s="1356"/>
      <c r="F59" s="1358"/>
      <c r="G59" s="1219" t="s">
        <v>2282</v>
      </c>
    </row>
    <row r="60" spans="1:7" ht="15">
      <c r="B60" s="1357"/>
      <c r="C60" s="1357"/>
      <c r="D60" s="1357"/>
      <c r="E60" s="1357"/>
      <c r="F60" s="1358"/>
      <c r="G60" s="1220" t="s">
        <v>61</v>
      </c>
    </row>
    <row r="61" spans="1:7">
      <c r="A61" s="1215" t="s">
        <v>2283</v>
      </c>
      <c r="G61" s="1221"/>
    </row>
    <row r="62" spans="1:7">
      <c r="A62" s="1222" t="s">
        <v>1997</v>
      </c>
      <c r="B62" s="1223"/>
      <c r="C62" s="1223"/>
      <c r="D62" s="1224" t="s">
        <v>1980</v>
      </c>
      <c r="E62" s="1224" t="s">
        <v>2284</v>
      </c>
      <c r="F62" s="1224" t="s">
        <v>2285</v>
      </c>
      <c r="G62" s="1224" t="s">
        <v>2286</v>
      </c>
    </row>
    <row r="63" spans="1:7">
      <c r="A63" s="1225"/>
      <c r="B63" s="1226"/>
      <c r="C63" s="1227"/>
      <c r="D63" s="1228"/>
      <c r="E63" s="1229"/>
      <c r="F63" s="1229"/>
      <c r="G63" s="1228"/>
    </row>
    <row r="64" spans="1:7">
      <c r="A64" s="1230" t="s">
        <v>3</v>
      </c>
      <c r="B64" s="1231"/>
      <c r="C64" s="1231"/>
      <c r="D64" s="1232" t="s">
        <v>62</v>
      </c>
      <c r="E64" s="1233">
        <v>10000</v>
      </c>
      <c r="F64" s="1233">
        <v>100</v>
      </c>
      <c r="G64" s="1232">
        <f>+E64/F64</f>
        <v>100</v>
      </c>
    </row>
    <row r="65" spans="1:13">
      <c r="A65" s="1234"/>
      <c r="B65" s="1235"/>
      <c r="C65" s="1235"/>
      <c r="D65" s="1236"/>
      <c r="E65" s="1236"/>
      <c r="F65" s="1236"/>
      <c r="G65" s="1237"/>
    </row>
    <row r="66" spans="1:13">
      <c r="A66" s="1231"/>
      <c r="B66" s="1231"/>
      <c r="C66" s="1231"/>
      <c r="D66" s="1231"/>
      <c r="E66" s="1231"/>
      <c r="F66" s="1224" t="s">
        <v>2287</v>
      </c>
      <c r="G66" s="1238">
        <f>ROUND(SUM(G63:G65),2)</f>
        <v>100</v>
      </c>
    </row>
    <row r="67" spans="1:13">
      <c r="A67" s="1231"/>
      <c r="B67" s="1231"/>
      <c r="C67" s="1231"/>
      <c r="D67" s="1231"/>
      <c r="E67" s="1231"/>
      <c r="F67" s="1231"/>
      <c r="G67" s="1239"/>
    </row>
    <row r="68" spans="1:13">
      <c r="G68" s="1221"/>
    </row>
    <row r="69" spans="1:13">
      <c r="A69" s="1215" t="s">
        <v>2288</v>
      </c>
      <c r="F69" s="1231"/>
      <c r="G69" s="1221"/>
    </row>
    <row r="70" spans="1:13">
      <c r="A70" s="1222" t="s">
        <v>1997</v>
      </c>
      <c r="B70" s="1240"/>
      <c r="C70" s="1224" t="s">
        <v>0</v>
      </c>
      <c r="D70" s="1224" t="s">
        <v>4</v>
      </c>
      <c r="E70" s="1222" t="s">
        <v>2289</v>
      </c>
      <c r="F70" s="1224" t="s">
        <v>2290</v>
      </c>
      <c r="G70" s="1224" t="s">
        <v>2286</v>
      </c>
    </row>
    <row r="71" spans="1:13">
      <c r="A71" s="1373" t="s">
        <v>2326</v>
      </c>
      <c r="B71" s="1374"/>
      <c r="C71" s="1375" t="s">
        <v>61</v>
      </c>
      <c r="D71" s="1372">
        <v>1991103</v>
      </c>
      <c r="E71" s="1376">
        <v>1</v>
      </c>
      <c r="F71" s="1245"/>
      <c r="G71" s="1372">
        <f>+D71*E71</f>
        <v>1991103</v>
      </c>
    </row>
    <row r="72" spans="1:13">
      <c r="A72" s="1359"/>
      <c r="B72" s="1360"/>
      <c r="C72" s="1361"/>
      <c r="D72" s="1362"/>
      <c r="E72" s="1363"/>
      <c r="F72" s="1250"/>
      <c r="G72" s="1362"/>
    </row>
    <row r="73" spans="1:13">
      <c r="A73" s="1359" t="s">
        <v>2320</v>
      </c>
      <c r="B73" s="1360"/>
      <c r="C73" s="1361" t="s">
        <v>61</v>
      </c>
      <c r="D73" s="1362">
        <f>2919000*1.16</f>
        <v>3386039.9999999995</v>
      </c>
      <c r="E73" s="1363">
        <v>1</v>
      </c>
      <c r="F73" s="1361"/>
      <c r="G73" s="1362">
        <f>+D73*E73</f>
        <v>3386039.9999999995</v>
      </c>
      <c r="K73" s="1215" t="s">
        <v>2302</v>
      </c>
      <c r="L73" s="1215" t="s">
        <v>2303</v>
      </c>
      <c r="M73" s="1215">
        <v>142600</v>
      </c>
    </row>
    <row r="74" spans="1:13">
      <c r="A74" s="1359"/>
      <c r="B74" s="1360"/>
      <c r="C74" s="1361"/>
      <c r="D74" s="1362"/>
      <c r="E74" s="1363"/>
      <c r="F74" s="1361"/>
      <c r="G74" s="1362"/>
    </row>
    <row r="75" spans="1:13">
      <c r="A75" s="1231" t="s">
        <v>2333</v>
      </c>
      <c r="B75" s="1253"/>
      <c r="C75" s="1247" t="s">
        <v>61</v>
      </c>
      <c r="D75" s="1248">
        <v>241000</v>
      </c>
      <c r="E75" s="1249">
        <v>1</v>
      </c>
      <c r="F75" s="1247"/>
      <c r="G75" s="1248">
        <f t="shared" ref="G75:G76" si="2">+D75*E75</f>
        <v>241000</v>
      </c>
      <c r="L75" s="1215">
        <f>240000*0.69</f>
        <v>165600</v>
      </c>
    </row>
    <row r="76" spans="1:13">
      <c r="A76" s="1231" t="s">
        <v>2328</v>
      </c>
      <c r="B76" s="1253"/>
      <c r="C76" s="1247" t="s">
        <v>61</v>
      </c>
      <c r="D76" s="1248">
        <f>162000*1.16</f>
        <v>187920</v>
      </c>
      <c r="E76" s="1249">
        <v>1</v>
      </c>
      <c r="F76" s="1247"/>
      <c r="G76" s="1248">
        <f t="shared" si="2"/>
        <v>187920</v>
      </c>
      <c r="L76" s="1215">
        <f>+M73*3</f>
        <v>427800</v>
      </c>
    </row>
    <row r="77" spans="1:13">
      <c r="A77" s="1231" t="s">
        <v>2334</v>
      </c>
      <c r="B77" s="1253"/>
      <c r="C77" s="1247" t="s">
        <v>61</v>
      </c>
      <c r="D77" s="1248">
        <v>229000</v>
      </c>
      <c r="E77" s="1249">
        <v>1</v>
      </c>
      <c r="F77" s="1254"/>
      <c r="G77" s="1248">
        <f>+D77*E77</f>
        <v>229000</v>
      </c>
      <c r="L77" s="1215">
        <f>+L75+L76</f>
        <v>593400</v>
      </c>
    </row>
    <row r="78" spans="1:13">
      <c r="A78" s="1359" t="s">
        <v>2330</v>
      </c>
      <c r="B78" s="1360"/>
      <c r="C78" s="1247" t="s">
        <v>61</v>
      </c>
      <c r="D78" s="1248">
        <v>142600</v>
      </c>
      <c r="E78" s="1249">
        <v>3</v>
      </c>
      <c r="F78" s="1254"/>
      <c r="G78" s="1248">
        <f t="shared" ref="G78:G80" si="3">+D78*E78</f>
        <v>427800</v>
      </c>
    </row>
    <row r="79" spans="1:13">
      <c r="A79" s="1231" t="s">
        <v>2335</v>
      </c>
      <c r="B79" s="1253"/>
      <c r="C79" s="1247" t="s">
        <v>61</v>
      </c>
      <c r="D79" s="1248">
        <v>429200</v>
      </c>
      <c r="E79" s="1249">
        <v>1</v>
      </c>
      <c r="F79" s="1254"/>
      <c r="G79" s="1248">
        <f t="shared" si="3"/>
        <v>429200</v>
      </c>
    </row>
    <row r="80" spans="1:13">
      <c r="A80" s="1231" t="s">
        <v>2336</v>
      </c>
      <c r="B80" s="1253"/>
      <c r="C80" s="1247" t="s">
        <v>61</v>
      </c>
      <c r="D80" s="1248">
        <v>190600</v>
      </c>
      <c r="E80" s="1249">
        <v>1</v>
      </c>
      <c r="F80" s="1254"/>
      <c r="G80" s="1248">
        <f t="shared" si="3"/>
        <v>190600</v>
      </c>
    </row>
    <row r="81" spans="1:7">
      <c r="A81" s="1364" t="s">
        <v>2337</v>
      </c>
      <c r="B81" s="1365"/>
      <c r="C81" s="1220" t="s">
        <v>61</v>
      </c>
      <c r="D81" s="1277">
        <v>593400</v>
      </c>
      <c r="E81" s="1278">
        <v>1</v>
      </c>
      <c r="F81" s="1236"/>
      <c r="G81" s="1277">
        <f>+D81*E81</f>
        <v>593400</v>
      </c>
    </row>
    <row r="82" spans="1:7">
      <c r="F82" s="1236" t="s">
        <v>2287</v>
      </c>
      <c r="G82" s="1255">
        <f>ROUND(SUM(G71:G81),2)</f>
        <v>7676063</v>
      </c>
    </row>
    <row r="83" spans="1:7">
      <c r="G83" s="1239"/>
    </row>
    <row r="84" spans="1:7">
      <c r="G84" s="1221"/>
    </row>
    <row r="85" spans="1:7">
      <c r="A85" s="1215" t="s">
        <v>2304</v>
      </c>
      <c r="G85" s="1221"/>
    </row>
    <row r="86" spans="1:7">
      <c r="A86" s="1222" t="s">
        <v>1997</v>
      </c>
      <c r="B86" s="1223"/>
      <c r="C86" s="1240"/>
      <c r="D86" s="1224" t="s">
        <v>2305</v>
      </c>
      <c r="E86" s="1224" t="s">
        <v>5</v>
      </c>
      <c r="F86" s="1224" t="s">
        <v>2306</v>
      </c>
      <c r="G86" s="1224" t="s">
        <v>2286</v>
      </c>
    </row>
    <row r="87" spans="1:7">
      <c r="A87" s="1241" t="s">
        <v>2307</v>
      </c>
      <c r="B87" s="1256"/>
      <c r="C87" s="1242"/>
      <c r="D87" s="1229"/>
      <c r="E87" s="1229"/>
      <c r="F87" s="1257">
        <v>300000</v>
      </c>
      <c r="G87" s="1258">
        <f>+F87</f>
        <v>300000</v>
      </c>
    </row>
    <row r="88" spans="1:7">
      <c r="A88" s="1230"/>
      <c r="B88" s="1231"/>
      <c r="C88" s="1246"/>
      <c r="D88" s="1233"/>
      <c r="E88" s="1233"/>
      <c r="F88" s="1233"/>
      <c r="G88" s="1259"/>
    </row>
    <row r="89" spans="1:7">
      <c r="A89" s="1230"/>
      <c r="B89" s="1231"/>
      <c r="C89" s="1246"/>
      <c r="D89" s="1233"/>
      <c r="E89" s="1233"/>
      <c r="F89" s="1233"/>
      <c r="G89" s="1259"/>
    </row>
    <row r="90" spans="1:7">
      <c r="A90" s="1234"/>
      <c r="B90" s="1235"/>
      <c r="C90" s="1260"/>
      <c r="D90" s="1261"/>
      <c r="E90" s="1261"/>
      <c r="F90" s="1261"/>
      <c r="G90" s="1259"/>
    </row>
    <row r="91" spans="1:7">
      <c r="F91" s="1262" t="s">
        <v>2308</v>
      </c>
      <c r="G91" s="1238">
        <f>ROUND(SUM(G87:G90),2)</f>
        <v>300000</v>
      </c>
    </row>
    <row r="92" spans="1:7">
      <c r="G92" s="1239"/>
    </row>
    <row r="93" spans="1:7">
      <c r="G93" s="1221"/>
    </row>
    <row r="94" spans="1:7">
      <c r="A94" s="1215" t="s">
        <v>2309</v>
      </c>
      <c r="G94" s="1221"/>
    </row>
    <row r="95" spans="1:7">
      <c r="A95" s="1369" t="s">
        <v>1997</v>
      </c>
      <c r="B95" s="1370"/>
      <c r="C95" s="1224" t="s">
        <v>2289</v>
      </c>
      <c r="D95" s="1224" t="s">
        <v>2310</v>
      </c>
      <c r="E95" s="1224" t="s">
        <v>2311</v>
      </c>
      <c r="F95" s="1224" t="s">
        <v>2285</v>
      </c>
      <c r="G95" s="1224" t="s">
        <v>2286</v>
      </c>
    </row>
    <row r="96" spans="1:7">
      <c r="A96" s="1230" t="s">
        <v>64</v>
      </c>
      <c r="B96" s="1246"/>
      <c r="C96" s="1233">
        <v>1</v>
      </c>
      <c r="D96" s="1233">
        <f>8500*8</f>
        <v>68000</v>
      </c>
      <c r="E96" s="1263">
        <f>+C96*D96</f>
        <v>68000</v>
      </c>
      <c r="F96" s="1254"/>
      <c r="G96" s="1254"/>
    </row>
    <row r="97" spans="1:7">
      <c r="A97" s="1230" t="s">
        <v>2312</v>
      </c>
      <c r="B97" s="1246"/>
      <c r="C97" s="1233">
        <v>3</v>
      </c>
      <c r="D97" s="1233">
        <f>5400*8</f>
        <v>43200</v>
      </c>
      <c r="E97" s="1263">
        <f>+C97*D97</f>
        <v>129600</v>
      </c>
      <c r="F97" s="1254"/>
      <c r="G97" s="1254"/>
    </row>
    <row r="98" spans="1:7">
      <c r="A98" s="1230"/>
      <c r="B98" s="1246"/>
      <c r="C98" s="1264"/>
      <c r="D98" s="1233"/>
      <c r="E98" s="1254"/>
      <c r="F98" s="1254"/>
      <c r="G98" s="1254"/>
    </row>
    <row r="99" spans="1:7">
      <c r="A99" s="1234"/>
      <c r="B99" s="1260"/>
      <c r="C99" s="1236"/>
      <c r="D99" s="1236"/>
      <c r="E99" s="1265">
        <f>SUM(E96:E98)</f>
        <v>197600</v>
      </c>
      <c r="F99" s="1266">
        <v>2</v>
      </c>
      <c r="G99" s="1233">
        <f>ROUND(+E99/F99,2)</f>
        <v>98800</v>
      </c>
    </row>
    <row r="100" spans="1:7">
      <c r="F100" s="1262" t="s">
        <v>2308</v>
      </c>
      <c r="G100" s="1267">
        <f>ROUND(SUM(G96:G99),0)</f>
        <v>98800</v>
      </c>
    </row>
    <row r="101" spans="1:7">
      <c r="F101" s="1246"/>
      <c r="G101" s="1268"/>
    </row>
    <row r="102" spans="1:7" ht="15">
      <c r="E102" s="1357" t="s">
        <v>2313</v>
      </c>
      <c r="F102" s="1358"/>
      <c r="G102" s="1269">
        <f>SUM(G66+G82+G91+G100)</f>
        <v>8074963</v>
      </c>
    </row>
    <row r="104" spans="1:7" ht="15">
      <c r="E104" s="1217"/>
      <c r="F104" s="1270" t="s">
        <v>2314</v>
      </c>
      <c r="G104" s="1271">
        <v>0.25</v>
      </c>
    </row>
    <row r="105" spans="1:7" ht="15">
      <c r="E105" s="1217"/>
      <c r="F105" s="1217"/>
      <c r="G105" s="1272"/>
    </row>
    <row r="106" spans="1:7" ht="15">
      <c r="E106" s="1371" t="s">
        <v>2315</v>
      </c>
      <c r="F106" s="1371"/>
      <c r="G106" s="1273">
        <f>ROUND(+(G104+1)*G102,0)</f>
        <v>10093704</v>
      </c>
    </row>
    <row r="107" spans="1:7">
      <c r="A107" s="1231"/>
      <c r="B107" s="1231"/>
      <c r="C107" s="1231"/>
      <c r="D107" s="1231"/>
      <c r="E107" s="1231"/>
      <c r="F107" s="1274"/>
      <c r="G107" s="1275"/>
    </row>
    <row r="108" spans="1:7">
      <c r="A108" s="1217"/>
      <c r="B108" s="1217"/>
      <c r="C108" s="1217"/>
      <c r="D108" s="1217"/>
      <c r="E108" s="1217"/>
      <c r="F108" s="1217"/>
      <c r="G108" s="1217"/>
    </row>
    <row r="109" spans="1:7" ht="15">
      <c r="A109" s="1218"/>
      <c r="B109" s="1356" t="s">
        <v>2338</v>
      </c>
      <c r="C109" s="1356"/>
      <c r="D109" s="1356"/>
      <c r="E109" s="1356"/>
      <c r="F109" s="1358"/>
      <c r="G109" s="1219" t="s">
        <v>2282</v>
      </c>
    </row>
    <row r="110" spans="1:7" ht="15">
      <c r="B110" s="1357"/>
      <c r="C110" s="1357"/>
      <c r="D110" s="1357"/>
      <c r="E110" s="1357"/>
      <c r="F110" s="1358"/>
      <c r="G110" s="1220" t="s">
        <v>61</v>
      </c>
    </row>
    <row r="111" spans="1:7">
      <c r="A111" s="1215" t="s">
        <v>2283</v>
      </c>
      <c r="G111" s="1221"/>
    </row>
    <row r="112" spans="1:7">
      <c r="A112" s="1222" t="s">
        <v>1997</v>
      </c>
      <c r="B112" s="1223"/>
      <c r="C112" s="1223"/>
      <c r="D112" s="1224" t="s">
        <v>1980</v>
      </c>
      <c r="E112" s="1224" t="s">
        <v>2284</v>
      </c>
      <c r="F112" s="1224" t="s">
        <v>2285</v>
      </c>
      <c r="G112" s="1224" t="s">
        <v>2286</v>
      </c>
    </row>
    <row r="113" spans="1:7">
      <c r="A113" s="1225"/>
      <c r="B113" s="1226"/>
      <c r="C113" s="1227"/>
      <c r="D113" s="1228"/>
      <c r="E113" s="1229"/>
      <c r="F113" s="1229"/>
      <c r="G113" s="1228"/>
    </row>
    <row r="114" spans="1:7">
      <c r="A114" s="1230" t="s">
        <v>3</v>
      </c>
      <c r="B114" s="1231"/>
      <c r="C114" s="1231"/>
      <c r="D114" s="1232" t="s">
        <v>62</v>
      </c>
      <c r="E114" s="1233">
        <v>10000</v>
      </c>
      <c r="F114" s="1233">
        <v>100</v>
      </c>
      <c r="G114" s="1232">
        <f>+E114/F114</f>
        <v>100</v>
      </c>
    </row>
    <row r="115" spans="1:7">
      <c r="A115" s="1234"/>
      <c r="B115" s="1235"/>
      <c r="C115" s="1235"/>
      <c r="D115" s="1236"/>
      <c r="E115" s="1236"/>
      <c r="F115" s="1236"/>
      <c r="G115" s="1237"/>
    </row>
    <row r="116" spans="1:7">
      <c r="A116" s="1231"/>
      <c r="B116" s="1231"/>
      <c r="C116" s="1231"/>
      <c r="D116" s="1231"/>
      <c r="E116" s="1231"/>
      <c r="F116" s="1224" t="s">
        <v>2287</v>
      </c>
      <c r="G116" s="1238">
        <f>ROUND(SUM(G113:G115),2)</f>
        <v>100</v>
      </c>
    </row>
    <row r="117" spans="1:7">
      <c r="A117" s="1231"/>
      <c r="B117" s="1231"/>
      <c r="C117" s="1231"/>
      <c r="D117" s="1231"/>
      <c r="E117" s="1231"/>
      <c r="F117" s="1231"/>
      <c r="G117" s="1239"/>
    </row>
    <row r="118" spans="1:7">
      <c r="G118" s="1221"/>
    </row>
    <row r="119" spans="1:7">
      <c r="A119" s="1215" t="s">
        <v>2288</v>
      </c>
      <c r="F119" s="1231"/>
      <c r="G119" s="1221"/>
    </row>
    <row r="120" spans="1:7">
      <c r="A120" s="1222" t="s">
        <v>1997</v>
      </c>
      <c r="B120" s="1240"/>
      <c r="C120" s="1224" t="s">
        <v>0</v>
      </c>
      <c r="D120" s="1224" t="s">
        <v>4</v>
      </c>
      <c r="E120" s="1222" t="s">
        <v>2289</v>
      </c>
      <c r="F120" s="1224" t="s">
        <v>2290</v>
      </c>
      <c r="G120" s="1224" t="s">
        <v>2286</v>
      </c>
    </row>
    <row r="121" spans="1:7">
      <c r="A121" s="1373" t="s">
        <v>2326</v>
      </c>
      <c r="B121" s="1374"/>
      <c r="C121" s="1375" t="s">
        <v>61</v>
      </c>
      <c r="D121" s="1372">
        <v>1991103</v>
      </c>
      <c r="E121" s="1376">
        <v>1</v>
      </c>
      <c r="F121" s="1245"/>
      <c r="G121" s="1372">
        <f>+D121*E121</f>
        <v>1991103</v>
      </c>
    </row>
    <row r="122" spans="1:7">
      <c r="A122" s="1359"/>
      <c r="B122" s="1360"/>
      <c r="C122" s="1361"/>
      <c r="D122" s="1362"/>
      <c r="E122" s="1363"/>
      <c r="F122" s="1250"/>
      <c r="G122" s="1362"/>
    </row>
    <row r="123" spans="1:7">
      <c r="A123" s="1359" t="s">
        <v>2320</v>
      </c>
      <c r="B123" s="1360"/>
      <c r="C123" s="1361" t="s">
        <v>61</v>
      </c>
      <c r="D123" s="1362">
        <f>2919000*1.16</f>
        <v>3386039.9999999995</v>
      </c>
      <c r="E123" s="1363">
        <v>1</v>
      </c>
      <c r="F123" s="1361"/>
      <c r="G123" s="1362">
        <f>+D123*E123</f>
        <v>3386039.9999999995</v>
      </c>
    </row>
    <row r="124" spans="1:7">
      <c r="A124" s="1359"/>
      <c r="B124" s="1360"/>
      <c r="C124" s="1361"/>
      <c r="D124" s="1362"/>
      <c r="E124" s="1363"/>
      <c r="F124" s="1361"/>
      <c r="G124" s="1362"/>
    </row>
    <row r="125" spans="1:7">
      <c r="A125" s="1231" t="s">
        <v>2333</v>
      </c>
      <c r="B125" s="1253"/>
      <c r="C125" s="1247" t="s">
        <v>61</v>
      </c>
      <c r="D125" s="1248">
        <v>241000</v>
      </c>
      <c r="E125" s="1249">
        <v>1</v>
      </c>
      <c r="F125" s="1247"/>
      <c r="G125" s="1248">
        <f t="shared" ref="G125:G126" si="4">+D125*E125</f>
        <v>241000</v>
      </c>
    </row>
    <row r="126" spans="1:7">
      <c r="A126" s="1231" t="s">
        <v>2328</v>
      </c>
      <c r="B126" s="1253"/>
      <c r="C126" s="1247" t="s">
        <v>61</v>
      </c>
      <c r="D126" s="1248">
        <f>162000*1.16</f>
        <v>187920</v>
      </c>
      <c r="E126" s="1249">
        <v>1</v>
      </c>
      <c r="F126" s="1247"/>
      <c r="G126" s="1248">
        <f t="shared" si="4"/>
        <v>187920</v>
      </c>
    </row>
    <row r="127" spans="1:7">
      <c r="A127" s="1231" t="s">
        <v>2334</v>
      </c>
      <c r="B127" s="1253"/>
      <c r="C127" s="1247" t="s">
        <v>61</v>
      </c>
      <c r="D127" s="1248">
        <v>229000</v>
      </c>
      <c r="E127" s="1249">
        <v>1</v>
      </c>
      <c r="F127" s="1254"/>
      <c r="G127" s="1248">
        <f>+D127*E127</f>
        <v>229000</v>
      </c>
    </row>
    <row r="128" spans="1:7">
      <c r="A128" s="1359" t="s">
        <v>2330</v>
      </c>
      <c r="B128" s="1360"/>
      <c r="C128" s="1247" t="s">
        <v>61</v>
      </c>
      <c r="D128" s="1248">
        <v>142600</v>
      </c>
      <c r="E128" s="1249">
        <v>3</v>
      </c>
      <c r="F128" s="1254"/>
      <c r="G128" s="1248">
        <f t="shared" ref="G128:G130" si="5">+D128*E128</f>
        <v>427800</v>
      </c>
    </row>
    <row r="129" spans="1:7">
      <c r="A129" s="1231" t="s">
        <v>2335</v>
      </c>
      <c r="B129" s="1253"/>
      <c r="C129" s="1247" t="s">
        <v>61</v>
      </c>
      <c r="D129" s="1248">
        <v>429200</v>
      </c>
      <c r="E129" s="1249">
        <v>1</v>
      </c>
      <c r="F129" s="1254"/>
      <c r="G129" s="1248">
        <f t="shared" si="5"/>
        <v>429200</v>
      </c>
    </row>
    <row r="130" spans="1:7">
      <c r="A130" s="1231" t="s">
        <v>2336</v>
      </c>
      <c r="B130" s="1253"/>
      <c r="C130" s="1247" t="s">
        <v>61</v>
      </c>
      <c r="D130" s="1248">
        <v>190600</v>
      </c>
      <c r="E130" s="1249">
        <v>1</v>
      </c>
      <c r="F130" s="1254"/>
      <c r="G130" s="1248">
        <f t="shared" si="5"/>
        <v>190600</v>
      </c>
    </row>
    <row r="131" spans="1:7">
      <c r="A131" s="1364" t="s">
        <v>2337</v>
      </c>
      <c r="B131" s="1365"/>
      <c r="C131" s="1220" t="s">
        <v>61</v>
      </c>
      <c r="D131" s="1277">
        <v>593400</v>
      </c>
      <c r="E131" s="1278">
        <v>1</v>
      </c>
      <c r="F131" s="1236"/>
      <c r="G131" s="1277">
        <f>+D131*E131</f>
        <v>593400</v>
      </c>
    </row>
    <row r="132" spans="1:7">
      <c r="F132" s="1236" t="s">
        <v>2287</v>
      </c>
      <c r="G132" s="1255">
        <f>ROUND(SUM(G121:G131),2)</f>
        <v>7676063</v>
      </c>
    </row>
    <row r="133" spans="1:7">
      <c r="G133" s="1239"/>
    </row>
    <row r="134" spans="1:7">
      <c r="G134" s="1221"/>
    </row>
    <row r="135" spans="1:7">
      <c r="A135" s="1215" t="s">
        <v>2304</v>
      </c>
      <c r="G135" s="1221"/>
    </row>
    <row r="136" spans="1:7">
      <c r="A136" s="1222" t="s">
        <v>1997</v>
      </c>
      <c r="B136" s="1223"/>
      <c r="C136" s="1240"/>
      <c r="D136" s="1224" t="s">
        <v>2305</v>
      </c>
      <c r="E136" s="1224" t="s">
        <v>5</v>
      </c>
      <c r="F136" s="1224" t="s">
        <v>2306</v>
      </c>
      <c r="G136" s="1224" t="s">
        <v>2286</v>
      </c>
    </row>
    <row r="137" spans="1:7">
      <c r="A137" s="1241" t="s">
        <v>2307</v>
      </c>
      <c r="B137" s="1256"/>
      <c r="C137" s="1242"/>
      <c r="D137" s="1229"/>
      <c r="E137" s="1229"/>
      <c r="F137" s="1257">
        <v>300000</v>
      </c>
      <c r="G137" s="1258">
        <f>+F137</f>
        <v>300000</v>
      </c>
    </row>
    <row r="138" spans="1:7">
      <c r="A138" s="1230"/>
      <c r="B138" s="1231"/>
      <c r="C138" s="1246"/>
      <c r="D138" s="1233"/>
      <c r="E138" s="1233"/>
      <c r="F138" s="1233"/>
      <c r="G138" s="1259"/>
    </row>
    <row r="139" spans="1:7">
      <c r="A139" s="1230"/>
      <c r="B139" s="1231"/>
      <c r="C139" s="1246"/>
      <c r="D139" s="1233"/>
      <c r="E139" s="1233"/>
      <c r="F139" s="1233"/>
      <c r="G139" s="1259"/>
    </row>
    <row r="140" spans="1:7">
      <c r="A140" s="1234"/>
      <c r="B140" s="1235"/>
      <c r="C140" s="1260"/>
      <c r="D140" s="1261"/>
      <c r="E140" s="1261"/>
      <c r="F140" s="1261"/>
      <c r="G140" s="1259"/>
    </row>
    <row r="141" spans="1:7">
      <c r="F141" s="1262" t="s">
        <v>2308</v>
      </c>
      <c r="G141" s="1238">
        <f>ROUND(SUM(G137:G140),2)</f>
        <v>300000</v>
      </c>
    </row>
    <row r="142" spans="1:7">
      <c r="G142" s="1239"/>
    </row>
    <row r="143" spans="1:7">
      <c r="G143" s="1221"/>
    </row>
    <row r="144" spans="1:7">
      <c r="A144" s="1215" t="s">
        <v>2309</v>
      </c>
      <c r="G144" s="1221"/>
    </row>
    <row r="145" spans="1:7">
      <c r="A145" s="1369" t="s">
        <v>1997</v>
      </c>
      <c r="B145" s="1370"/>
      <c r="C145" s="1224" t="s">
        <v>2289</v>
      </c>
      <c r="D145" s="1224" t="s">
        <v>2310</v>
      </c>
      <c r="E145" s="1224" t="s">
        <v>2311</v>
      </c>
      <c r="F145" s="1224" t="s">
        <v>2285</v>
      </c>
      <c r="G145" s="1224" t="s">
        <v>2286</v>
      </c>
    </row>
    <row r="146" spans="1:7">
      <c r="A146" s="1230" t="s">
        <v>64</v>
      </c>
      <c r="B146" s="1246"/>
      <c r="C146" s="1233">
        <v>1</v>
      </c>
      <c r="D146" s="1233">
        <f>8500*8</f>
        <v>68000</v>
      </c>
      <c r="E146" s="1263">
        <f>+C146*D146</f>
        <v>68000</v>
      </c>
      <c r="F146" s="1254"/>
      <c r="G146" s="1254"/>
    </row>
    <row r="147" spans="1:7">
      <c r="A147" s="1230" t="s">
        <v>2312</v>
      </c>
      <c r="B147" s="1246"/>
      <c r="C147" s="1233">
        <v>3</v>
      </c>
      <c r="D147" s="1233">
        <f>5400*8</f>
        <v>43200</v>
      </c>
      <c r="E147" s="1263">
        <f>+C147*D147</f>
        <v>129600</v>
      </c>
      <c r="F147" s="1254"/>
      <c r="G147" s="1254"/>
    </row>
    <row r="148" spans="1:7">
      <c r="A148" s="1230"/>
      <c r="B148" s="1246"/>
      <c r="C148" s="1264"/>
      <c r="D148" s="1233"/>
      <c r="E148" s="1254"/>
      <c r="F148" s="1254"/>
      <c r="G148" s="1254"/>
    </row>
    <row r="149" spans="1:7">
      <c r="A149" s="1234"/>
      <c r="B149" s="1260"/>
      <c r="C149" s="1236"/>
      <c r="D149" s="1236"/>
      <c r="E149" s="1265">
        <f>SUM(E146:E148)</f>
        <v>197600</v>
      </c>
      <c r="F149" s="1266">
        <v>2</v>
      </c>
      <c r="G149" s="1233">
        <f>ROUND(+E149/F149,2)</f>
        <v>98800</v>
      </c>
    </row>
    <row r="150" spans="1:7">
      <c r="F150" s="1262" t="s">
        <v>2308</v>
      </c>
      <c r="G150" s="1267">
        <f>ROUND(SUM(G146:G149),0)</f>
        <v>98800</v>
      </c>
    </row>
    <row r="151" spans="1:7">
      <c r="F151" s="1246"/>
      <c r="G151" s="1268"/>
    </row>
    <row r="152" spans="1:7" ht="15">
      <c r="E152" s="1357" t="s">
        <v>2313</v>
      </c>
      <c r="F152" s="1358"/>
      <c r="G152" s="1269">
        <f>SUM(G116+G132+G141+G150)</f>
        <v>8074963</v>
      </c>
    </row>
    <row r="154" spans="1:7" ht="15">
      <c r="E154" s="1217"/>
      <c r="F154" s="1270" t="s">
        <v>2314</v>
      </c>
      <c r="G154" s="1271">
        <v>0.25</v>
      </c>
    </row>
    <row r="155" spans="1:7" ht="15">
      <c r="E155" s="1217"/>
      <c r="F155" s="1217"/>
      <c r="G155" s="1272"/>
    </row>
    <row r="156" spans="1:7" ht="15">
      <c r="E156" s="1371" t="s">
        <v>2315</v>
      </c>
      <c r="F156" s="1371"/>
      <c r="G156" s="1273">
        <f>ROUND(+(G154+1)*G152,0)</f>
        <v>10093704</v>
      </c>
    </row>
    <row r="157" spans="1:7" ht="15">
      <c r="E157" s="1270"/>
      <c r="F157" s="1270"/>
      <c r="G157" s="1273"/>
    </row>
    <row r="158" spans="1:7">
      <c r="A158" s="1231"/>
      <c r="B158" s="1231"/>
      <c r="C158" s="1231"/>
      <c r="D158" s="1231"/>
      <c r="E158" s="1231"/>
      <c r="F158" s="1274"/>
      <c r="G158" s="1275"/>
    </row>
    <row r="159" spans="1:7" ht="15">
      <c r="A159" s="1218"/>
      <c r="B159" s="1356" t="s">
        <v>2339</v>
      </c>
      <c r="C159" s="1356"/>
      <c r="D159" s="1356"/>
      <c r="E159" s="1356"/>
      <c r="F159" s="1358"/>
      <c r="G159" s="1219" t="s">
        <v>2282</v>
      </c>
    </row>
    <row r="160" spans="1:7" ht="15">
      <c r="B160" s="1357"/>
      <c r="C160" s="1357"/>
      <c r="D160" s="1357"/>
      <c r="E160" s="1357"/>
      <c r="F160" s="1358"/>
      <c r="G160" s="1220" t="s">
        <v>61</v>
      </c>
    </row>
    <row r="161" spans="1:7">
      <c r="A161" s="1215" t="s">
        <v>2283</v>
      </c>
      <c r="G161" s="1221"/>
    </row>
    <row r="162" spans="1:7">
      <c r="A162" s="1222" t="s">
        <v>1997</v>
      </c>
      <c r="B162" s="1223"/>
      <c r="C162" s="1223"/>
      <c r="D162" s="1224" t="s">
        <v>1980</v>
      </c>
      <c r="E162" s="1224" t="s">
        <v>2284</v>
      </c>
      <c r="F162" s="1224" t="s">
        <v>2285</v>
      </c>
      <c r="G162" s="1224" t="s">
        <v>2286</v>
      </c>
    </row>
    <row r="163" spans="1:7">
      <c r="A163" s="1225"/>
      <c r="B163" s="1226"/>
      <c r="C163" s="1227"/>
      <c r="D163" s="1228"/>
      <c r="E163" s="1229"/>
      <c r="F163" s="1229"/>
      <c r="G163" s="1228"/>
    </row>
    <row r="164" spans="1:7">
      <c r="A164" s="1230" t="s">
        <v>3</v>
      </c>
      <c r="B164" s="1231"/>
      <c r="C164" s="1231"/>
      <c r="D164" s="1232" t="s">
        <v>62</v>
      </c>
      <c r="E164" s="1233">
        <v>10000</v>
      </c>
      <c r="F164" s="1233">
        <v>100</v>
      </c>
      <c r="G164" s="1232">
        <f>+E164/F164</f>
        <v>100</v>
      </c>
    </row>
    <row r="165" spans="1:7">
      <c r="A165" s="1234"/>
      <c r="B165" s="1235"/>
      <c r="C165" s="1235"/>
      <c r="D165" s="1236"/>
      <c r="E165" s="1236"/>
      <c r="F165" s="1236"/>
      <c r="G165" s="1237"/>
    </row>
    <row r="166" spans="1:7">
      <c r="A166" s="1231"/>
      <c r="B166" s="1231"/>
      <c r="C166" s="1231"/>
      <c r="D166" s="1231"/>
      <c r="E166" s="1231"/>
      <c r="F166" s="1224" t="s">
        <v>2287</v>
      </c>
      <c r="G166" s="1238">
        <f>ROUND(SUM(G163:G165),2)</f>
        <v>100</v>
      </c>
    </row>
    <row r="167" spans="1:7">
      <c r="A167" s="1231"/>
      <c r="B167" s="1231"/>
      <c r="C167" s="1231"/>
      <c r="D167" s="1231"/>
      <c r="E167" s="1231"/>
      <c r="F167" s="1231"/>
      <c r="G167" s="1239"/>
    </row>
    <row r="168" spans="1:7">
      <c r="G168" s="1221"/>
    </row>
    <row r="169" spans="1:7">
      <c r="A169" s="1215" t="s">
        <v>2288</v>
      </c>
      <c r="F169" s="1231"/>
      <c r="G169" s="1221"/>
    </row>
    <row r="170" spans="1:7">
      <c r="A170" s="1222" t="s">
        <v>1997</v>
      </c>
      <c r="B170" s="1240"/>
      <c r="C170" s="1224" t="s">
        <v>0</v>
      </c>
      <c r="D170" s="1224" t="s">
        <v>4</v>
      </c>
      <c r="E170" s="1222" t="s">
        <v>2289</v>
      </c>
      <c r="F170" s="1224" t="s">
        <v>2290</v>
      </c>
      <c r="G170" s="1224" t="s">
        <v>2286</v>
      </c>
    </row>
    <row r="171" spans="1:7">
      <c r="A171" s="1373" t="s">
        <v>2326</v>
      </c>
      <c r="B171" s="1374"/>
      <c r="C171" s="1375" t="s">
        <v>61</v>
      </c>
      <c r="D171" s="1372">
        <v>2234508</v>
      </c>
      <c r="E171" s="1376">
        <v>1</v>
      </c>
      <c r="F171" s="1245"/>
      <c r="G171" s="1372">
        <f>+D171*E171</f>
        <v>2234508</v>
      </c>
    </row>
    <row r="172" spans="1:7">
      <c r="A172" s="1359"/>
      <c r="B172" s="1360"/>
      <c r="C172" s="1361"/>
      <c r="D172" s="1362"/>
      <c r="E172" s="1363"/>
      <c r="F172" s="1250"/>
      <c r="G172" s="1362"/>
    </row>
    <row r="173" spans="1:7">
      <c r="A173" s="1230" t="s">
        <v>2318</v>
      </c>
      <c r="B173" s="1246"/>
      <c r="C173" s="1247" t="s">
        <v>61</v>
      </c>
      <c r="D173" s="1248">
        <f>719000*1.16</f>
        <v>834040</v>
      </c>
      <c r="E173" s="1249">
        <v>1</v>
      </c>
      <c r="F173" s="1250"/>
      <c r="G173" s="1251">
        <f>+D173*E173</f>
        <v>834040</v>
      </c>
    </row>
    <row r="174" spans="1:7">
      <c r="A174" s="1359" t="s">
        <v>2320</v>
      </c>
      <c r="B174" s="1360"/>
      <c r="C174" s="1361" t="s">
        <v>61</v>
      </c>
      <c r="D174" s="1362">
        <f>2919000*1.16</f>
        <v>3386039.9999999995</v>
      </c>
      <c r="E174" s="1363">
        <v>1</v>
      </c>
      <c r="F174" s="1361"/>
      <c r="G174" s="1362">
        <f>+D174*E174</f>
        <v>3386039.9999999995</v>
      </c>
    </row>
    <row r="175" spans="1:7">
      <c r="A175" s="1359"/>
      <c r="B175" s="1360"/>
      <c r="C175" s="1361"/>
      <c r="D175" s="1362"/>
      <c r="E175" s="1363"/>
      <c r="F175" s="1361"/>
      <c r="G175" s="1362"/>
    </row>
    <row r="176" spans="1:7">
      <c r="A176" s="1231" t="s">
        <v>2340</v>
      </c>
      <c r="B176" s="1253"/>
      <c r="C176" s="1247" t="s">
        <v>61</v>
      </c>
      <c r="D176" s="1248">
        <v>233800</v>
      </c>
      <c r="E176" s="1249">
        <v>1</v>
      </c>
      <c r="F176" s="1247"/>
      <c r="G176" s="1248">
        <f t="shared" ref="G176:G177" si="6">+D176*E176</f>
        <v>233800</v>
      </c>
    </row>
    <row r="177" spans="1:7">
      <c r="A177" s="1231" t="s">
        <v>2328</v>
      </c>
      <c r="B177" s="1253"/>
      <c r="C177" s="1247" t="s">
        <v>61</v>
      </c>
      <c r="D177" s="1248">
        <f>162000*1.16</f>
        <v>187920</v>
      </c>
      <c r="E177" s="1249">
        <v>1</v>
      </c>
      <c r="F177" s="1247"/>
      <c r="G177" s="1248">
        <f t="shared" si="6"/>
        <v>187920</v>
      </c>
    </row>
    <row r="178" spans="1:7">
      <c r="A178" s="1231" t="s">
        <v>2334</v>
      </c>
      <c r="B178" s="1253"/>
      <c r="C178" s="1247" t="s">
        <v>61</v>
      </c>
      <c r="D178" s="1248">
        <v>229000</v>
      </c>
      <c r="E178" s="1249">
        <v>1</v>
      </c>
      <c r="F178" s="1254"/>
      <c r="G178" s="1248">
        <f>+D178*E178</f>
        <v>229000</v>
      </c>
    </row>
    <row r="179" spans="1:7">
      <c r="A179" s="1359" t="s">
        <v>2330</v>
      </c>
      <c r="B179" s="1360"/>
      <c r="C179" s="1247" t="s">
        <v>61</v>
      </c>
      <c r="D179" s="1248">
        <v>142600</v>
      </c>
      <c r="E179" s="1249">
        <v>3</v>
      </c>
      <c r="F179" s="1254"/>
      <c r="G179" s="1248">
        <f t="shared" ref="G179:G180" si="7">+D179*E179</f>
        <v>427800</v>
      </c>
    </row>
    <row r="180" spans="1:7">
      <c r="A180" s="1231" t="s">
        <v>2335</v>
      </c>
      <c r="B180" s="1253"/>
      <c r="C180" s="1247" t="s">
        <v>61</v>
      </c>
      <c r="D180" s="1248">
        <v>429200</v>
      </c>
      <c r="E180" s="1249">
        <v>2</v>
      </c>
      <c r="F180" s="1254"/>
      <c r="G180" s="1248">
        <f t="shared" si="7"/>
        <v>858400</v>
      </c>
    </row>
    <row r="181" spans="1:7">
      <c r="A181" s="1364" t="s">
        <v>2341</v>
      </c>
      <c r="B181" s="1365"/>
      <c r="C181" s="1220" t="s">
        <v>61</v>
      </c>
      <c r="D181" s="1277">
        <v>426800</v>
      </c>
      <c r="E181" s="1278">
        <v>1</v>
      </c>
      <c r="F181" s="1236"/>
      <c r="G181" s="1277">
        <f>+D181*E181</f>
        <v>426800</v>
      </c>
    </row>
    <row r="182" spans="1:7">
      <c r="F182" s="1236" t="s">
        <v>2287</v>
      </c>
      <c r="G182" s="1255">
        <f>ROUND(SUM(G171:G181),2)</f>
        <v>8818308</v>
      </c>
    </row>
    <row r="183" spans="1:7">
      <c r="G183" s="1239"/>
    </row>
    <row r="184" spans="1:7">
      <c r="G184" s="1221"/>
    </row>
    <row r="185" spans="1:7">
      <c r="A185" s="1215" t="s">
        <v>2304</v>
      </c>
      <c r="G185" s="1221"/>
    </row>
    <row r="186" spans="1:7">
      <c r="A186" s="1222" t="s">
        <v>1997</v>
      </c>
      <c r="B186" s="1223"/>
      <c r="C186" s="1240"/>
      <c r="D186" s="1224" t="s">
        <v>2305</v>
      </c>
      <c r="E186" s="1224" t="s">
        <v>5</v>
      </c>
      <c r="F186" s="1224" t="s">
        <v>2306</v>
      </c>
      <c r="G186" s="1224" t="s">
        <v>2286</v>
      </c>
    </row>
    <row r="187" spans="1:7">
      <c r="A187" s="1241" t="s">
        <v>2307</v>
      </c>
      <c r="B187" s="1256"/>
      <c r="C187" s="1242"/>
      <c r="D187" s="1229"/>
      <c r="E187" s="1229"/>
      <c r="F187" s="1257">
        <v>300000</v>
      </c>
      <c r="G187" s="1258">
        <f>+F187</f>
        <v>300000</v>
      </c>
    </row>
    <row r="188" spans="1:7">
      <c r="A188" s="1230"/>
      <c r="B188" s="1231"/>
      <c r="C188" s="1246"/>
      <c r="D188" s="1233"/>
      <c r="E188" s="1233"/>
      <c r="F188" s="1233"/>
      <c r="G188" s="1259"/>
    </row>
    <row r="189" spans="1:7">
      <c r="A189" s="1230"/>
      <c r="B189" s="1231"/>
      <c r="C189" s="1246"/>
      <c r="D189" s="1233"/>
      <c r="E189" s="1233"/>
      <c r="F189" s="1233"/>
      <c r="G189" s="1259"/>
    </row>
    <row r="190" spans="1:7">
      <c r="A190" s="1234"/>
      <c r="B190" s="1235"/>
      <c r="C190" s="1260"/>
      <c r="D190" s="1261"/>
      <c r="E190" s="1261"/>
      <c r="F190" s="1261"/>
      <c r="G190" s="1259"/>
    </row>
    <row r="191" spans="1:7">
      <c r="F191" s="1262" t="s">
        <v>2308</v>
      </c>
      <c r="G191" s="1238">
        <f>ROUND(SUM(G187:G190),2)</f>
        <v>300000</v>
      </c>
    </row>
    <row r="192" spans="1:7">
      <c r="G192" s="1239"/>
    </row>
    <row r="193" spans="1:7">
      <c r="G193" s="1221"/>
    </row>
    <row r="194" spans="1:7">
      <c r="A194" s="1215" t="s">
        <v>2309</v>
      </c>
      <c r="G194" s="1221"/>
    </row>
    <row r="195" spans="1:7">
      <c r="A195" s="1369" t="s">
        <v>1997</v>
      </c>
      <c r="B195" s="1370"/>
      <c r="C195" s="1224" t="s">
        <v>2289</v>
      </c>
      <c r="D195" s="1224" t="s">
        <v>2310</v>
      </c>
      <c r="E195" s="1224" t="s">
        <v>2311</v>
      </c>
      <c r="F195" s="1224" t="s">
        <v>2285</v>
      </c>
      <c r="G195" s="1224" t="s">
        <v>2286</v>
      </c>
    </row>
    <row r="196" spans="1:7">
      <c r="A196" s="1230" t="s">
        <v>64</v>
      </c>
      <c r="B196" s="1246"/>
      <c r="C196" s="1233">
        <v>1</v>
      </c>
      <c r="D196" s="1233">
        <f>8500*8</f>
        <v>68000</v>
      </c>
      <c r="E196" s="1263">
        <f>+C196*D196</f>
        <v>68000</v>
      </c>
      <c r="F196" s="1254"/>
      <c r="G196" s="1254"/>
    </row>
    <row r="197" spans="1:7">
      <c r="A197" s="1230" t="s">
        <v>2312</v>
      </c>
      <c r="B197" s="1246"/>
      <c r="C197" s="1233">
        <v>3</v>
      </c>
      <c r="D197" s="1233">
        <f>5400*8</f>
        <v>43200</v>
      </c>
      <c r="E197" s="1263">
        <f>+C197*D197</f>
        <v>129600</v>
      </c>
      <c r="F197" s="1254"/>
      <c r="G197" s="1254"/>
    </row>
    <row r="198" spans="1:7">
      <c r="A198" s="1230"/>
      <c r="B198" s="1246"/>
      <c r="C198" s="1264"/>
      <c r="D198" s="1233"/>
      <c r="E198" s="1254"/>
      <c r="F198" s="1254"/>
      <c r="G198" s="1254"/>
    </row>
    <row r="199" spans="1:7">
      <c r="A199" s="1234"/>
      <c r="B199" s="1260"/>
      <c r="C199" s="1236"/>
      <c r="D199" s="1236"/>
      <c r="E199" s="1265">
        <f>SUM(E196:E198)</f>
        <v>197600</v>
      </c>
      <c r="F199" s="1266">
        <v>2</v>
      </c>
      <c r="G199" s="1233">
        <f>ROUND(+E199/F199,2)</f>
        <v>98800</v>
      </c>
    </row>
    <row r="200" spans="1:7">
      <c r="F200" s="1262" t="s">
        <v>2308</v>
      </c>
      <c r="G200" s="1267">
        <f>ROUND(SUM(G196:G199),0)</f>
        <v>98800</v>
      </c>
    </row>
    <row r="201" spans="1:7">
      <c r="F201" s="1246"/>
      <c r="G201" s="1268"/>
    </row>
    <row r="202" spans="1:7" ht="15">
      <c r="E202" s="1357" t="s">
        <v>2313</v>
      </c>
      <c r="F202" s="1358"/>
      <c r="G202" s="1269">
        <f>SUM(G166+G182+G191+G200)</f>
        <v>9217208</v>
      </c>
    </row>
    <row r="204" spans="1:7" ht="15">
      <c r="E204" s="1217"/>
      <c r="F204" s="1270" t="s">
        <v>2314</v>
      </c>
      <c r="G204" s="1271">
        <v>0.25</v>
      </c>
    </row>
    <row r="205" spans="1:7" ht="15">
      <c r="E205" s="1217"/>
      <c r="F205" s="1217"/>
      <c r="G205" s="1272"/>
    </row>
    <row r="206" spans="1:7" ht="15">
      <c r="E206" s="1371" t="s">
        <v>2315</v>
      </c>
      <c r="F206" s="1371"/>
      <c r="G206" s="1273">
        <f>ROUND(+(G204+1)*G202,0)</f>
        <v>11521510</v>
      </c>
    </row>
    <row r="207" spans="1:7" ht="15">
      <c r="E207" s="1270"/>
      <c r="F207" s="1270"/>
      <c r="G207" s="1273"/>
    </row>
    <row r="208" spans="1:7">
      <c r="A208" s="1231"/>
      <c r="B208" s="1231"/>
      <c r="C208" s="1231"/>
      <c r="D208" s="1231"/>
      <c r="E208" s="1231"/>
      <c r="F208" s="1274"/>
      <c r="G208" s="1275"/>
    </row>
    <row r="209" spans="1:7" ht="15">
      <c r="A209" s="1218"/>
      <c r="B209" s="1356" t="s">
        <v>2342</v>
      </c>
      <c r="C209" s="1356"/>
      <c r="D209" s="1356"/>
      <c r="E209" s="1356"/>
      <c r="F209" s="1358"/>
      <c r="G209" s="1219" t="s">
        <v>2282</v>
      </c>
    </row>
    <row r="210" spans="1:7" ht="15">
      <c r="B210" s="1357"/>
      <c r="C210" s="1357"/>
      <c r="D210" s="1357"/>
      <c r="E210" s="1357"/>
      <c r="F210" s="1358"/>
      <c r="G210" s="1220" t="s">
        <v>61</v>
      </c>
    </row>
    <row r="211" spans="1:7">
      <c r="A211" s="1215" t="s">
        <v>2283</v>
      </c>
      <c r="G211" s="1221"/>
    </row>
    <row r="212" spans="1:7">
      <c r="A212" s="1222" t="s">
        <v>1997</v>
      </c>
      <c r="B212" s="1223"/>
      <c r="C212" s="1223"/>
      <c r="D212" s="1224" t="s">
        <v>1980</v>
      </c>
      <c r="E212" s="1224" t="s">
        <v>2284</v>
      </c>
      <c r="F212" s="1224" t="s">
        <v>2285</v>
      </c>
      <c r="G212" s="1224" t="s">
        <v>2286</v>
      </c>
    </row>
    <row r="213" spans="1:7">
      <c r="A213" s="1225"/>
      <c r="B213" s="1226"/>
      <c r="C213" s="1227"/>
      <c r="D213" s="1228"/>
      <c r="E213" s="1229"/>
      <c r="F213" s="1229"/>
      <c r="G213" s="1228"/>
    </row>
    <row r="214" spans="1:7">
      <c r="A214" s="1230" t="s">
        <v>3</v>
      </c>
      <c r="B214" s="1231"/>
      <c r="C214" s="1231"/>
      <c r="D214" s="1232" t="s">
        <v>62</v>
      </c>
      <c r="E214" s="1233">
        <v>10000</v>
      </c>
      <c r="F214" s="1233">
        <v>100</v>
      </c>
      <c r="G214" s="1232">
        <f>+E214/F214</f>
        <v>100</v>
      </c>
    </row>
    <row r="215" spans="1:7">
      <c r="A215" s="1234"/>
      <c r="B215" s="1235"/>
      <c r="C215" s="1235"/>
      <c r="D215" s="1236"/>
      <c r="E215" s="1236"/>
      <c r="F215" s="1236"/>
      <c r="G215" s="1237"/>
    </row>
    <row r="216" spans="1:7">
      <c r="A216" s="1231"/>
      <c r="B216" s="1231"/>
      <c r="C216" s="1231"/>
      <c r="D216" s="1231"/>
      <c r="E216" s="1231"/>
      <c r="F216" s="1224" t="s">
        <v>2287</v>
      </c>
      <c r="G216" s="1238">
        <f>ROUND(SUM(G213:G215),2)</f>
        <v>100</v>
      </c>
    </row>
    <row r="217" spans="1:7">
      <c r="A217" s="1231"/>
      <c r="B217" s="1231"/>
      <c r="C217" s="1231"/>
      <c r="D217" s="1231"/>
      <c r="E217" s="1231"/>
      <c r="F217" s="1231"/>
      <c r="G217" s="1239"/>
    </row>
    <row r="218" spans="1:7">
      <c r="G218" s="1221"/>
    </row>
    <row r="219" spans="1:7">
      <c r="A219" s="1215" t="s">
        <v>2288</v>
      </c>
      <c r="F219" s="1231"/>
      <c r="G219" s="1221"/>
    </row>
    <row r="220" spans="1:7">
      <c r="A220" s="1222" t="s">
        <v>1997</v>
      </c>
      <c r="B220" s="1240"/>
      <c r="C220" s="1224" t="s">
        <v>0</v>
      </c>
      <c r="D220" s="1224" t="s">
        <v>4</v>
      </c>
      <c r="E220" s="1222" t="s">
        <v>2289</v>
      </c>
      <c r="F220" s="1224" t="s">
        <v>2290</v>
      </c>
      <c r="G220" s="1224" t="s">
        <v>2286</v>
      </c>
    </row>
    <row r="221" spans="1:7">
      <c r="A221" s="1373" t="s">
        <v>2326</v>
      </c>
      <c r="B221" s="1374"/>
      <c r="C221" s="1375" t="s">
        <v>61</v>
      </c>
      <c r="D221" s="1372">
        <v>2522288</v>
      </c>
      <c r="E221" s="1376">
        <v>1</v>
      </c>
      <c r="F221" s="1245"/>
      <c r="G221" s="1372">
        <f>+D221*E221</f>
        <v>2522288</v>
      </c>
    </row>
    <row r="222" spans="1:7">
      <c r="A222" s="1359"/>
      <c r="B222" s="1360"/>
      <c r="C222" s="1361"/>
      <c r="D222" s="1362"/>
      <c r="E222" s="1363"/>
      <c r="F222" s="1250"/>
      <c r="G222" s="1362"/>
    </row>
    <row r="223" spans="1:7">
      <c r="A223" s="1230" t="s">
        <v>2318</v>
      </c>
      <c r="B223" s="1246"/>
      <c r="C223" s="1247" t="s">
        <v>61</v>
      </c>
      <c r="D223" s="1248">
        <f>719000*1.16</f>
        <v>834040</v>
      </c>
      <c r="E223" s="1249">
        <v>1</v>
      </c>
      <c r="F223" s="1250"/>
      <c r="G223" s="1251">
        <f>+D223*E223</f>
        <v>834040</v>
      </c>
    </row>
    <row r="224" spans="1:7">
      <c r="A224" s="1359" t="s">
        <v>2320</v>
      </c>
      <c r="B224" s="1360"/>
      <c r="C224" s="1361" t="s">
        <v>61</v>
      </c>
      <c r="D224" s="1362">
        <f>2919000*1.16</f>
        <v>3386039.9999999995</v>
      </c>
      <c r="E224" s="1363">
        <v>1</v>
      </c>
      <c r="F224" s="1361"/>
      <c r="G224" s="1362">
        <f>+D224*E224</f>
        <v>3386039.9999999995</v>
      </c>
    </row>
    <row r="225" spans="1:7">
      <c r="A225" s="1359"/>
      <c r="B225" s="1360"/>
      <c r="C225" s="1361"/>
      <c r="D225" s="1362"/>
      <c r="E225" s="1363"/>
      <c r="F225" s="1361"/>
      <c r="G225" s="1362"/>
    </row>
    <row r="226" spans="1:7">
      <c r="A226" s="1231" t="s">
        <v>2340</v>
      </c>
      <c r="B226" s="1253"/>
      <c r="C226" s="1247" t="s">
        <v>61</v>
      </c>
      <c r="D226" s="1248">
        <v>233800</v>
      </c>
      <c r="E226" s="1249">
        <v>1</v>
      </c>
      <c r="F226" s="1247"/>
      <c r="G226" s="1248">
        <f t="shared" ref="G226:G227" si="8">+D226*E226</f>
        <v>233800</v>
      </c>
    </row>
    <row r="227" spans="1:7">
      <c r="A227" s="1231" t="s">
        <v>2328</v>
      </c>
      <c r="B227" s="1253"/>
      <c r="C227" s="1247" t="s">
        <v>61</v>
      </c>
      <c r="D227" s="1248">
        <f>162000*1.16</f>
        <v>187920</v>
      </c>
      <c r="E227" s="1249">
        <v>1</v>
      </c>
      <c r="F227" s="1247"/>
      <c r="G227" s="1248">
        <f t="shared" si="8"/>
        <v>187920</v>
      </c>
    </row>
    <row r="228" spans="1:7">
      <c r="A228" s="1231" t="s">
        <v>2334</v>
      </c>
      <c r="B228" s="1253"/>
      <c r="C228" s="1247" t="s">
        <v>61</v>
      </c>
      <c r="D228" s="1248">
        <v>229000</v>
      </c>
      <c r="E228" s="1249">
        <v>1</v>
      </c>
      <c r="F228" s="1254"/>
      <c r="G228" s="1248">
        <f>+D228*E228</f>
        <v>229000</v>
      </c>
    </row>
    <row r="229" spans="1:7">
      <c r="A229" s="1359" t="s">
        <v>2330</v>
      </c>
      <c r="B229" s="1360"/>
      <c r="C229" s="1247" t="s">
        <v>61</v>
      </c>
      <c r="D229" s="1248">
        <v>142600</v>
      </c>
      <c r="E229" s="1249">
        <v>3</v>
      </c>
      <c r="F229" s="1254"/>
      <c r="G229" s="1248">
        <f t="shared" ref="G229:G230" si="9">+D229*E229</f>
        <v>427800</v>
      </c>
    </row>
    <row r="230" spans="1:7">
      <c r="A230" s="1231" t="s">
        <v>2335</v>
      </c>
      <c r="B230" s="1253"/>
      <c r="C230" s="1247" t="s">
        <v>61</v>
      </c>
      <c r="D230" s="1248">
        <v>429200</v>
      </c>
      <c r="E230" s="1249">
        <v>2</v>
      </c>
      <c r="F230" s="1254"/>
      <c r="G230" s="1248">
        <f t="shared" si="9"/>
        <v>858400</v>
      </c>
    </row>
    <row r="231" spans="1:7">
      <c r="A231" s="1364" t="s">
        <v>2341</v>
      </c>
      <c r="B231" s="1365"/>
      <c r="C231" s="1220" t="s">
        <v>61</v>
      </c>
      <c r="D231" s="1277">
        <v>426800</v>
      </c>
      <c r="E231" s="1278">
        <v>1</v>
      </c>
      <c r="F231" s="1236"/>
      <c r="G231" s="1277">
        <f>+D231*E231</f>
        <v>426800</v>
      </c>
    </row>
    <row r="232" spans="1:7">
      <c r="F232" s="1236" t="s">
        <v>2287</v>
      </c>
      <c r="G232" s="1255">
        <f>ROUND(SUM(G221:G231),2)</f>
        <v>9106088</v>
      </c>
    </row>
    <row r="233" spans="1:7">
      <c r="G233" s="1239"/>
    </row>
    <row r="234" spans="1:7">
      <c r="G234" s="1221"/>
    </row>
    <row r="235" spans="1:7">
      <c r="A235" s="1215" t="s">
        <v>2304</v>
      </c>
      <c r="G235" s="1221"/>
    </row>
    <row r="236" spans="1:7">
      <c r="A236" s="1222" t="s">
        <v>1997</v>
      </c>
      <c r="B236" s="1223"/>
      <c r="C236" s="1240"/>
      <c r="D236" s="1224" t="s">
        <v>2305</v>
      </c>
      <c r="E236" s="1224" t="s">
        <v>5</v>
      </c>
      <c r="F236" s="1224" t="s">
        <v>2306</v>
      </c>
      <c r="G236" s="1224" t="s">
        <v>2286</v>
      </c>
    </row>
    <row r="237" spans="1:7">
      <c r="A237" s="1241" t="s">
        <v>2307</v>
      </c>
      <c r="B237" s="1256"/>
      <c r="C237" s="1242"/>
      <c r="D237" s="1229"/>
      <c r="E237" s="1229"/>
      <c r="F237" s="1257">
        <v>300000</v>
      </c>
      <c r="G237" s="1258">
        <f>+F237</f>
        <v>300000</v>
      </c>
    </row>
    <row r="238" spans="1:7">
      <c r="A238" s="1230"/>
      <c r="B238" s="1231"/>
      <c r="C238" s="1246"/>
      <c r="D238" s="1233"/>
      <c r="E238" s="1233"/>
      <c r="F238" s="1233"/>
      <c r="G238" s="1259"/>
    </row>
    <row r="239" spans="1:7">
      <c r="A239" s="1230"/>
      <c r="B239" s="1231"/>
      <c r="C239" s="1246"/>
      <c r="D239" s="1233"/>
      <c r="E239" s="1233"/>
      <c r="F239" s="1233"/>
      <c r="G239" s="1259"/>
    </row>
    <row r="240" spans="1:7">
      <c r="A240" s="1234"/>
      <c r="B240" s="1235"/>
      <c r="C240" s="1260"/>
      <c r="D240" s="1261"/>
      <c r="E240" s="1261"/>
      <c r="F240" s="1261"/>
      <c r="G240" s="1259"/>
    </row>
    <row r="241" spans="1:7">
      <c r="F241" s="1262" t="s">
        <v>2308</v>
      </c>
      <c r="G241" s="1238">
        <f>ROUND(SUM(G237:G240),2)</f>
        <v>300000</v>
      </c>
    </row>
    <row r="242" spans="1:7">
      <c r="G242" s="1239"/>
    </row>
    <row r="243" spans="1:7">
      <c r="G243" s="1221"/>
    </row>
    <row r="244" spans="1:7">
      <c r="A244" s="1215" t="s">
        <v>2309</v>
      </c>
      <c r="G244" s="1221"/>
    </row>
    <row r="245" spans="1:7">
      <c r="A245" s="1369" t="s">
        <v>1997</v>
      </c>
      <c r="B245" s="1370"/>
      <c r="C245" s="1224" t="s">
        <v>2289</v>
      </c>
      <c r="D245" s="1224" t="s">
        <v>2310</v>
      </c>
      <c r="E245" s="1224" t="s">
        <v>2311</v>
      </c>
      <c r="F245" s="1224" t="s">
        <v>2285</v>
      </c>
      <c r="G245" s="1224" t="s">
        <v>2286</v>
      </c>
    </row>
    <row r="246" spans="1:7">
      <c r="A246" s="1230" t="s">
        <v>64</v>
      </c>
      <c r="B246" s="1246"/>
      <c r="C246" s="1233">
        <v>1</v>
      </c>
      <c r="D246" s="1233">
        <f>8500*8</f>
        <v>68000</v>
      </c>
      <c r="E246" s="1263">
        <f>+C246*D246</f>
        <v>68000</v>
      </c>
      <c r="F246" s="1254"/>
      <c r="G246" s="1254"/>
    </row>
    <row r="247" spans="1:7">
      <c r="A247" s="1230" t="s">
        <v>2312</v>
      </c>
      <c r="B247" s="1246"/>
      <c r="C247" s="1233">
        <v>3</v>
      </c>
      <c r="D247" s="1233">
        <f>5400*8</f>
        <v>43200</v>
      </c>
      <c r="E247" s="1263">
        <f>+C247*D247</f>
        <v>129600</v>
      </c>
      <c r="F247" s="1254"/>
      <c r="G247" s="1254"/>
    </row>
    <row r="248" spans="1:7">
      <c r="A248" s="1230"/>
      <c r="B248" s="1246"/>
      <c r="C248" s="1264"/>
      <c r="D248" s="1233"/>
      <c r="E248" s="1254"/>
      <c r="F248" s="1254"/>
      <c r="G248" s="1254"/>
    </row>
    <row r="249" spans="1:7">
      <c r="A249" s="1234"/>
      <c r="B249" s="1260"/>
      <c r="C249" s="1236"/>
      <c r="D249" s="1236"/>
      <c r="E249" s="1265">
        <f>SUM(E246:E248)</f>
        <v>197600</v>
      </c>
      <c r="F249" s="1266">
        <v>2</v>
      </c>
      <c r="G249" s="1233">
        <f>ROUND(+E249/F249,2)</f>
        <v>98800</v>
      </c>
    </row>
    <row r="250" spans="1:7">
      <c r="F250" s="1262" t="s">
        <v>2308</v>
      </c>
      <c r="G250" s="1267">
        <f>ROUND(SUM(G246:G249),0)</f>
        <v>98800</v>
      </c>
    </row>
    <row r="251" spans="1:7">
      <c r="F251" s="1246"/>
      <c r="G251" s="1268"/>
    </row>
    <row r="252" spans="1:7" ht="15">
      <c r="E252" s="1357" t="s">
        <v>2313</v>
      </c>
      <c r="F252" s="1358"/>
      <c r="G252" s="1269">
        <f>SUM(G216+G232+G241+G250)</f>
        <v>9504988</v>
      </c>
    </row>
    <row r="254" spans="1:7" ht="15">
      <c r="E254" s="1217"/>
      <c r="F254" s="1270" t="s">
        <v>2314</v>
      </c>
      <c r="G254" s="1271">
        <v>0.25</v>
      </c>
    </row>
    <row r="255" spans="1:7" ht="15">
      <c r="E255" s="1217"/>
      <c r="F255" s="1217"/>
      <c r="G255" s="1272"/>
    </row>
    <row r="256" spans="1:7" ht="15">
      <c r="E256" s="1371" t="s">
        <v>2315</v>
      </c>
      <c r="F256" s="1371"/>
      <c r="G256" s="1273">
        <f>ROUND(+(G254+1)*G252,0)</f>
        <v>11881235</v>
      </c>
    </row>
    <row r="257" spans="1:7">
      <c r="A257" s="1231"/>
      <c r="B257" s="1231"/>
      <c r="C257" s="1231"/>
      <c r="D257" s="1231"/>
      <c r="E257" s="1231"/>
      <c r="F257" s="1274"/>
      <c r="G257" s="1275"/>
    </row>
    <row r="258" spans="1:7">
      <c r="A258" s="1231"/>
      <c r="B258" s="1231"/>
      <c r="C258" s="1231"/>
      <c r="D258" s="1231"/>
      <c r="E258" s="1231"/>
      <c r="F258" s="1274"/>
      <c r="G258" s="1275"/>
    </row>
    <row r="259" spans="1:7" ht="15">
      <c r="A259" s="1218"/>
      <c r="B259" s="1356" t="s">
        <v>2343</v>
      </c>
      <c r="C259" s="1356"/>
      <c r="D259" s="1356"/>
      <c r="E259" s="1356"/>
      <c r="F259" s="1358"/>
      <c r="G259" s="1219" t="s">
        <v>2282</v>
      </c>
    </row>
    <row r="260" spans="1:7" ht="15">
      <c r="B260" s="1357"/>
      <c r="C260" s="1357"/>
      <c r="D260" s="1357"/>
      <c r="E260" s="1357"/>
      <c r="F260" s="1358"/>
      <c r="G260" s="1220" t="s">
        <v>61</v>
      </c>
    </row>
    <row r="261" spans="1:7">
      <c r="A261" s="1215" t="s">
        <v>2283</v>
      </c>
      <c r="G261" s="1221"/>
    </row>
    <row r="262" spans="1:7">
      <c r="A262" s="1222" t="s">
        <v>1997</v>
      </c>
      <c r="B262" s="1223"/>
      <c r="C262" s="1223"/>
      <c r="D262" s="1224" t="s">
        <v>1980</v>
      </c>
      <c r="E262" s="1224" t="s">
        <v>2284</v>
      </c>
      <c r="F262" s="1224" t="s">
        <v>2285</v>
      </c>
      <c r="G262" s="1224" t="s">
        <v>2286</v>
      </c>
    </row>
    <row r="263" spans="1:7">
      <c r="A263" s="1225"/>
      <c r="B263" s="1226"/>
      <c r="C263" s="1227"/>
      <c r="D263" s="1228"/>
      <c r="E263" s="1229"/>
      <c r="F263" s="1229"/>
      <c r="G263" s="1228"/>
    </row>
    <row r="264" spans="1:7">
      <c r="A264" s="1230" t="s">
        <v>3</v>
      </c>
      <c r="B264" s="1231"/>
      <c r="C264" s="1231"/>
      <c r="D264" s="1232" t="s">
        <v>62</v>
      </c>
      <c r="E264" s="1233">
        <v>10000</v>
      </c>
      <c r="F264" s="1233">
        <v>100</v>
      </c>
      <c r="G264" s="1232">
        <f>+E264/F264</f>
        <v>100</v>
      </c>
    </row>
    <row r="265" spans="1:7">
      <c r="A265" s="1234"/>
      <c r="B265" s="1235"/>
      <c r="C265" s="1235"/>
      <c r="D265" s="1236"/>
      <c r="E265" s="1236"/>
      <c r="F265" s="1236"/>
      <c r="G265" s="1237"/>
    </row>
    <row r="266" spans="1:7">
      <c r="A266" s="1231"/>
      <c r="B266" s="1231"/>
      <c r="C266" s="1231"/>
      <c r="D266" s="1231"/>
      <c r="E266" s="1231"/>
      <c r="F266" s="1224" t="s">
        <v>2287</v>
      </c>
      <c r="G266" s="1238">
        <f>ROUND(SUM(G263:G265),2)</f>
        <v>100</v>
      </c>
    </row>
    <row r="267" spans="1:7">
      <c r="A267" s="1231"/>
      <c r="B267" s="1231"/>
      <c r="C267" s="1231"/>
      <c r="D267" s="1231"/>
      <c r="E267" s="1231"/>
      <c r="F267" s="1231"/>
      <c r="G267" s="1239"/>
    </row>
    <row r="268" spans="1:7">
      <c r="G268" s="1221"/>
    </row>
    <row r="269" spans="1:7">
      <c r="A269" s="1215" t="s">
        <v>2288</v>
      </c>
      <c r="F269" s="1231"/>
      <c r="G269" s="1221"/>
    </row>
    <row r="270" spans="1:7">
      <c r="A270" s="1222" t="s">
        <v>1997</v>
      </c>
      <c r="B270" s="1240"/>
      <c r="C270" s="1224" t="s">
        <v>0</v>
      </c>
      <c r="D270" s="1224" t="s">
        <v>4</v>
      </c>
      <c r="E270" s="1222" t="s">
        <v>2289</v>
      </c>
      <c r="F270" s="1224" t="s">
        <v>2290</v>
      </c>
      <c r="G270" s="1224" t="s">
        <v>2286</v>
      </c>
    </row>
    <row r="271" spans="1:7">
      <c r="A271" s="1373" t="s">
        <v>2326</v>
      </c>
      <c r="B271" s="1374"/>
      <c r="C271" s="1375" t="s">
        <v>61</v>
      </c>
      <c r="D271" s="1372">
        <v>2522288</v>
      </c>
      <c r="E271" s="1376">
        <v>1</v>
      </c>
      <c r="F271" s="1245"/>
      <c r="G271" s="1372">
        <f>+D271*E271</f>
        <v>2522288</v>
      </c>
    </row>
    <row r="272" spans="1:7">
      <c r="A272" s="1359"/>
      <c r="B272" s="1360"/>
      <c r="C272" s="1361"/>
      <c r="D272" s="1362"/>
      <c r="E272" s="1363"/>
      <c r="F272" s="1250"/>
      <c r="G272" s="1362"/>
    </row>
    <row r="273" spans="1:7">
      <c r="A273" s="1230" t="s">
        <v>2318</v>
      </c>
      <c r="B273" s="1246"/>
      <c r="C273" s="1247" t="s">
        <v>61</v>
      </c>
      <c r="D273" s="1248">
        <f>719000*1.16</f>
        <v>834040</v>
      </c>
      <c r="E273" s="1249">
        <v>1</v>
      </c>
      <c r="F273" s="1250"/>
      <c r="G273" s="1251">
        <f>+D273*E273</f>
        <v>834040</v>
      </c>
    </row>
    <row r="274" spans="1:7">
      <c r="A274" s="1359" t="s">
        <v>2320</v>
      </c>
      <c r="B274" s="1360"/>
      <c r="C274" s="1361" t="s">
        <v>61</v>
      </c>
      <c r="D274" s="1362">
        <f>2919000*1.16</f>
        <v>3386039.9999999995</v>
      </c>
      <c r="E274" s="1363">
        <v>1</v>
      </c>
      <c r="F274" s="1361"/>
      <c r="G274" s="1362">
        <f>+D274*E274</f>
        <v>3386039.9999999995</v>
      </c>
    </row>
    <row r="275" spans="1:7">
      <c r="A275" s="1359"/>
      <c r="B275" s="1360"/>
      <c r="C275" s="1361"/>
      <c r="D275" s="1362"/>
      <c r="E275" s="1363"/>
      <c r="F275" s="1361"/>
      <c r="G275" s="1362"/>
    </row>
    <row r="276" spans="1:7">
      <c r="A276" s="1231" t="s">
        <v>2340</v>
      </c>
      <c r="B276" s="1253"/>
      <c r="C276" s="1247" t="s">
        <v>61</v>
      </c>
      <c r="D276" s="1248">
        <v>233800</v>
      </c>
      <c r="E276" s="1249">
        <v>1</v>
      </c>
      <c r="F276" s="1247"/>
      <c r="G276" s="1248">
        <f t="shared" ref="G276:G277" si="10">+D276*E276</f>
        <v>233800</v>
      </c>
    </row>
    <row r="277" spans="1:7">
      <c r="A277" s="1231" t="s">
        <v>2328</v>
      </c>
      <c r="B277" s="1253"/>
      <c r="C277" s="1247" t="s">
        <v>61</v>
      </c>
      <c r="D277" s="1248">
        <f>162000*1.16</f>
        <v>187920</v>
      </c>
      <c r="E277" s="1249">
        <v>1</v>
      </c>
      <c r="F277" s="1247"/>
      <c r="G277" s="1248">
        <f t="shared" si="10"/>
        <v>187920</v>
      </c>
    </row>
    <row r="278" spans="1:7">
      <c r="A278" s="1231" t="s">
        <v>2334</v>
      </c>
      <c r="B278" s="1253"/>
      <c r="C278" s="1247" t="s">
        <v>61</v>
      </c>
      <c r="D278" s="1248">
        <v>229000</v>
      </c>
      <c r="E278" s="1249">
        <v>1</v>
      </c>
      <c r="F278" s="1254"/>
      <c r="G278" s="1248">
        <f>+D278*E278</f>
        <v>229000</v>
      </c>
    </row>
    <row r="279" spans="1:7">
      <c r="A279" s="1359" t="s">
        <v>2330</v>
      </c>
      <c r="B279" s="1360"/>
      <c r="C279" s="1247" t="s">
        <v>61</v>
      </c>
      <c r="D279" s="1248">
        <v>142600</v>
      </c>
      <c r="E279" s="1249">
        <v>3</v>
      </c>
      <c r="F279" s="1254"/>
      <c r="G279" s="1248">
        <f t="shared" ref="G279:G280" si="11">+D279*E279</f>
        <v>427800</v>
      </c>
    </row>
    <row r="280" spans="1:7">
      <c r="A280" s="1231" t="s">
        <v>2335</v>
      </c>
      <c r="B280" s="1253"/>
      <c r="C280" s="1247" t="s">
        <v>61</v>
      </c>
      <c r="D280" s="1248">
        <v>429200</v>
      </c>
      <c r="E280" s="1249">
        <v>2</v>
      </c>
      <c r="F280" s="1254"/>
      <c r="G280" s="1248">
        <f t="shared" si="11"/>
        <v>858400</v>
      </c>
    </row>
    <row r="281" spans="1:7">
      <c r="A281" s="1364" t="s">
        <v>2341</v>
      </c>
      <c r="B281" s="1365"/>
      <c r="C281" s="1220" t="s">
        <v>61</v>
      </c>
      <c r="D281" s="1277">
        <v>426800</v>
      </c>
      <c r="E281" s="1278">
        <v>1</v>
      </c>
      <c r="F281" s="1236"/>
      <c r="G281" s="1277">
        <f>+D281*E281</f>
        <v>426800</v>
      </c>
    </row>
    <row r="282" spans="1:7">
      <c r="F282" s="1236" t="s">
        <v>2287</v>
      </c>
      <c r="G282" s="1255">
        <f>ROUND(SUM(G271:G281),2)</f>
        <v>9106088</v>
      </c>
    </row>
    <row r="283" spans="1:7">
      <c r="G283" s="1239"/>
    </row>
    <row r="284" spans="1:7">
      <c r="G284" s="1221"/>
    </row>
    <row r="285" spans="1:7">
      <c r="A285" s="1215" t="s">
        <v>2304</v>
      </c>
      <c r="G285" s="1221"/>
    </row>
    <row r="286" spans="1:7">
      <c r="A286" s="1222" t="s">
        <v>1997</v>
      </c>
      <c r="B286" s="1223"/>
      <c r="C286" s="1240"/>
      <c r="D286" s="1224" t="s">
        <v>2305</v>
      </c>
      <c r="E286" s="1224" t="s">
        <v>5</v>
      </c>
      <c r="F286" s="1224" t="s">
        <v>2306</v>
      </c>
      <c r="G286" s="1224" t="s">
        <v>2286</v>
      </c>
    </row>
    <row r="287" spans="1:7">
      <c r="A287" s="1241" t="s">
        <v>2307</v>
      </c>
      <c r="B287" s="1256"/>
      <c r="C287" s="1242"/>
      <c r="D287" s="1229"/>
      <c r="E287" s="1229"/>
      <c r="F287" s="1257">
        <v>300000</v>
      </c>
      <c r="G287" s="1258">
        <f>+F287</f>
        <v>300000</v>
      </c>
    </row>
    <row r="288" spans="1:7">
      <c r="A288" s="1230"/>
      <c r="B288" s="1231"/>
      <c r="C288" s="1246"/>
      <c r="D288" s="1233"/>
      <c r="E288" s="1233"/>
      <c r="F288" s="1233"/>
      <c r="G288" s="1259"/>
    </row>
    <row r="289" spans="1:7">
      <c r="A289" s="1230"/>
      <c r="B289" s="1231"/>
      <c r="C289" s="1246"/>
      <c r="D289" s="1233"/>
      <c r="E289" s="1233"/>
      <c r="F289" s="1233"/>
      <c r="G289" s="1259"/>
    </row>
    <row r="290" spans="1:7">
      <c r="A290" s="1234"/>
      <c r="B290" s="1235"/>
      <c r="C290" s="1260"/>
      <c r="D290" s="1261"/>
      <c r="E290" s="1261"/>
      <c r="F290" s="1261"/>
      <c r="G290" s="1259"/>
    </row>
    <row r="291" spans="1:7">
      <c r="F291" s="1262" t="s">
        <v>2308</v>
      </c>
      <c r="G291" s="1238">
        <f>ROUND(SUM(G287:G290),2)</f>
        <v>300000</v>
      </c>
    </row>
    <row r="292" spans="1:7">
      <c r="G292" s="1239"/>
    </row>
    <row r="293" spans="1:7">
      <c r="G293" s="1221"/>
    </row>
    <row r="294" spans="1:7">
      <c r="A294" s="1215" t="s">
        <v>2309</v>
      </c>
      <c r="G294" s="1221"/>
    </row>
    <row r="295" spans="1:7">
      <c r="A295" s="1369" t="s">
        <v>1997</v>
      </c>
      <c r="B295" s="1370"/>
      <c r="C295" s="1224" t="s">
        <v>2289</v>
      </c>
      <c r="D295" s="1224" t="s">
        <v>2310</v>
      </c>
      <c r="E295" s="1224" t="s">
        <v>2311</v>
      </c>
      <c r="F295" s="1224" t="s">
        <v>2285</v>
      </c>
      <c r="G295" s="1224" t="s">
        <v>2286</v>
      </c>
    </row>
    <row r="296" spans="1:7">
      <c r="A296" s="1230" t="s">
        <v>64</v>
      </c>
      <c r="B296" s="1246"/>
      <c r="C296" s="1233">
        <v>1</v>
      </c>
      <c r="D296" s="1233">
        <f>8500*8</f>
        <v>68000</v>
      </c>
      <c r="E296" s="1263">
        <f>+C296*D296</f>
        <v>68000</v>
      </c>
      <c r="F296" s="1254"/>
      <c r="G296" s="1254"/>
    </row>
    <row r="297" spans="1:7">
      <c r="A297" s="1230" t="s">
        <v>2312</v>
      </c>
      <c r="B297" s="1246"/>
      <c r="C297" s="1233">
        <v>3</v>
      </c>
      <c r="D297" s="1233">
        <f>5400*8</f>
        <v>43200</v>
      </c>
      <c r="E297" s="1263">
        <f>+C297*D297</f>
        <v>129600</v>
      </c>
      <c r="F297" s="1254"/>
      <c r="G297" s="1254"/>
    </row>
    <row r="298" spans="1:7">
      <c r="A298" s="1230"/>
      <c r="B298" s="1246"/>
      <c r="C298" s="1264"/>
      <c r="D298" s="1233"/>
      <c r="E298" s="1254"/>
      <c r="F298" s="1254"/>
      <c r="G298" s="1254"/>
    </row>
    <row r="299" spans="1:7">
      <c r="A299" s="1234"/>
      <c r="B299" s="1260"/>
      <c r="C299" s="1236"/>
      <c r="D299" s="1236"/>
      <c r="E299" s="1265">
        <f>SUM(E296:E298)</f>
        <v>197600</v>
      </c>
      <c r="F299" s="1266">
        <v>2</v>
      </c>
      <c r="G299" s="1233">
        <f>ROUND(+E299/F299,2)</f>
        <v>98800</v>
      </c>
    </row>
    <row r="300" spans="1:7">
      <c r="F300" s="1262" t="s">
        <v>2308</v>
      </c>
      <c r="G300" s="1267">
        <f>ROUND(SUM(G296:G299),0)</f>
        <v>98800</v>
      </c>
    </row>
    <row r="301" spans="1:7">
      <c r="F301" s="1246"/>
      <c r="G301" s="1268"/>
    </row>
    <row r="302" spans="1:7" ht="15">
      <c r="E302" s="1357" t="s">
        <v>2313</v>
      </c>
      <c r="F302" s="1358"/>
      <c r="G302" s="1269">
        <f>SUM(G266+G282+G291+G300)</f>
        <v>9504988</v>
      </c>
    </row>
    <row r="304" spans="1:7" ht="15">
      <c r="E304" s="1217"/>
      <c r="F304" s="1270" t="s">
        <v>2314</v>
      </c>
      <c r="G304" s="1271">
        <v>0.25</v>
      </c>
    </row>
    <row r="305" spans="1:7" ht="15">
      <c r="E305" s="1217"/>
      <c r="F305" s="1217"/>
      <c r="G305" s="1272"/>
    </row>
    <row r="306" spans="1:7" ht="15">
      <c r="E306" s="1371" t="s">
        <v>2315</v>
      </c>
      <c r="F306" s="1371"/>
      <c r="G306" s="1273">
        <f>ROUND(+(G304+1)*G302,0)</f>
        <v>11881235</v>
      </c>
    </row>
    <row r="307" spans="1:7">
      <c r="A307" s="1231"/>
      <c r="B307" s="1231"/>
      <c r="C307" s="1231"/>
      <c r="D307" s="1231"/>
      <c r="E307" s="1231"/>
      <c r="F307" s="1274"/>
      <c r="G307" s="1275"/>
    </row>
  </sheetData>
  <mergeCells count="108">
    <mergeCell ref="A279:B279"/>
    <mergeCell ref="A281:B281"/>
    <mergeCell ref="A295:B295"/>
    <mergeCell ref="E302:F302"/>
    <mergeCell ref="E306:F306"/>
    <mergeCell ref="A274:B275"/>
    <mergeCell ref="C274:C275"/>
    <mergeCell ref="D274:D275"/>
    <mergeCell ref="E274:E275"/>
    <mergeCell ref="F274:F275"/>
    <mergeCell ref="G274:G275"/>
    <mergeCell ref="B260:F260"/>
    <mergeCell ref="A271:B272"/>
    <mergeCell ref="C271:C272"/>
    <mergeCell ref="D271:D272"/>
    <mergeCell ref="E271:E272"/>
    <mergeCell ref="G271:G272"/>
    <mergeCell ref="A229:B229"/>
    <mergeCell ref="A231:B231"/>
    <mergeCell ref="A245:B245"/>
    <mergeCell ref="E252:F252"/>
    <mergeCell ref="E256:F256"/>
    <mergeCell ref="B259:F259"/>
    <mergeCell ref="A224:B225"/>
    <mergeCell ref="C224:C225"/>
    <mergeCell ref="D224:D225"/>
    <mergeCell ref="E224:E225"/>
    <mergeCell ref="F224:F225"/>
    <mergeCell ref="G224:G225"/>
    <mergeCell ref="B210:F210"/>
    <mergeCell ref="A221:B222"/>
    <mergeCell ref="C221:C222"/>
    <mergeCell ref="D221:D222"/>
    <mergeCell ref="E221:E222"/>
    <mergeCell ref="G221:G222"/>
    <mergeCell ref="A179:B179"/>
    <mergeCell ref="A181:B181"/>
    <mergeCell ref="A195:B195"/>
    <mergeCell ref="E202:F202"/>
    <mergeCell ref="E206:F206"/>
    <mergeCell ref="B209:F209"/>
    <mergeCell ref="A174:B175"/>
    <mergeCell ref="C174:C175"/>
    <mergeCell ref="D174:D175"/>
    <mergeCell ref="E174:E175"/>
    <mergeCell ref="F174:F175"/>
    <mergeCell ref="G174:G175"/>
    <mergeCell ref="B160:F160"/>
    <mergeCell ref="A171:B172"/>
    <mergeCell ref="C171:C172"/>
    <mergeCell ref="D171:D172"/>
    <mergeCell ref="E171:E172"/>
    <mergeCell ref="G171:G172"/>
    <mergeCell ref="A128:B128"/>
    <mergeCell ref="A131:B131"/>
    <mergeCell ref="A145:B145"/>
    <mergeCell ref="E152:F152"/>
    <mergeCell ref="E156:F156"/>
    <mergeCell ref="B159:F159"/>
    <mergeCell ref="A123:B124"/>
    <mergeCell ref="C123:C124"/>
    <mergeCell ref="D123:D124"/>
    <mergeCell ref="E123:E124"/>
    <mergeCell ref="F123:F124"/>
    <mergeCell ref="G123:G124"/>
    <mergeCell ref="B110:F110"/>
    <mergeCell ref="A121:B122"/>
    <mergeCell ref="C121:C122"/>
    <mergeCell ref="D121:D122"/>
    <mergeCell ref="E121:E122"/>
    <mergeCell ref="G121:G122"/>
    <mergeCell ref="A78:B78"/>
    <mergeCell ref="A81:B81"/>
    <mergeCell ref="A95:B95"/>
    <mergeCell ref="E102:F102"/>
    <mergeCell ref="E106:F106"/>
    <mergeCell ref="B109:F109"/>
    <mergeCell ref="A73:B74"/>
    <mergeCell ref="C73:C74"/>
    <mergeCell ref="D73:D74"/>
    <mergeCell ref="E73:E74"/>
    <mergeCell ref="F73:F74"/>
    <mergeCell ref="G73:G74"/>
    <mergeCell ref="B60:F60"/>
    <mergeCell ref="A71:B72"/>
    <mergeCell ref="C71:C72"/>
    <mergeCell ref="D71:D72"/>
    <mergeCell ref="E71:E72"/>
    <mergeCell ref="G71:G72"/>
    <mergeCell ref="A30:B30"/>
    <mergeCell ref="A31:B31"/>
    <mergeCell ref="A45:B45"/>
    <mergeCell ref="E52:F52"/>
    <mergeCell ref="E56:F56"/>
    <mergeCell ref="B59:F59"/>
    <mergeCell ref="G23:G24"/>
    <mergeCell ref="A25:B26"/>
    <mergeCell ref="C25:C26"/>
    <mergeCell ref="D25:D26"/>
    <mergeCell ref="E25:E26"/>
    <mergeCell ref="F25:F26"/>
    <mergeCell ref="G25:G26"/>
    <mergeCell ref="B11:F11"/>
    <mergeCell ref="B12:F12"/>
    <mergeCell ref="A23:B24"/>
    <mergeCell ref="C23:C24"/>
    <mergeCell ref="D23:D24"/>
    <mergeCell ref="E23:E24"/>
  </mergeCells>
  <pageMargins left="0.78740157480314965" right="0.59055118110236227" top="0.39370078740157483" bottom="0.78740157480314965" header="0.59055118110236227" footer="0.59055118110236227"/>
  <pageSetup scale="73"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10" workbookViewId="0">
      <selection activeCell="J32" sqref="J3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590</v>
      </c>
      <c r="B7" s="62"/>
      <c r="C7" s="61"/>
      <c r="D7" s="16"/>
      <c r="E7" s="62"/>
      <c r="F7" s="16"/>
      <c r="G7" s="62" t="s">
        <v>594</v>
      </c>
      <c r="H7" s="61"/>
    </row>
    <row r="8" spans="1:8">
      <c r="A8" s="60" t="s">
        <v>583</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1487</v>
      </c>
      <c r="B12" s="1481"/>
      <c r="C12" s="1482"/>
      <c r="D12" s="68"/>
      <c r="E12" s="86"/>
      <c r="F12" s="161"/>
      <c r="G12" s="71">
        <f>H38*10%</f>
        <v>8006.5779411963003</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8006.5779411963003</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t="s">
        <v>1812</v>
      </c>
      <c r="B21" s="84"/>
      <c r="C21" s="85"/>
      <c r="D21" s="141" t="s">
        <v>44</v>
      </c>
      <c r="E21" s="139">
        <f>MATERIALES!D31</f>
        <v>8900</v>
      </c>
      <c r="F21" s="163">
        <v>0.6</v>
      </c>
      <c r="G21" s="137">
        <f>E21*F21</f>
        <v>5340</v>
      </c>
      <c r="H21" s="59"/>
    </row>
    <row r="22" spans="1:8">
      <c r="A22" s="127" t="s">
        <v>1814</v>
      </c>
      <c r="B22" s="84"/>
      <c r="C22" s="85"/>
      <c r="D22" s="141" t="s">
        <v>61</v>
      </c>
      <c r="E22" s="139">
        <f>MATERIALES!D35</f>
        <v>400</v>
      </c>
      <c r="F22" s="163">
        <v>8</v>
      </c>
      <c r="G22" s="137">
        <f>E22*F22</f>
        <v>3200</v>
      </c>
      <c r="H22" s="59"/>
    </row>
    <row r="23" spans="1:8">
      <c r="A23" s="127" t="s">
        <v>1816</v>
      </c>
      <c r="B23" s="84"/>
      <c r="C23" s="85"/>
      <c r="D23" s="141" t="s">
        <v>1809</v>
      </c>
      <c r="E23" s="139">
        <f>MATERIALES!D27</f>
        <v>1700</v>
      </c>
      <c r="F23" s="163">
        <v>10</v>
      </c>
      <c r="G23" s="137">
        <f>E23*F23</f>
        <v>17000</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25540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t="s">
        <v>564</v>
      </c>
      <c r="B34" s="84"/>
      <c r="C34" s="103">
        <f>+SALARIOS!C49*3</f>
        <v>76716</v>
      </c>
      <c r="D34" s="104">
        <f>+SALARIOS!C48</f>
        <v>1.7846558312967005</v>
      </c>
      <c r="E34" s="69">
        <f>C34*D34</f>
        <v>136911.65675375768</v>
      </c>
      <c r="F34" s="69">
        <v>2.1</v>
      </c>
      <c r="G34" s="105">
        <f>E34/F34</f>
        <v>65196.027025598894</v>
      </c>
      <c r="H34" s="72"/>
    </row>
    <row r="35" spans="1:8">
      <c r="A35" s="83" t="s">
        <v>624</v>
      </c>
      <c r="B35" s="84"/>
      <c r="C35" s="103">
        <f>SALARIOS!C50</f>
        <v>41660</v>
      </c>
      <c r="D35" s="104">
        <f>+SALARIOS!C48</f>
        <v>1.7846558312967005</v>
      </c>
      <c r="E35" s="69">
        <f>C35*D35</f>
        <v>74348.76193182054</v>
      </c>
      <c r="F35" s="69">
        <v>5</v>
      </c>
      <c r="G35" s="105">
        <f>E35/F35</f>
        <v>14869.752386364107</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80065.779411962998</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113612.3573531593</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17041.853602973893</v>
      </c>
      <c r="H43" s="117"/>
    </row>
    <row r="44" spans="1:8">
      <c r="A44" s="83" t="s">
        <v>513</v>
      </c>
      <c r="B44" s="84"/>
      <c r="C44" s="84"/>
      <c r="D44" s="84"/>
      <c r="E44" s="85"/>
      <c r="F44" s="115">
        <f>(SALARIOS!C46)</f>
        <v>0.05</v>
      </c>
      <c r="G44" s="116">
        <f>+F44*H40</f>
        <v>5680.6178676579657</v>
      </c>
      <c r="H44" s="117"/>
    </row>
    <row r="45" spans="1:8" ht="15.75" thickBot="1">
      <c r="A45" s="89" t="s">
        <v>514</v>
      </c>
      <c r="B45" s="90"/>
      <c r="C45" s="90"/>
      <c r="D45" s="90"/>
      <c r="E45" s="91"/>
      <c r="F45" s="118">
        <f>SALARIOS!C47</f>
        <v>0.05</v>
      </c>
      <c r="G45" s="119">
        <f>+F45*H40</f>
        <v>5680.6178676579657</v>
      </c>
      <c r="H45" s="80"/>
    </row>
    <row r="46" spans="1:8" ht="15.75" thickBot="1">
      <c r="A46" s="61"/>
      <c r="B46" s="61"/>
      <c r="C46" s="61"/>
      <c r="D46" s="61"/>
      <c r="E46" s="61"/>
      <c r="F46" s="61"/>
      <c r="G46" s="81" t="s">
        <v>491</v>
      </c>
      <c r="H46" s="120">
        <f>SUM(G43:G45)</f>
        <v>28403.089338289825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142015</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19"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595</v>
      </c>
      <c r="B7" s="62"/>
      <c r="C7" s="61"/>
      <c r="D7" s="16"/>
      <c r="E7" s="62"/>
      <c r="F7" s="16"/>
      <c r="G7" s="62" t="s">
        <v>596</v>
      </c>
      <c r="H7" s="61"/>
    </row>
    <row r="8" spans="1:8">
      <c r="A8" s="60" t="s">
        <v>578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1487</v>
      </c>
      <c r="B12" s="1481"/>
      <c r="C12" s="1482"/>
      <c r="D12" s="68"/>
      <c r="E12" s="86"/>
      <c r="F12" s="161"/>
      <c r="G12" s="71">
        <f>H38*10%</f>
        <v>3380.5347346606832</v>
      </c>
      <c r="H12" s="72"/>
    </row>
    <row r="13" spans="1:8">
      <c r="A13" s="175" t="s">
        <v>1802</v>
      </c>
      <c r="B13" s="176"/>
      <c r="C13" s="174"/>
      <c r="D13" s="174" t="s">
        <v>17</v>
      </c>
      <c r="E13" s="173">
        <f>'EQUIPOS '!D14</f>
        <v>44660</v>
      </c>
      <c r="F13" s="688">
        <v>0.2</v>
      </c>
      <c r="G13" s="173">
        <f>E13*F13</f>
        <v>8932</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12312.534734660683</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t="s">
        <v>554</v>
      </c>
      <c r="B34" s="84"/>
      <c r="C34" s="103">
        <f>+SALARIOS!C49*2</f>
        <v>51144</v>
      </c>
      <c r="D34" s="104">
        <f>+SALARIOS!C48</f>
        <v>1.7846558312967005</v>
      </c>
      <c r="E34" s="69">
        <f>C34*D34</f>
        <v>91274.437835838442</v>
      </c>
      <c r="F34" s="69">
        <v>2.7</v>
      </c>
      <c r="G34" s="105">
        <f>E34/F34</f>
        <v>33805.347346606832</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33805.347346606832</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46117.882081267511</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6917.6823121901261</v>
      </c>
      <c r="H43" s="117"/>
    </row>
    <row r="44" spans="1:8">
      <c r="A44" s="83" t="s">
        <v>513</v>
      </c>
      <c r="B44" s="84"/>
      <c r="C44" s="84"/>
      <c r="D44" s="84"/>
      <c r="E44" s="85"/>
      <c r="F44" s="115">
        <f>(SALARIOS!C46)</f>
        <v>0.05</v>
      </c>
      <c r="G44" s="116">
        <f>+F44*H40</f>
        <v>2305.8941040633758</v>
      </c>
      <c r="H44" s="117"/>
    </row>
    <row r="45" spans="1:8" ht="15.75" thickBot="1">
      <c r="A45" s="89" t="s">
        <v>514</v>
      </c>
      <c r="B45" s="90"/>
      <c r="C45" s="90"/>
      <c r="D45" s="90"/>
      <c r="E45" s="91"/>
      <c r="F45" s="118">
        <f>SALARIOS!C47</f>
        <v>0.05</v>
      </c>
      <c r="G45" s="119">
        <f>+F45*H40</f>
        <v>2305.8941040633758</v>
      </c>
      <c r="H45" s="80"/>
    </row>
    <row r="46" spans="1:8" ht="15.75" thickBot="1">
      <c r="A46" s="61"/>
      <c r="B46" s="61"/>
      <c r="C46" s="61"/>
      <c r="D46" s="61"/>
      <c r="E46" s="61"/>
      <c r="F46" s="61"/>
      <c r="G46" s="81" t="s">
        <v>491</v>
      </c>
      <c r="H46" s="120">
        <f>SUM(G43:G45)</f>
        <v>11529.470520316878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57647</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28"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595</v>
      </c>
      <c r="B7" s="62"/>
      <c r="C7" s="61"/>
      <c r="D7" s="16"/>
      <c r="E7" s="62"/>
      <c r="F7" s="16"/>
      <c r="G7" s="62" t="s">
        <v>597</v>
      </c>
      <c r="H7" s="61"/>
    </row>
    <row r="8" spans="1:8">
      <c r="A8" s="60" t="s">
        <v>579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1487</v>
      </c>
      <c r="B12" s="1481"/>
      <c r="C12" s="1482"/>
      <c r="D12" s="68"/>
      <c r="E12" s="86"/>
      <c r="F12" s="161"/>
      <c r="G12" s="71">
        <f>H38*10%</f>
        <v>3650.9775134335378</v>
      </c>
      <c r="H12" s="72"/>
    </row>
    <row r="13" spans="1:8">
      <c r="A13" s="175" t="s">
        <v>1802</v>
      </c>
      <c r="B13" s="176"/>
      <c r="C13" s="174"/>
      <c r="D13" s="174" t="s">
        <v>17</v>
      </c>
      <c r="E13" s="173">
        <f>'EQUIPOS '!D14</f>
        <v>44660</v>
      </c>
      <c r="F13" s="688">
        <v>0.2</v>
      </c>
      <c r="G13" s="173">
        <f>E13*F13</f>
        <v>8932</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12582.977513433538</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t="s">
        <v>554</v>
      </c>
      <c r="B34" s="84"/>
      <c r="C34" s="103">
        <f>+SALARIOS!C49*2</f>
        <v>51144</v>
      </c>
      <c r="D34" s="104">
        <f>+SALARIOS!C48</f>
        <v>1.7846558312967005</v>
      </c>
      <c r="E34" s="69">
        <f>C34*D34</f>
        <v>91274.437835838442</v>
      </c>
      <c r="F34" s="69">
        <v>2.5</v>
      </c>
      <c r="G34" s="105">
        <f>E34/F34</f>
        <v>36509.775134335374</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36509.775134335374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49092.75264776891</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7363.9128971653363</v>
      </c>
      <c r="H43" s="117"/>
    </row>
    <row r="44" spans="1:8">
      <c r="A44" s="83" t="s">
        <v>513</v>
      </c>
      <c r="B44" s="84"/>
      <c r="C44" s="84"/>
      <c r="D44" s="84"/>
      <c r="E44" s="85"/>
      <c r="F44" s="115">
        <f>(SALARIOS!C46)</f>
        <v>0.05</v>
      </c>
      <c r="G44" s="116">
        <f>+F44*H40</f>
        <v>2454.6376323884456</v>
      </c>
      <c r="H44" s="117"/>
    </row>
    <row r="45" spans="1:8" ht="15.75" thickBot="1">
      <c r="A45" s="89" t="s">
        <v>514</v>
      </c>
      <c r="B45" s="90"/>
      <c r="C45" s="90"/>
      <c r="D45" s="90"/>
      <c r="E45" s="91"/>
      <c r="F45" s="118">
        <f>SALARIOS!C47</f>
        <v>0.05</v>
      </c>
      <c r="G45" s="119">
        <f>+F45*H40</f>
        <v>2454.6376323884456</v>
      </c>
      <c r="H45" s="80"/>
    </row>
    <row r="46" spans="1:8" ht="15.75" thickBot="1">
      <c r="A46" s="61"/>
      <c r="B46" s="61"/>
      <c r="C46" s="61"/>
      <c r="D46" s="61"/>
      <c r="E46" s="61"/>
      <c r="F46" s="61"/>
      <c r="G46" s="81" t="s">
        <v>491</v>
      </c>
      <c r="H46" s="120">
        <f>SUM(G43:G45)</f>
        <v>12273.188161942227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61366</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31" workbookViewId="0">
      <selection activeCell="D14" sqref="D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595</v>
      </c>
      <c r="B7" s="62"/>
      <c r="C7" s="61"/>
      <c r="D7" s="16"/>
      <c r="E7" s="62"/>
      <c r="F7" s="16"/>
      <c r="G7" s="62" t="s">
        <v>598</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1487</v>
      </c>
      <c r="B12" s="1481"/>
      <c r="C12" s="1482"/>
      <c r="D12" s="68"/>
      <c r="E12" s="86"/>
      <c r="F12" s="161"/>
      <c r="G12" s="71">
        <f>H38*10%</f>
        <v>6519.6027025598896</v>
      </c>
      <c r="H12" s="72"/>
    </row>
    <row r="13" spans="1:8">
      <c r="A13" s="746" t="s">
        <v>63</v>
      </c>
      <c r="B13" s="176"/>
      <c r="C13" s="174"/>
      <c r="D13" s="174" t="s">
        <v>17</v>
      </c>
      <c r="E13" s="173">
        <f>+'EQUIPOS '!D9</f>
        <v>84100</v>
      </c>
      <c r="F13" s="173">
        <v>15</v>
      </c>
      <c r="G13" s="173">
        <f>ROUND(+E13/F13,2)</f>
        <v>5606.67</v>
      </c>
      <c r="H13" s="72"/>
    </row>
    <row r="14" spans="1:8">
      <c r="A14" s="175" t="s">
        <v>1802</v>
      </c>
      <c r="B14" s="176"/>
      <c r="C14" s="174"/>
      <c r="D14" s="174" t="s">
        <v>17</v>
      </c>
      <c r="E14" s="173">
        <f>'EQUIPOS '!D15</f>
        <v>100000</v>
      </c>
      <c r="F14" s="688">
        <v>0.2</v>
      </c>
      <c r="G14" s="173">
        <f>E14*F14</f>
        <v>20000</v>
      </c>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32126.272702559891</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t="s">
        <v>564</v>
      </c>
      <c r="B34" s="84"/>
      <c r="C34" s="103">
        <f>+SALARIOS!C49*3</f>
        <v>76716</v>
      </c>
      <c r="D34" s="104">
        <f>+SALARIOS!C48</f>
        <v>1.7846558312967005</v>
      </c>
      <c r="E34" s="69">
        <f>C34*D34</f>
        <v>136911.65675375768</v>
      </c>
      <c r="F34" s="69">
        <v>2.1</v>
      </c>
      <c r="G34" s="105">
        <f>E34/F34</f>
        <v>65196.027025598894</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65196.027025598894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97322.299728158789</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14598.344959223818</v>
      </c>
      <c r="H43" s="117"/>
    </row>
    <row r="44" spans="1:8">
      <c r="A44" s="83" t="s">
        <v>513</v>
      </c>
      <c r="B44" s="84"/>
      <c r="C44" s="84"/>
      <c r="D44" s="84"/>
      <c r="E44" s="85"/>
      <c r="F44" s="115">
        <f>(SALARIOS!C46)</f>
        <v>0.05</v>
      </c>
      <c r="G44" s="116">
        <f>+F44*H40</f>
        <v>4866.1149864079398</v>
      </c>
      <c r="H44" s="117"/>
    </row>
    <row r="45" spans="1:8" ht="15.75" thickBot="1">
      <c r="A45" s="89" t="s">
        <v>514</v>
      </c>
      <c r="B45" s="90"/>
      <c r="C45" s="90"/>
      <c r="D45" s="90"/>
      <c r="E45" s="91"/>
      <c r="F45" s="118">
        <f>SALARIOS!C47</f>
        <v>0.05</v>
      </c>
      <c r="G45" s="119">
        <f>+F45*H40</f>
        <v>4866.1149864079398</v>
      </c>
      <c r="H45" s="80"/>
    </row>
    <row r="46" spans="1:8" ht="15.75" thickBot="1">
      <c r="A46" s="61"/>
      <c r="B46" s="61"/>
      <c r="C46" s="61"/>
      <c r="D46" s="61"/>
      <c r="E46" s="61"/>
      <c r="F46" s="61"/>
      <c r="G46" s="81" t="s">
        <v>491</v>
      </c>
      <c r="H46" s="120">
        <f>SUM(G43:G45)</f>
        <v>24330.574932039701</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121653</v>
      </c>
    </row>
  </sheetData>
  <mergeCells count="11">
    <mergeCell ref="A33:B33"/>
    <mergeCell ref="A3:C4"/>
    <mergeCell ref="A5:C5"/>
    <mergeCell ref="D5:H5"/>
    <mergeCell ref="A11:C11"/>
    <mergeCell ref="A12:C12"/>
    <mergeCell ref="A15:C15"/>
    <mergeCell ref="A16:C16"/>
    <mergeCell ref="A17:C17"/>
    <mergeCell ref="A20:C20"/>
    <mergeCell ref="A27:B2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31"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599</v>
      </c>
      <c r="B7" s="62"/>
      <c r="C7" s="61"/>
      <c r="D7" s="16"/>
      <c r="E7" s="62"/>
      <c r="F7" s="16"/>
      <c r="G7" s="62" t="s">
        <v>600</v>
      </c>
      <c r="H7" s="61"/>
    </row>
    <row r="8" spans="1:8">
      <c r="A8" s="60" t="s">
        <v>578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1487</v>
      </c>
      <c r="B12" s="1481"/>
      <c r="C12" s="1482"/>
      <c r="D12" s="68"/>
      <c r="E12" s="86"/>
      <c r="F12" s="161"/>
      <c r="G12" s="71">
        <f>H38*10%</f>
        <v>4563.7218917919226</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4563.7218917919226</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t="s">
        <v>564</v>
      </c>
      <c r="B34" s="84"/>
      <c r="C34" s="103">
        <f>+SALARIOS!C49*3</f>
        <v>76716</v>
      </c>
      <c r="D34" s="104">
        <f>+SALARIOS!C48</f>
        <v>1.7846558312967005</v>
      </c>
      <c r="E34" s="69">
        <f>C34*D34</f>
        <v>136911.65675375768</v>
      </c>
      <c r="F34" s="69">
        <v>3</v>
      </c>
      <c r="G34" s="105">
        <f>E34/F34</f>
        <v>45637.218917919228</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45637.218917919228</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50200.940809711152</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7530.1411214566724</v>
      </c>
      <c r="H43" s="117"/>
    </row>
    <row r="44" spans="1:8">
      <c r="A44" s="83" t="s">
        <v>513</v>
      </c>
      <c r="B44" s="84"/>
      <c r="C44" s="84"/>
      <c r="D44" s="84"/>
      <c r="E44" s="85"/>
      <c r="F44" s="115">
        <f>(SALARIOS!C46)</f>
        <v>0.05</v>
      </c>
      <c r="G44" s="116">
        <f>+F44*H40</f>
        <v>2510.0470404855578</v>
      </c>
      <c r="H44" s="117"/>
    </row>
    <row r="45" spans="1:8" ht="15.75" thickBot="1">
      <c r="A45" s="89" t="s">
        <v>514</v>
      </c>
      <c r="B45" s="90"/>
      <c r="C45" s="90"/>
      <c r="D45" s="90"/>
      <c r="E45" s="91"/>
      <c r="F45" s="118">
        <f>SALARIOS!C47</f>
        <v>0.05</v>
      </c>
      <c r="G45" s="119">
        <f>+F45*H40</f>
        <v>2510.0470404855578</v>
      </c>
      <c r="H45" s="80"/>
    </row>
    <row r="46" spans="1:8" ht="15.75" thickBot="1">
      <c r="A46" s="61"/>
      <c r="B46" s="61"/>
      <c r="C46" s="61"/>
      <c r="D46" s="61"/>
      <c r="E46" s="61"/>
      <c r="F46" s="61"/>
      <c r="G46" s="81" t="s">
        <v>491</v>
      </c>
      <c r="H46" s="120">
        <f>SUM(G43:G45)</f>
        <v>12550.23520242779</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62751</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48"/>
  <sheetViews>
    <sheetView topLeftCell="A31"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599</v>
      </c>
      <c r="B7" s="62"/>
      <c r="C7" s="61"/>
      <c r="D7" s="16"/>
      <c r="E7" s="62"/>
      <c r="F7" s="16"/>
      <c r="G7" s="62" t="s">
        <v>601</v>
      </c>
      <c r="H7" s="61"/>
    </row>
    <row r="8" spans="1:8">
      <c r="A8" s="60" t="s">
        <v>579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1487</v>
      </c>
      <c r="B12" s="1481"/>
      <c r="C12" s="1482"/>
      <c r="D12" s="68"/>
      <c r="E12" s="86"/>
      <c r="F12" s="161"/>
      <c r="G12" s="71">
        <f>H38*10%</f>
        <v>5476.4662701503075</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5476.4662701503075</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t="s">
        <v>564</v>
      </c>
      <c r="B34" s="84"/>
      <c r="C34" s="103">
        <f>+SALARIOS!C49*3</f>
        <v>76716</v>
      </c>
      <c r="D34" s="104">
        <f>+SALARIOS!C48</f>
        <v>1.7846558312967005</v>
      </c>
      <c r="E34" s="69">
        <f>C34*D34</f>
        <v>136911.65675375768</v>
      </c>
      <c r="F34" s="69">
        <v>2.5</v>
      </c>
      <c r="G34" s="105">
        <f>E34/F34</f>
        <v>54764.662701503068</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54764.662701503068</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60241.128971653379</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9036.1693457480069</v>
      </c>
      <c r="H43" s="117"/>
    </row>
    <row r="44" spans="1:8">
      <c r="A44" s="83" t="s">
        <v>513</v>
      </c>
      <c r="B44" s="84"/>
      <c r="C44" s="84"/>
      <c r="D44" s="84"/>
      <c r="E44" s="85"/>
      <c r="F44" s="115">
        <f>(SALARIOS!C46)</f>
        <v>0.05</v>
      </c>
      <c r="G44" s="116">
        <f>+F44*H40</f>
        <v>3012.056448582669</v>
      </c>
      <c r="H44" s="117"/>
    </row>
    <row r="45" spans="1:8" ht="15.75" thickBot="1">
      <c r="A45" s="89" t="s">
        <v>514</v>
      </c>
      <c r="B45" s="90"/>
      <c r="C45" s="90"/>
      <c r="D45" s="90"/>
      <c r="E45" s="91"/>
      <c r="F45" s="118">
        <f>SALARIOS!C47</f>
        <v>0.05</v>
      </c>
      <c r="G45" s="119">
        <f>+F45*H40</f>
        <v>3012.056448582669</v>
      </c>
      <c r="H45" s="80"/>
    </row>
    <row r="46" spans="1:8" ht="15.75" thickBot="1">
      <c r="A46" s="61"/>
      <c r="B46" s="61"/>
      <c r="C46" s="61"/>
      <c r="D46" s="61"/>
      <c r="E46" s="61"/>
      <c r="F46" s="61"/>
      <c r="G46" s="81" t="s">
        <v>491</v>
      </c>
      <c r="H46" s="120">
        <f>SUM(G43:G45)</f>
        <v>15060.282242913345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75301</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6"/>
  <sheetViews>
    <sheetView topLeftCell="A28" zoomScaleNormal="100" workbookViewId="0">
      <selection activeCell="N12" sqref="N12"/>
    </sheetView>
  </sheetViews>
  <sheetFormatPr baseColWidth="10" defaultRowHeight="15"/>
  <sheetData>
    <row r="1" spans="1:8">
      <c r="A1" s="1445" t="s">
        <v>519</v>
      </c>
      <c r="B1" s="1446"/>
      <c r="C1" s="1447"/>
      <c r="D1" s="55"/>
      <c r="E1" s="56"/>
      <c r="F1" s="55"/>
      <c r="G1" s="55"/>
      <c r="H1" s="57"/>
    </row>
    <row r="2" spans="1:8">
      <c r="A2" s="1448"/>
      <c r="B2" s="1449"/>
      <c r="C2" s="1450"/>
      <c r="D2" s="58"/>
      <c r="E2" s="51" t="s">
        <v>483</v>
      </c>
      <c r="F2" s="58"/>
      <c r="G2" s="58"/>
      <c r="H2" s="59"/>
    </row>
    <row r="3" spans="1:8" ht="15.75" thickBot="1">
      <c r="A3" s="1451" t="s">
        <v>520</v>
      </c>
      <c r="B3" s="1452"/>
      <c r="C3" s="1453"/>
      <c r="D3" s="1457"/>
      <c r="E3" s="1458"/>
      <c r="F3" s="1458"/>
      <c r="G3" s="1458"/>
      <c r="H3" s="1459"/>
    </row>
    <row r="4" spans="1:8">
      <c r="A4" s="60"/>
      <c r="B4" s="61"/>
      <c r="C4" s="61"/>
      <c r="D4" s="61"/>
      <c r="E4" s="61"/>
      <c r="F4" s="61"/>
      <c r="G4" s="61"/>
      <c r="H4" s="61"/>
    </row>
    <row r="5" spans="1:8">
      <c r="A5" s="60" t="s">
        <v>599</v>
      </c>
      <c r="B5" s="62"/>
      <c r="C5" s="61"/>
      <c r="D5" s="16"/>
      <c r="E5" s="62"/>
      <c r="F5" s="16"/>
      <c r="G5" s="62" t="s">
        <v>602</v>
      </c>
      <c r="H5" s="61"/>
    </row>
    <row r="6" spans="1:8">
      <c r="A6" s="60" t="s">
        <v>581</v>
      </c>
      <c r="B6" s="62"/>
      <c r="C6" s="61"/>
      <c r="D6" s="62"/>
      <c r="E6" s="62"/>
      <c r="F6" s="62"/>
      <c r="G6" s="62" t="s">
        <v>530</v>
      </c>
      <c r="H6" s="61"/>
    </row>
    <row r="7" spans="1:8">
      <c r="A7" s="62"/>
      <c r="B7" s="62"/>
      <c r="C7" s="61"/>
      <c r="D7" s="62"/>
      <c r="E7" s="62"/>
      <c r="F7" s="62"/>
      <c r="G7" s="62"/>
      <c r="H7" s="61"/>
    </row>
    <row r="8" spans="1:8" ht="15.75" thickBot="1">
      <c r="A8" s="63" t="s">
        <v>484</v>
      </c>
      <c r="B8" s="63"/>
      <c r="C8" s="61"/>
      <c r="D8" s="61"/>
      <c r="E8" s="61"/>
      <c r="F8" s="61"/>
      <c r="G8" s="61"/>
      <c r="H8" s="61"/>
    </row>
    <row r="9" spans="1:8">
      <c r="A9" s="1454" t="s">
        <v>485</v>
      </c>
      <c r="B9" s="1455"/>
      <c r="C9" s="1456"/>
      <c r="D9" s="178" t="s">
        <v>486</v>
      </c>
      <c r="E9" s="65" t="s">
        <v>487</v>
      </c>
      <c r="F9" s="178" t="s">
        <v>488</v>
      </c>
      <c r="G9" s="177" t="s">
        <v>489</v>
      </c>
      <c r="H9" s="67"/>
    </row>
    <row r="10" spans="1:8">
      <c r="A10" s="1480" t="s">
        <v>1487</v>
      </c>
      <c r="B10" s="1481"/>
      <c r="C10" s="1482"/>
      <c r="D10" s="68"/>
      <c r="E10" s="86"/>
      <c r="F10" s="161"/>
      <c r="G10" s="71">
        <f>H36*10%</f>
        <v>6845.5828376878844</v>
      </c>
      <c r="H10" s="72"/>
    </row>
    <row r="11" spans="1:8">
      <c r="A11" s="175" t="s">
        <v>63</v>
      </c>
      <c r="B11" s="176"/>
      <c r="C11" s="174"/>
      <c r="D11" s="174" t="s">
        <v>17</v>
      </c>
      <c r="E11" s="173">
        <f>+'EQUIPOS '!D9</f>
        <v>84100</v>
      </c>
      <c r="F11" s="173">
        <v>17</v>
      </c>
      <c r="G11" s="173">
        <f>+E11/F11</f>
        <v>4947.0588235294117</v>
      </c>
      <c r="H11" s="72"/>
    </row>
    <row r="12" spans="1:8">
      <c r="A12" s="1483"/>
      <c r="B12" s="1484"/>
      <c r="C12" s="1485"/>
      <c r="D12" s="73"/>
      <c r="E12" s="74"/>
      <c r="F12" s="69"/>
      <c r="G12" s="71"/>
      <c r="H12" s="72"/>
    </row>
    <row r="13" spans="1:8">
      <c r="A13" s="1463"/>
      <c r="B13" s="1464"/>
      <c r="C13" s="1465"/>
      <c r="D13" s="73"/>
      <c r="E13" s="74"/>
      <c r="F13" s="69"/>
      <c r="G13" s="71"/>
      <c r="H13" s="72"/>
    </row>
    <row r="14" spans="1:8">
      <c r="A14" s="1463"/>
      <c r="B14" s="1464"/>
      <c r="C14" s="1465"/>
      <c r="D14" s="73"/>
      <c r="E14" s="74"/>
      <c r="F14" s="69"/>
      <c r="G14" s="71"/>
      <c r="H14" s="72"/>
    </row>
    <row r="15" spans="1:8" ht="15.75" thickBot="1">
      <c r="A15" s="1466"/>
      <c r="B15" s="1467"/>
      <c r="C15" s="1468"/>
      <c r="D15" s="76"/>
      <c r="E15" s="77"/>
      <c r="F15" s="78"/>
      <c r="G15" s="79"/>
      <c r="H15" s="80"/>
    </row>
    <row r="16" spans="1:8" ht="15.75" thickBot="1">
      <c r="A16" s="61"/>
      <c r="B16" s="61"/>
      <c r="C16" s="61"/>
      <c r="D16" s="61"/>
      <c r="E16" s="61"/>
      <c r="F16" s="61"/>
      <c r="G16" s="81" t="s">
        <v>491</v>
      </c>
      <c r="H16" s="82">
        <f>SUM(G10:G15)</f>
        <v>11792.641661217296</v>
      </c>
    </row>
    <row r="17" spans="1:8" ht="15.75" thickBot="1">
      <c r="A17" s="63" t="s">
        <v>492</v>
      </c>
      <c r="B17" s="63"/>
      <c r="C17" s="61"/>
      <c r="D17" s="61"/>
      <c r="E17" s="61"/>
      <c r="F17" s="61"/>
      <c r="G17" s="61"/>
      <c r="H17" s="61"/>
    </row>
    <row r="18" spans="1:8">
      <c r="A18" s="1472" t="s">
        <v>485</v>
      </c>
      <c r="B18" s="1473"/>
      <c r="C18" s="1474"/>
      <c r="D18" s="180" t="s">
        <v>493</v>
      </c>
      <c r="E18" s="180" t="s">
        <v>494</v>
      </c>
      <c r="F18" s="180" t="s">
        <v>495</v>
      </c>
      <c r="G18" s="179" t="s">
        <v>489</v>
      </c>
      <c r="H18" s="67"/>
    </row>
    <row r="19" spans="1:8">
      <c r="A19" s="127"/>
      <c r="B19" s="84"/>
      <c r="C19" s="85"/>
      <c r="D19" s="141"/>
      <c r="E19" s="139"/>
      <c r="F19" s="163"/>
      <c r="G19" s="137"/>
      <c r="H19" s="59"/>
    </row>
    <row r="20" spans="1:8">
      <c r="A20" s="127"/>
      <c r="B20" s="84"/>
      <c r="C20" s="85"/>
      <c r="D20" s="68"/>
      <c r="E20" s="142"/>
      <c r="F20" s="70"/>
      <c r="G20" s="69"/>
      <c r="H20" s="59"/>
    </row>
    <row r="21" spans="1:8">
      <c r="A21" s="128"/>
      <c r="B21" s="129"/>
      <c r="C21" s="130"/>
      <c r="D21" s="131"/>
      <c r="E21" s="132"/>
      <c r="F21" s="133"/>
      <c r="G21" s="138"/>
      <c r="H21" s="59"/>
    </row>
    <row r="22" spans="1:8" ht="15.75" thickBot="1">
      <c r="A22" s="89"/>
      <c r="B22" s="90"/>
      <c r="C22" s="91"/>
      <c r="D22" s="76"/>
      <c r="E22" s="77"/>
      <c r="F22" s="78"/>
      <c r="G22" s="79"/>
      <c r="H22" s="80"/>
    </row>
    <row r="23" spans="1:8" ht="15.75" thickBot="1">
      <c r="A23" s="61"/>
      <c r="B23" s="61"/>
      <c r="C23" s="61"/>
      <c r="D23" s="61"/>
      <c r="E23" s="61"/>
      <c r="F23" s="61"/>
      <c r="G23" s="81" t="s">
        <v>491</v>
      </c>
      <c r="H23" s="82">
        <f>SUM(G19:G22)</f>
        <v>0</v>
      </c>
    </row>
    <row r="24" spans="1:8" ht="15.75" thickBot="1">
      <c r="A24" s="92" t="s">
        <v>496</v>
      </c>
      <c r="B24" s="92"/>
      <c r="C24" s="90"/>
      <c r="D24" s="61"/>
      <c r="E24" s="61"/>
      <c r="F24" s="61"/>
      <c r="G24" s="61"/>
      <c r="H24" s="61"/>
    </row>
    <row r="25" spans="1:8">
      <c r="A25" s="1454" t="s">
        <v>497</v>
      </c>
      <c r="B25" s="1456"/>
      <c r="C25" s="93" t="s">
        <v>498</v>
      </c>
      <c r="D25" s="178" t="s">
        <v>499</v>
      </c>
      <c r="E25" s="178" t="s">
        <v>500</v>
      </c>
      <c r="F25" s="178" t="s">
        <v>501</v>
      </c>
      <c r="G25" s="94" t="s">
        <v>489</v>
      </c>
      <c r="H25" s="67"/>
    </row>
    <row r="26" spans="1:8">
      <c r="A26" s="83"/>
      <c r="B26" s="84"/>
      <c r="C26" s="95"/>
      <c r="D26" s="96"/>
      <c r="E26" s="96"/>
      <c r="F26" s="97"/>
      <c r="G26" s="69"/>
      <c r="H26" s="72"/>
    </row>
    <row r="27" spans="1:8">
      <c r="A27" s="83"/>
      <c r="B27" s="84"/>
      <c r="C27" s="98"/>
      <c r="D27" s="68"/>
      <c r="E27" s="99"/>
      <c r="F27" s="69"/>
      <c r="G27" s="69"/>
      <c r="H27" s="72"/>
    </row>
    <row r="28" spans="1:8" ht="15.75" thickBot="1">
      <c r="A28" s="100"/>
      <c r="B28" s="101"/>
      <c r="C28" s="76"/>
      <c r="D28" s="77"/>
      <c r="E28" s="78"/>
      <c r="F28" s="79"/>
      <c r="G28" s="76"/>
      <c r="H28" s="72"/>
    </row>
    <row r="29" spans="1:8" ht="15.75" thickBot="1">
      <c r="A29" s="61"/>
      <c r="B29" s="61"/>
      <c r="C29" s="61"/>
      <c r="D29" s="61"/>
      <c r="E29" s="61"/>
      <c r="F29" s="61"/>
      <c r="G29" s="81" t="s">
        <v>491</v>
      </c>
      <c r="H29" s="82">
        <f>SUM(G26:G28)</f>
        <v>0</v>
      </c>
    </row>
    <row r="30" spans="1:8" ht="15.75" thickBot="1">
      <c r="A30" s="92" t="s">
        <v>502</v>
      </c>
      <c r="B30" s="92"/>
      <c r="C30" s="61"/>
      <c r="D30" s="61"/>
      <c r="E30" s="61"/>
      <c r="F30" s="61"/>
      <c r="G30" s="61"/>
      <c r="H30" s="61"/>
    </row>
    <row r="31" spans="1:8">
      <c r="A31" s="1454" t="s">
        <v>503</v>
      </c>
      <c r="B31" s="1456"/>
      <c r="C31" s="178" t="s">
        <v>504</v>
      </c>
      <c r="D31" s="178" t="s">
        <v>505</v>
      </c>
      <c r="E31" s="124" t="s">
        <v>506</v>
      </c>
      <c r="F31" s="102" t="s">
        <v>488</v>
      </c>
      <c r="G31" s="177" t="s">
        <v>489</v>
      </c>
      <c r="H31" s="67"/>
    </row>
    <row r="32" spans="1:8">
      <c r="A32" s="83" t="s">
        <v>564</v>
      </c>
      <c r="B32" s="84"/>
      <c r="C32" s="103">
        <f>+SALARIOS!C49*3</f>
        <v>76716</v>
      </c>
      <c r="D32" s="104">
        <f>+SALARIOS!C48</f>
        <v>1.7846558312967005</v>
      </c>
      <c r="E32" s="69">
        <f>C32*D32</f>
        <v>136911.65675375768</v>
      </c>
      <c r="F32" s="69">
        <v>2</v>
      </c>
      <c r="G32" s="105">
        <f>E32/F32</f>
        <v>68455.828376878839</v>
      </c>
      <c r="H32" s="72"/>
    </row>
    <row r="33" spans="1:8">
      <c r="A33" s="83"/>
      <c r="B33" s="84"/>
      <c r="C33" s="103"/>
      <c r="D33" s="104"/>
      <c r="E33" s="69"/>
      <c r="F33" s="69"/>
      <c r="G33" s="105"/>
      <c r="H33" s="72"/>
    </row>
    <row r="34" spans="1:8">
      <c r="A34" s="83"/>
      <c r="B34" s="84"/>
      <c r="C34" s="103"/>
      <c r="D34" s="104"/>
      <c r="E34" s="69"/>
      <c r="F34" s="69"/>
      <c r="G34" s="105"/>
      <c r="H34" s="72"/>
    </row>
    <row r="35" spans="1:8" ht="15.75" thickBot="1">
      <c r="A35" s="100"/>
      <c r="B35" s="106"/>
      <c r="C35" s="77"/>
      <c r="D35" s="91"/>
      <c r="E35" s="143"/>
      <c r="F35" s="91"/>
      <c r="G35" s="90"/>
      <c r="H35" s="80"/>
    </row>
    <row r="36" spans="1:8" ht="15.75" thickBot="1">
      <c r="A36" s="61"/>
      <c r="B36" s="61"/>
      <c r="C36" s="61"/>
      <c r="D36" s="61"/>
      <c r="E36" s="61"/>
      <c r="F36" s="61"/>
      <c r="G36" s="81" t="s">
        <v>491</v>
      </c>
      <c r="H36" s="82">
        <f>SUM(G32:G35)</f>
        <v>68455.828376878839</v>
      </c>
    </row>
    <row r="37" spans="1:8" ht="15.75" thickBot="1">
      <c r="A37" s="61"/>
      <c r="B37" s="61"/>
      <c r="C37" s="61"/>
      <c r="D37" s="61"/>
      <c r="E37" s="61"/>
      <c r="F37" s="61"/>
      <c r="G37" s="107"/>
      <c r="H37" s="58"/>
    </row>
    <row r="38" spans="1:8" ht="15.75" thickBot="1">
      <c r="A38" s="61"/>
      <c r="B38" s="61"/>
      <c r="C38" s="61"/>
      <c r="D38" s="61"/>
      <c r="E38" s="108" t="s">
        <v>508</v>
      </c>
      <c r="F38" s="109"/>
      <c r="G38" s="109"/>
      <c r="H38" s="82">
        <f>H16+H23+H29+H36</f>
        <v>80248.470038096129</v>
      </c>
    </row>
    <row r="39" spans="1:8" ht="15.75" thickBot="1">
      <c r="A39" s="63" t="s">
        <v>509</v>
      </c>
      <c r="B39" s="63"/>
      <c r="C39" s="61"/>
      <c r="D39" s="61"/>
      <c r="E39" s="61"/>
      <c r="F39" s="61"/>
      <c r="G39" s="61"/>
      <c r="H39" s="61"/>
    </row>
    <row r="40" spans="1:8">
      <c r="A40" s="110" t="s">
        <v>485</v>
      </c>
      <c r="B40" s="111"/>
      <c r="C40" s="111"/>
      <c r="D40" s="111"/>
      <c r="E40" s="112"/>
      <c r="F40" s="180" t="s">
        <v>510</v>
      </c>
      <c r="G40" s="179" t="s">
        <v>511</v>
      </c>
      <c r="H40" s="67"/>
    </row>
    <row r="41" spans="1:8">
      <c r="A41" s="83" t="s">
        <v>512</v>
      </c>
      <c r="B41" s="84"/>
      <c r="C41" s="84"/>
      <c r="D41" s="84"/>
      <c r="E41" s="85"/>
      <c r="F41" s="115">
        <f>+SALARIOS!C45</f>
        <v>0.15</v>
      </c>
      <c r="G41" s="116">
        <f>++F41*H38</f>
        <v>12037.270505714419</v>
      </c>
      <c r="H41" s="117"/>
    </row>
    <row r="42" spans="1:8">
      <c r="A42" s="83" t="s">
        <v>513</v>
      </c>
      <c r="B42" s="84"/>
      <c r="C42" s="84"/>
      <c r="D42" s="84"/>
      <c r="E42" s="85"/>
      <c r="F42" s="115">
        <f>+SALARIOS!C46</f>
        <v>0.05</v>
      </c>
      <c r="G42" s="116">
        <f>+F42*H38</f>
        <v>4012.4235019048065</v>
      </c>
      <c r="H42" s="117"/>
    </row>
    <row r="43" spans="1:8" ht="15.75" thickBot="1">
      <c r="A43" s="89" t="s">
        <v>514</v>
      </c>
      <c r="B43" s="90"/>
      <c r="C43" s="90"/>
      <c r="D43" s="90"/>
      <c r="E43" s="91"/>
      <c r="F43" s="118">
        <f>+SALARIOS!C47</f>
        <v>0.05</v>
      </c>
      <c r="G43" s="119">
        <f>+F43*H38</f>
        <v>4012.4235019048065</v>
      </c>
      <c r="H43" s="80"/>
    </row>
    <row r="44" spans="1:8" ht="15.75" thickBot="1">
      <c r="A44" s="61"/>
      <c r="B44" s="61"/>
      <c r="C44" s="61"/>
      <c r="D44" s="61"/>
      <c r="E44" s="61"/>
      <c r="F44" s="61"/>
      <c r="G44" s="81" t="s">
        <v>491</v>
      </c>
      <c r="H44" s="120">
        <f>SUM(G41:G43)</f>
        <v>20062.117509524032</v>
      </c>
    </row>
    <row r="45" spans="1:8" ht="15.75" thickBot="1">
      <c r="A45" s="61"/>
      <c r="B45" s="61"/>
      <c r="C45" s="61"/>
      <c r="D45" s="61"/>
      <c r="E45" s="61"/>
      <c r="F45" s="61"/>
      <c r="G45" s="61"/>
      <c r="H45" s="61"/>
    </row>
    <row r="46" spans="1:8" ht="15.75" thickBot="1">
      <c r="A46" s="16"/>
      <c r="B46" s="16"/>
      <c r="C46" s="61"/>
      <c r="D46" s="108" t="s">
        <v>515</v>
      </c>
      <c r="E46" s="109"/>
      <c r="F46" s="109"/>
      <c r="G46" s="109"/>
      <c r="H46" s="82">
        <f>ROUND((H38+H44),0)</f>
        <v>100311</v>
      </c>
    </row>
  </sheetData>
  <mergeCells count="12">
    <mergeCell ref="A31:B31"/>
    <mergeCell ref="A1:C2"/>
    <mergeCell ref="A3:C3"/>
    <mergeCell ref="D3:H3"/>
    <mergeCell ref="A9:C9"/>
    <mergeCell ref="A10:C10"/>
    <mergeCell ref="A12:C12"/>
    <mergeCell ref="A13:C13"/>
    <mergeCell ref="A14:C14"/>
    <mergeCell ref="A15:C15"/>
    <mergeCell ref="A18:C18"/>
    <mergeCell ref="A25:B25"/>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28" workbookViewId="0">
      <selection activeCell="J16" sqref="J16"/>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603</v>
      </c>
      <c r="B7" s="62"/>
      <c r="C7" s="61"/>
      <c r="D7" s="16"/>
      <c r="E7" s="62"/>
      <c r="F7" s="16"/>
      <c r="G7" s="62" t="s">
        <v>605</v>
      </c>
      <c r="H7" s="61"/>
    </row>
    <row r="8" spans="1:8">
      <c r="A8" s="60" t="s">
        <v>604</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6</v>
      </c>
      <c r="G12" s="71">
        <f>E12/F12</f>
        <v>14500</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14500</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14500</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2175</v>
      </c>
      <c r="H43" s="117"/>
    </row>
    <row r="44" spans="1:8">
      <c r="A44" s="83" t="s">
        <v>513</v>
      </c>
      <c r="B44" s="84"/>
      <c r="C44" s="84"/>
      <c r="D44" s="84"/>
      <c r="E44" s="85"/>
      <c r="F44" s="115">
        <f>(SALARIOS!C46)</f>
        <v>0.05</v>
      </c>
      <c r="G44" s="116">
        <f>+F44*H40</f>
        <v>725</v>
      </c>
      <c r="H44" s="117"/>
    </row>
    <row r="45" spans="1:8" ht="15.75" thickBot="1">
      <c r="A45" s="89" t="s">
        <v>514</v>
      </c>
      <c r="B45" s="90"/>
      <c r="C45" s="90"/>
      <c r="D45" s="90"/>
      <c r="E45" s="91"/>
      <c r="F45" s="118">
        <f>SALARIOS!C47</f>
        <v>0.05</v>
      </c>
      <c r="G45" s="119">
        <f>+F45*H40</f>
        <v>725</v>
      </c>
      <c r="H45" s="80"/>
    </row>
    <row r="46" spans="1:8" ht="15.75" thickBot="1">
      <c r="A46" s="61"/>
      <c r="B46" s="61"/>
      <c r="C46" s="61"/>
      <c r="D46" s="61"/>
      <c r="E46" s="61"/>
      <c r="F46" s="61"/>
      <c r="G46" s="81" t="s">
        <v>491</v>
      </c>
      <c r="H46" s="120">
        <f>SUM(G43:G45)</f>
        <v>3625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18125</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28" workbookViewId="0">
      <selection activeCell="J20" sqref="J2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603</v>
      </c>
      <c r="B7" s="62"/>
      <c r="C7" s="61"/>
      <c r="D7" s="16"/>
      <c r="E7" s="62"/>
      <c r="F7" s="16"/>
      <c r="G7" s="62" t="s">
        <v>606</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2.9</v>
      </c>
      <c r="G12" s="71">
        <f>E12/F12</f>
        <v>30000</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30000</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30000</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4500</v>
      </c>
      <c r="H43" s="117"/>
    </row>
    <row r="44" spans="1:8">
      <c r="A44" s="83" t="s">
        <v>513</v>
      </c>
      <c r="B44" s="84"/>
      <c r="C44" s="84"/>
      <c r="D44" s="84"/>
      <c r="E44" s="85"/>
      <c r="F44" s="115">
        <f>(SALARIOS!C46)</f>
        <v>0.05</v>
      </c>
      <c r="G44" s="116">
        <f>+F44*H40</f>
        <v>1500</v>
      </c>
      <c r="H44" s="117"/>
    </row>
    <row r="45" spans="1:8" ht="15.75" thickBot="1">
      <c r="A45" s="89" t="s">
        <v>514</v>
      </c>
      <c r="B45" s="90"/>
      <c r="C45" s="90"/>
      <c r="D45" s="90"/>
      <c r="E45" s="91"/>
      <c r="F45" s="118">
        <f>SALARIOS!C47</f>
        <v>0.05</v>
      </c>
      <c r="G45" s="119">
        <f>+F45*H40</f>
        <v>1500</v>
      </c>
      <c r="H45" s="80"/>
    </row>
    <row r="46" spans="1:8" ht="15.75" thickBot="1">
      <c r="A46" s="61"/>
      <c r="B46" s="61"/>
      <c r="C46" s="61"/>
      <c r="D46" s="61"/>
      <c r="E46" s="61"/>
      <c r="F46" s="61"/>
      <c r="G46" s="81" t="s">
        <v>491</v>
      </c>
      <c r="H46" s="120">
        <f>SUM(G43:G45)</f>
        <v>7500</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37500</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22" workbookViewId="0">
      <selection activeCell="A13" sqref="A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607</v>
      </c>
      <c r="B7" s="62"/>
      <c r="C7" s="61"/>
      <c r="D7" s="16"/>
      <c r="E7" s="62"/>
      <c r="F7" s="16"/>
      <c r="G7" s="62" t="s">
        <v>608</v>
      </c>
      <c r="H7" s="61"/>
    </row>
    <row r="8" spans="1:8">
      <c r="A8" s="60" t="s">
        <v>604</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4.5</v>
      </c>
      <c r="G12" s="71">
        <f>E12/F12</f>
        <v>19333.333333333332</v>
      </c>
      <c r="H12" s="72"/>
    </row>
    <row r="13" spans="1:8">
      <c r="A13" s="175" t="s">
        <v>1802</v>
      </c>
      <c r="B13" s="176"/>
      <c r="C13" s="174"/>
      <c r="D13" s="174" t="s">
        <v>17</v>
      </c>
      <c r="E13" s="173">
        <f>'EQUIPOS '!D14</f>
        <v>44660</v>
      </c>
      <c r="F13" s="688">
        <v>0.13</v>
      </c>
      <c r="G13" s="173">
        <f>E13*F13</f>
        <v>5805.8</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25139.133333333331</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25139.133333333331</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3770.8699999999994</v>
      </c>
      <c r="H43" s="117"/>
    </row>
    <row r="44" spans="1:8">
      <c r="A44" s="83" t="s">
        <v>513</v>
      </c>
      <c r="B44" s="84"/>
      <c r="C44" s="84"/>
      <c r="D44" s="84"/>
      <c r="E44" s="85"/>
      <c r="F44" s="115">
        <f>(SALARIOS!C46)</f>
        <v>0.05</v>
      </c>
      <c r="G44" s="116">
        <f>+F44*H40</f>
        <v>1256.9566666666667</v>
      </c>
      <c r="H44" s="117"/>
    </row>
    <row r="45" spans="1:8" ht="15.75" thickBot="1">
      <c r="A45" s="89" t="s">
        <v>514</v>
      </c>
      <c r="B45" s="90"/>
      <c r="C45" s="90"/>
      <c r="D45" s="90"/>
      <c r="E45" s="91"/>
      <c r="F45" s="118">
        <f>SALARIOS!C47</f>
        <v>0.05</v>
      </c>
      <c r="G45" s="119">
        <f>+F45*H40</f>
        <v>1256.9566666666667</v>
      </c>
      <c r="H45" s="80"/>
    </row>
    <row r="46" spans="1:8" ht="15.75" thickBot="1">
      <c r="A46" s="61"/>
      <c r="B46" s="61"/>
      <c r="C46" s="61"/>
      <c r="D46" s="61"/>
      <c r="E46" s="61"/>
      <c r="F46" s="61"/>
      <c r="G46" s="81" t="s">
        <v>491</v>
      </c>
      <c r="H46" s="120">
        <f>SUM(G43:G45)</f>
        <v>6284.7833333333328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31424</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32"/>
  <sheetViews>
    <sheetView topLeftCell="A307" zoomScale="90" zoomScaleNormal="90" zoomScaleSheetLayoutView="100" workbookViewId="0">
      <selection activeCell="D323" sqref="D323"/>
    </sheetView>
  </sheetViews>
  <sheetFormatPr baseColWidth="10" defaultColWidth="9.140625" defaultRowHeight="15"/>
  <cols>
    <col min="1" max="1" width="10" style="543" customWidth="1"/>
    <col min="2" max="2" width="73.85546875" style="544" customWidth="1"/>
    <col min="3" max="3" width="10.28515625" style="545" customWidth="1"/>
    <col min="4" max="4" width="19.28515625" style="546" customWidth="1"/>
    <col min="5" max="7" width="15.28515625" style="546" customWidth="1"/>
    <col min="8" max="8" width="20.7109375" style="546" customWidth="1"/>
    <col min="9" max="9" width="16.28515625" style="458" customWidth="1"/>
    <col min="10" max="10" width="13" style="544" bestFit="1" customWidth="1"/>
    <col min="11" max="255" width="9.140625" style="544"/>
    <col min="256" max="256" width="10.85546875" style="544" customWidth="1"/>
    <col min="257" max="257" width="73.85546875" style="544" customWidth="1"/>
    <col min="258" max="258" width="11.42578125" style="544" customWidth="1"/>
    <col min="259" max="259" width="19.28515625" style="544" customWidth="1"/>
    <col min="260" max="260" width="18" style="544" customWidth="1"/>
    <col min="261" max="261" width="14.7109375" style="544" bestFit="1" customWidth="1"/>
    <col min="262" max="262" width="13" style="544" bestFit="1" customWidth="1"/>
    <col min="263" max="511" width="9.140625" style="544"/>
    <col min="512" max="512" width="10.85546875" style="544" customWidth="1"/>
    <col min="513" max="513" width="73.85546875" style="544" customWidth="1"/>
    <col min="514" max="514" width="11.42578125" style="544" customWidth="1"/>
    <col min="515" max="515" width="19.28515625" style="544" customWidth="1"/>
    <col min="516" max="516" width="18" style="544" customWidth="1"/>
    <col min="517" max="517" width="14.7109375" style="544" bestFit="1" customWidth="1"/>
    <col min="518" max="518" width="13" style="544" bestFit="1" customWidth="1"/>
    <col min="519" max="767" width="9.140625" style="544"/>
    <col min="768" max="768" width="10.85546875" style="544" customWidth="1"/>
    <col min="769" max="769" width="73.85546875" style="544" customWidth="1"/>
    <col min="770" max="770" width="11.42578125" style="544" customWidth="1"/>
    <col min="771" max="771" width="19.28515625" style="544" customWidth="1"/>
    <col min="772" max="772" width="18" style="544" customWidth="1"/>
    <col min="773" max="773" width="14.7109375" style="544" bestFit="1" customWidth="1"/>
    <col min="774" max="774" width="13" style="544" bestFit="1" customWidth="1"/>
    <col min="775" max="1023" width="9.140625" style="544"/>
    <col min="1024" max="1024" width="10.85546875" style="544" customWidth="1"/>
    <col min="1025" max="1025" width="73.85546875" style="544" customWidth="1"/>
    <col min="1026" max="1026" width="11.42578125" style="544" customWidth="1"/>
    <col min="1027" max="1027" width="19.28515625" style="544" customWidth="1"/>
    <col min="1028" max="1028" width="18" style="544" customWidth="1"/>
    <col min="1029" max="1029" width="14.7109375" style="544" bestFit="1" customWidth="1"/>
    <col min="1030" max="1030" width="13" style="544" bestFit="1" customWidth="1"/>
    <col min="1031" max="1279" width="9.140625" style="544"/>
    <col min="1280" max="1280" width="10.85546875" style="544" customWidth="1"/>
    <col min="1281" max="1281" width="73.85546875" style="544" customWidth="1"/>
    <col min="1282" max="1282" width="11.42578125" style="544" customWidth="1"/>
    <col min="1283" max="1283" width="19.28515625" style="544" customWidth="1"/>
    <col min="1284" max="1284" width="18" style="544" customWidth="1"/>
    <col min="1285" max="1285" width="14.7109375" style="544" bestFit="1" customWidth="1"/>
    <col min="1286" max="1286" width="13" style="544" bestFit="1" customWidth="1"/>
    <col min="1287" max="1535" width="9.140625" style="544"/>
    <col min="1536" max="1536" width="10.85546875" style="544" customWidth="1"/>
    <col min="1537" max="1537" width="73.85546875" style="544" customWidth="1"/>
    <col min="1538" max="1538" width="11.42578125" style="544" customWidth="1"/>
    <col min="1539" max="1539" width="19.28515625" style="544" customWidth="1"/>
    <col min="1540" max="1540" width="18" style="544" customWidth="1"/>
    <col min="1541" max="1541" width="14.7109375" style="544" bestFit="1" customWidth="1"/>
    <col min="1542" max="1542" width="13" style="544" bestFit="1" customWidth="1"/>
    <col min="1543" max="1791" width="9.140625" style="544"/>
    <col min="1792" max="1792" width="10.85546875" style="544" customWidth="1"/>
    <col min="1793" max="1793" width="73.85546875" style="544" customWidth="1"/>
    <col min="1794" max="1794" width="11.42578125" style="544" customWidth="1"/>
    <col min="1795" max="1795" width="19.28515625" style="544" customWidth="1"/>
    <col min="1796" max="1796" width="18" style="544" customWidth="1"/>
    <col min="1797" max="1797" width="14.7109375" style="544" bestFit="1" customWidth="1"/>
    <col min="1798" max="1798" width="13" style="544" bestFit="1" customWidth="1"/>
    <col min="1799" max="2047" width="9.140625" style="544"/>
    <col min="2048" max="2048" width="10.85546875" style="544" customWidth="1"/>
    <col min="2049" max="2049" width="73.85546875" style="544" customWidth="1"/>
    <col min="2050" max="2050" width="11.42578125" style="544" customWidth="1"/>
    <col min="2051" max="2051" width="19.28515625" style="544" customWidth="1"/>
    <col min="2052" max="2052" width="18" style="544" customWidth="1"/>
    <col min="2053" max="2053" width="14.7109375" style="544" bestFit="1" customWidth="1"/>
    <col min="2054" max="2054" width="13" style="544" bestFit="1" customWidth="1"/>
    <col min="2055" max="2303" width="9.140625" style="544"/>
    <col min="2304" max="2304" width="10.85546875" style="544" customWidth="1"/>
    <col min="2305" max="2305" width="73.85546875" style="544" customWidth="1"/>
    <col min="2306" max="2306" width="11.42578125" style="544" customWidth="1"/>
    <col min="2307" max="2307" width="19.28515625" style="544" customWidth="1"/>
    <col min="2308" max="2308" width="18" style="544" customWidth="1"/>
    <col min="2309" max="2309" width="14.7109375" style="544" bestFit="1" customWidth="1"/>
    <col min="2310" max="2310" width="13" style="544" bestFit="1" customWidth="1"/>
    <col min="2311" max="2559" width="9.140625" style="544"/>
    <col min="2560" max="2560" width="10.85546875" style="544" customWidth="1"/>
    <col min="2561" max="2561" width="73.85546875" style="544" customWidth="1"/>
    <col min="2562" max="2562" width="11.42578125" style="544" customWidth="1"/>
    <col min="2563" max="2563" width="19.28515625" style="544" customWidth="1"/>
    <col min="2564" max="2564" width="18" style="544" customWidth="1"/>
    <col min="2565" max="2565" width="14.7109375" style="544" bestFit="1" customWidth="1"/>
    <col min="2566" max="2566" width="13" style="544" bestFit="1" customWidth="1"/>
    <col min="2567" max="2815" width="9.140625" style="544"/>
    <col min="2816" max="2816" width="10.85546875" style="544" customWidth="1"/>
    <col min="2817" max="2817" width="73.85546875" style="544" customWidth="1"/>
    <col min="2818" max="2818" width="11.42578125" style="544" customWidth="1"/>
    <col min="2819" max="2819" width="19.28515625" style="544" customWidth="1"/>
    <col min="2820" max="2820" width="18" style="544" customWidth="1"/>
    <col min="2821" max="2821" width="14.7109375" style="544" bestFit="1" customWidth="1"/>
    <col min="2822" max="2822" width="13" style="544" bestFit="1" customWidth="1"/>
    <col min="2823" max="3071" width="9.140625" style="544"/>
    <col min="3072" max="3072" width="10.85546875" style="544" customWidth="1"/>
    <col min="3073" max="3073" width="73.85546875" style="544" customWidth="1"/>
    <col min="3074" max="3074" width="11.42578125" style="544" customWidth="1"/>
    <col min="3075" max="3075" width="19.28515625" style="544" customWidth="1"/>
    <col min="3076" max="3076" width="18" style="544" customWidth="1"/>
    <col min="3077" max="3077" width="14.7109375" style="544" bestFit="1" customWidth="1"/>
    <col min="3078" max="3078" width="13" style="544" bestFit="1" customWidth="1"/>
    <col min="3079" max="3327" width="9.140625" style="544"/>
    <col min="3328" max="3328" width="10.85546875" style="544" customWidth="1"/>
    <col min="3329" max="3329" width="73.85546875" style="544" customWidth="1"/>
    <col min="3330" max="3330" width="11.42578125" style="544" customWidth="1"/>
    <col min="3331" max="3331" width="19.28515625" style="544" customWidth="1"/>
    <col min="3332" max="3332" width="18" style="544" customWidth="1"/>
    <col min="3333" max="3333" width="14.7109375" style="544" bestFit="1" customWidth="1"/>
    <col min="3334" max="3334" width="13" style="544" bestFit="1" customWidth="1"/>
    <col min="3335" max="3583" width="9.140625" style="544"/>
    <col min="3584" max="3584" width="10.85546875" style="544" customWidth="1"/>
    <col min="3585" max="3585" width="73.85546875" style="544" customWidth="1"/>
    <col min="3586" max="3586" width="11.42578125" style="544" customWidth="1"/>
    <col min="3587" max="3587" width="19.28515625" style="544" customWidth="1"/>
    <col min="3588" max="3588" width="18" style="544" customWidth="1"/>
    <col min="3589" max="3589" width="14.7109375" style="544" bestFit="1" customWidth="1"/>
    <col min="3590" max="3590" width="13" style="544" bestFit="1" customWidth="1"/>
    <col min="3591" max="3839" width="9.140625" style="544"/>
    <col min="3840" max="3840" width="10.85546875" style="544" customWidth="1"/>
    <col min="3841" max="3841" width="73.85546875" style="544" customWidth="1"/>
    <col min="3842" max="3842" width="11.42578125" style="544" customWidth="1"/>
    <col min="3843" max="3843" width="19.28515625" style="544" customWidth="1"/>
    <col min="3844" max="3844" width="18" style="544" customWidth="1"/>
    <col min="3845" max="3845" width="14.7109375" style="544" bestFit="1" customWidth="1"/>
    <col min="3846" max="3846" width="13" style="544" bestFit="1" customWidth="1"/>
    <col min="3847" max="4095" width="9.140625" style="544"/>
    <col min="4096" max="4096" width="10.85546875" style="544" customWidth="1"/>
    <col min="4097" max="4097" width="73.85546875" style="544" customWidth="1"/>
    <col min="4098" max="4098" width="11.42578125" style="544" customWidth="1"/>
    <col min="4099" max="4099" width="19.28515625" style="544" customWidth="1"/>
    <col min="4100" max="4100" width="18" style="544" customWidth="1"/>
    <col min="4101" max="4101" width="14.7109375" style="544" bestFit="1" customWidth="1"/>
    <col min="4102" max="4102" width="13" style="544" bestFit="1" customWidth="1"/>
    <col min="4103" max="4351" width="9.140625" style="544"/>
    <col min="4352" max="4352" width="10.85546875" style="544" customWidth="1"/>
    <col min="4353" max="4353" width="73.85546875" style="544" customWidth="1"/>
    <col min="4354" max="4354" width="11.42578125" style="544" customWidth="1"/>
    <col min="4355" max="4355" width="19.28515625" style="544" customWidth="1"/>
    <col min="4356" max="4356" width="18" style="544" customWidth="1"/>
    <col min="4357" max="4357" width="14.7109375" style="544" bestFit="1" customWidth="1"/>
    <col min="4358" max="4358" width="13" style="544" bestFit="1" customWidth="1"/>
    <col min="4359" max="4607" width="9.140625" style="544"/>
    <col min="4608" max="4608" width="10.85546875" style="544" customWidth="1"/>
    <col min="4609" max="4609" width="73.85546875" style="544" customWidth="1"/>
    <col min="4610" max="4610" width="11.42578125" style="544" customWidth="1"/>
    <col min="4611" max="4611" width="19.28515625" style="544" customWidth="1"/>
    <col min="4612" max="4612" width="18" style="544" customWidth="1"/>
    <col min="4613" max="4613" width="14.7109375" style="544" bestFit="1" customWidth="1"/>
    <col min="4614" max="4614" width="13" style="544" bestFit="1" customWidth="1"/>
    <col min="4615" max="4863" width="9.140625" style="544"/>
    <col min="4864" max="4864" width="10.85546875" style="544" customWidth="1"/>
    <col min="4865" max="4865" width="73.85546875" style="544" customWidth="1"/>
    <col min="4866" max="4866" width="11.42578125" style="544" customWidth="1"/>
    <col min="4867" max="4867" width="19.28515625" style="544" customWidth="1"/>
    <col min="4868" max="4868" width="18" style="544" customWidth="1"/>
    <col min="4869" max="4869" width="14.7109375" style="544" bestFit="1" customWidth="1"/>
    <col min="4870" max="4870" width="13" style="544" bestFit="1" customWidth="1"/>
    <col min="4871" max="5119" width="9.140625" style="544"/>
    <col min="5120" max="5120" width="10.85546875" style="544" customWidth="1"/>
    <col min="5121" max="5121" width="73.85546875" style="544" customWidth="1"/>
    <col min="5122" max="5122" width="11.42578125" style="544" customWidth="1"/>
    <col min="5123" max="5123" width="19.28515625" style="544" customWidth="1"/>
    <col min="5124" max="5124" width="18" style="544" customWidth="1"/>
    <col min="5125" max="5125" width="14.7109375" style="544" bestFit="1" customWidth="1"/>
    <col min="5126" max="5126" width="13" style="544" bestFit="1" customWidth="1"/>
    <col min="5127" max="5375" width="9.140625" style="544"/>
    <col min="5376" max="5376" width="10.85546875" style="544" customWidth="1"/>
    <col min="5377" max="5377" width="73.85546875" style="544" customWidth="1"/>
    <col min="5378" max="5378" width="11.42578125" style="544" customWidth="1"/>
    <col min="5379" max="5379" width="19.28515625" style="544" customWidth="1"/>
    <col min="5380" max="5380" width="18" style="544" customWidth="1"/>
    <col min="5381" max="5381" width="14.7109375" style="544" bestFit="1" customWidth="1"/>
    <col min="5382" max="5382" width="13" style="544" bestFit="1" customWidth="1"/>
    <col min="5383" max="5631" width="9.140625" style="544"/>
    <col min="5632" max="5632" width="10.85546875" style="544" customWidth="1"/>
    <col min="5633" max="5633" width="73.85546875" style="544" customWidth="1"/>
    <col min="5634" max="5634" width="11.42578125" style="544" customWidth="1"/>
    <col min="5635" max="5635" width="19.28515625" style="544" customWidth="1"/>
    <col min="5636" max="5636" width="18" style="544" customWidth="1"/>
    <col min="5637" max="5637" width="14.7109375" style="544" bestFit="1" customWidth="1"/>
    <col min="5638" max="5638" width="13" style="544" bestFit="1" customWidth="1"/>
    <col min="5639" max="5887" width="9.140625" style="544"/>
    <col min="5888" max="5888" width="10.85546875" style="544" customWidth="1"/>
    <col min="5889" max="5889" width="73.85546875" style="544" customWidth="1"/>
    <col min="5890" max="5890" width="11.42578125" style="544" customWidth="1"/>
    <col min="5891" max="5891" width="19.28515625" style="544" customWidth="1"/>
    <col min="5892" max="5892" width="18" style="544" customWidth="1"/>
    <col min="5893" max="5893" width="14.7109375" style="544" bestFit="1" customWidth="1"/>
    <col min="5894" max="5894" width="13" style="544" bestFit="1" customWidth="1"/>
    <col min="5895" max="6143" width="9.140625" style="544"/>
    <col min="6144" max="6144" width="10.85546875" style="544" customWidth="1"/>
    <col min="6145" max="6145" width="73.85546875" style="544" customWidth="1"/>
    <col min="6146" max="6146" width="11.42578125" style="544" customWidth="1"/>
    <col min="6147" max="6147" width="19.28515625" style="544" customWidth="1"/>
    <col min="6148" max="6148" width="18" style="544" customWidth="1"/>
    <col min="6149" max="6149" width="14.7109375" style="544" bestFit="1" customWidth="1"/>
    <col min="6150" max="6150" width="13" style="544" bestFit="1" customWidth="1"/>
    <col min="6151" max="6399" width="9.140625" style="544"/>
    <col min="6400" max="6400" width="10.85546875" style="544" customWidth="1"/>
    <col min="6401" max="6401" width="73.85546875" style="544" customWidth="1"/>
    <col min="6402" max="6402" width="11.42578125" style="544" customWidth="1"/>
    <col min="6403" max="6403" width="19.28515625" style="544" customWidth="1"/>
    <col min="6404" max="6404" width="18" style="544" customWidth="1"/>
    <col min="6405" max="6405" width="14.7109375" style="544" bestFit="1" customWidth="1"/>
    <col min="6406" max="6406" width="13" style="544" bestFit="1" customWidth="1"/>
    <col min="6407" max="6655" width="9.140625" style="544"/>
    <col min="6656" max="6656" width="10.85546875" style="544" customWidth="1"/>
    <col min="6657" max="6657" width="73.85546875" style="544" customWidth="1"/>
    <col min="6658" max="6658" width="11.42578125" style="544" customWidth="1"/>
    <col min="6659" max="6659" width="19.28515625" style="544" customWidth="1"/>
    <col min="6660" max="6660" width="18" style="544" customWidth="1"/>
    <col min="6661" max="6661" width="14.7109375" style="544" bestFit="1" customWidth="1"/>
    <col min="6662" max="6662" width="13" style="544" bestFit="1" customWidth="1"/>
    <col min="6663" max="6911" width="9.140625" style="544"/>
    <col min="6912" max="6912" width="10.85546875" style="544" customWidth="1"/>
    <col min="6913" max="6913" width="73.85546875" style="544" customWidth="1"/>
    <col min="6914" max="6914" width="11.42578125" style="544" customWidth="1"/>
    <col min="6915" max="6915" width="19.28515625" style="544" customWidth="1"/>
    <col min="6916" max="6916" width="18" style="544" customWidth="1"/>
    <col min="6917" max="6917" width="14.7109375" style="544" bestFit="1" customWidth="1"/>
    <col min="6918" max="6918" width="13" style="544" bestFit="1" customWidth="1"/>
    <col min="6919" max="7167" width="9.140625" style="544"/>
    <col min="7168" max="7168" width="10.85546875" style="544" customWidth="1"/>
    <col min="7169" max="7169" width="73.85546875" style="544" customWidth="1"/>
    <col min="7170" max="7170" width="11.42578125" style="544" customWidth="1"/>
    <col min="7171" max="7171" width="19.28515625" style="544" customWidth="1"/>
    <col min="7172" max="7172" width="18" style="544" customWidth="1"/>
    <col min="7173" max="7173" width="14.7109375" style="544" bestFit="1" customWidth="1"/>
    <col min="7174" max="7174" width="13" style="544" bestFit="1" customWidth="1"/>
    <col min="7175" max="7423" width="9.140625" style="544"/>
    <col min="7424" max="7424" width="10.85546875" style="544" customWidth="1"/>
    <col min="7425" max="7425" width="73.85546875" style="544" customWidth="1"/>
    <col min="7426" max="7426" width="11.42578125" style="544" customWidth="1"/>
    <col min="7427" max="7427" width="19.28515625" style="544" customWidth="1"/>
    <col min="7428" max="7428" width="18" style="544" customWidth="1"/>
    <col min="7429" max="7429" width="14.7109375" style="544" bestFit="1" customWidth="1"/>
    <col min="7430" max="7430" width="13" style="544" bestFit="1" customWidth="1"/>
    <col min="7431" max="7679" width="9.140625" style="544"/>
    <col min="7680" max="7680" width="10.85546875" style="544" customWidth="1"/>
    <col min="7681" max="7681" width="73.85546875" style="544" customWidth="1"/>
    <col min="7682" max="7682" width="11.42578125" style="544" customWidth="1"/>
    <col min="7683" max="7683" width="19.28515625" style="544" customWidth="1"/>
    <col min="7684" max="7684" width="18" style="544" customWidth="1"/>
    <col min="7685" max="7685" width="14.7109375" style="544" bestFit="1" customWidth="1"/>
    <col min="7686" max="7686" width="13" style="544" bestFit="1" customWidth="1"/>
    <col min="7687" max="7935" width="9.140625" style="544"/>
    <col min="7936" max="7936" width="10.85546875" style="544" customWidth="1"/>
    <col min="7937" max="7937" width="73.85546875" style="544" customWidth="1"/>
    <col min="7938" max="7938" width="11.42578125" style="544" customWidth="1"/>
    <col min="7939" max="7939" width="19.28515625" style="544" customWidth="1"/>
    <col min="7940" max="7940" width="18" style="544" customWidth="1"/>
    <col min="7941" max="7941" width="14.7109375" style="544" bestFit="1" customWidth="1"/>
    <col min="7942" max="7942" width="13" style="544" bestFit="1" customWidth="1"/>
    <col min="7943" max="8191" width="9.140625" style="544"/>
    <col min="8192" max="8192" width="10.85546875" style="544" customWidth="1"/>
    <col min="8193" max="8193" width="73.85546875" style="544" customWidth="1"/>
    <col min="8194" max="8194" width="11.42578125" style="544" customWidth="1"/>
    <col min="8195" max="8195" width="19.28515625" style="544" customWidth="1"/>
    <col min="8196" max="8196" width="18" style="544" customWidth="1"/>
    <col min="8197" max="8197" width="14.7109375" style="544" bestFit="1" customWidth="1"/>
    <col min="8198" max="8198" width="13" style="544" bestFit="1" customWidth="1"/>
    <col min="8199" max="8447" width="9.140625" style="544"/>
    <col min="8448" max="8448" width="10.85546875" style="544" customWidth="1"/>
    <col min="8449" max="8449" width="73.85546875" style="544" customWidth="1"/>
    <col min="8450" max="8450" width="11.42578125" style="544" customWidth="1"/>
    <col min="8451" max="8451" width="19.28515625" style="544" customWidth="1"/>
    <col min="8452" max="8452" width="18" style="544" customWidth="1"/>
    <col min="8453" max="8453" width="14.7109375" style="544" bestFit="1" customWidth="1"/>
    <col min="8454" max="8454" width="13" style="544" bestFit="1" customWidth="1"/>
    <col min="8455" max="8703" width="9.140625" style="544"/>
    <col min="8704" max="8704" width="10.85546875" style="544" customWidth="1"/>
    <col min="8705" max="8705" width="73.85546875" style="544" customWidth="1"/>
    <col min="8706" max="8706" width="11.42578125" style="544" customWidth="1"/>
    <col min="8707" max="8707" width="19.28515625" style="544" customWidth="1"/>
    <col min="8708" max="8708" width="18" style="544" customWidth="1"/>
    <col min="8709" max="8709" width="14.7109375" style="544" bestFit="1" customWidth="1"/>
    <col min="8710" max="8710" width="13" style="544" bestFit="1" customWidth="1"/>
    <col min="8711" max="8959" width="9.140625" style="544"/>
    <col min="8960" max="8960" width="10.85546875" style="544" customWidth="1"/>
    <col min="8961" max="8961" width="73.85546875" style="544" customWidth="1"/>
    <col min="8962" max="8962" width="11.42578125" style="544" customWidth="1"/>
    <col min="8963" max="8963" width="19.28515625" style="544" customWidth="1"/>
    <col min="8964" max="8964" width="18" style="544" customWidth="1"/>
    <col min="8965" max="8965" width="14.7109375" style="544" bestFit="1" customWidth="1"/>
    <col min="8966" max="8966" width="13" style="544" bestFit="1" customWidth="1"/>
    <col min="8967" max="9215" width="9.140625" style="544"/>
    <col min="9216" max="9216" width="10.85546875" style="544" customWidth="1"/>
    <col min="9217" max="9217" width="73.85546875" style="544" customWidth="1"/>
    <col min="9218" max="9218" width="11.42578125" style="544" customWidth="1"/>
    <col min="9219" max="9219" width="19.28515625" style="544" customWidth="1"/>
    <col min="9220" max="9220" width="18" style="544" customWidth="1"/>
    <col min="9221" max="9221" width="14.7109375" style="544" bestFit="1" customWidth="1"/>
    <col min="9222" max="9222" width="13" style="544" bestFit="1" customWidth="1"/>
    <col min="9223" max="9471" width="9.140625" style="544"/>
    <col min="9472" max="9472" width="10.85546875" style="544" customWidth="1"/>
    <col min="9473" max="9473" width="73.85546875" style="544" customWidth="1"/>
    <col min="9474" max="9474" width="11.42578125" style="544" customWidth="1"/>
    <col min="9475" max="9475" width="19.28515625" style="544" customWidth="1"/>
    <col min="9476" max="9476" width="18" style="544" customWidth="1"/>
    <col min="9477" max="9477" width="14.7109375" style="544" bestFit="1" customWidth="1"/>
    <col min="9478" max="9478" width="13" style="544" bestFit="1" customWidth="1"/>
    <col min="9479" max="9727" width="9.140625" style="544"/>
    <col min="9728" max="9728" width="10.85546875" style="544" customWidth="1"/>
    <col min="9729" max="9729" width="73.85546875" style="544" customWidth="1"/>
    <col min="9730" max="9730" width="11.42578125" style="544" customWidth="1"/>
    <col min="9731" max="9731" width="19.28515625" style="544" customWidth="1"/>
    <col min="9732" max="9732" width="18" style="544" customWidth="1"/>
    <col min="9733" max="9733" width="14.7109375" style="544" bestFit="1" customWidth="1"/>
    <col min="9734" max="9734" width="13" style="544" bestFit="1" customWidth="1"/>
    <col min="9735" max="9983" width="9.140625" style="544"/>
    <col min="9984" max="9984" width="10.85546875" style="544" customWidth="1"/>
    <col min="9985" max="9985" width="73.85546875" style="544" customWidth="1"/>
    <col min="9986" max="9986" width="11.42578125" style="544" customWidth="1"/>
    <col min="9987" max="9987" width="19.28515625" style="544" customWidth="1"/>
    <col min="9988" max="9988" width="18" style="544" customWidth="1"/>
    <col min="9989" max="9989" width="14.7109375" style="544" bestFit="1" customWidth="1"/>
    <col min="9990" max="9990" width="13" style="544" bestFit="1" customWidth="1"/>
    <col min="9991" max="10239" width="9.140625" style="544"/>
    <col min="10240" max="10240" width="10.85546875" style="544" customWidth="1"/>
    <col min="10241" max="10241" width="73.85546875" style="544" customWidth="1"/>
    <col min="10242" max="10242" width="11.42578125" style="544" customWidth="1"/>
    <col min="10243" max="10243" width="19.28515625" style="544" customWidth="1"/>
    <col min="10244" max="10244" width="18" style="544" customWidth="1"/>
    <col min="10245" max="10245" width="14.7109375" style="544" bestFit="1" customWidth="1"/>
    <col min="10246" max="10246" width="13" style="544" bestFit="1" customWidth="1"/>
    <col min="10247" max="10495" width="9.140625" style="544"/>
    <col min="10496" max="10496" width="10.85546875" style="544" customWidth="1"/>
    <col min="10497" max="10497" width="73.85546875" style="544" customWidth="1"/>
    <col min="10498" max="10498" width="11.42578125" style="544" customWidth="1"/>
    <col min="10499" max="10499" width="19.28515625" style="544" customWidth="1"/>
    <col min="10500" max="10500" width="18" style="544" customWidth="1"/>
    <col min="10501" max="10501" width="14.7109375" style="544" bestFit="1" customWidth="1"/>
    <col min="10502" max="10502" width="13" style="544" bestFit="1" customWidth="1"/>
    <col min="10503" max="10751" width="9.140625" style="544"/>
    <col min="10752" max="10752" width="10.85546875" style="544" customWidth="1"/>
    <col min="10753" max="10753" width="73.85546875" style="544" customWidth="1"/>
    <col min="10754" max="10754" width="11.42578125" style="544" customWidth="1"/>
    <col min="10755" max="10755" width="19.28515625" style="544" customWidth="1"/>
    <col min="10756" max="10756" width="18" style="544" customWidth="1"/>
    <col min="10757" max="10757" width="14.7109375" style="544" bestFit="1" customWidth="1"/>
    <col min="10758" max="10758" width="13" style="544" bestFit="1" customWidth="1"/>
    <col min="10759" max="11007" width="9.140625" style="544"/>
    <col min="11008" max="11008" width="10.85546875" style="544" customWidth="1"/>
    <col min="11009" max="11009" width="73.85546875" style="544" customWidth="1"/>
    <col min="11010" max="11010" width="11.42578125" style="544" customWidth="1"/>
    <col min="11011" max="11011" width="19.28515625" style="544" customWidth="1"/>
    <col min="11012" max="11012" width="18" style="544" customWidth="1"/>
    <col min="11013" max="11013" width="14.7109375" style="544" bestFit="1" customWidth="1"/>
    <col min="11014" max="11014" width="13" style="544" bestFit="1" customWidth="1"/>
    <col min="11015" max="11263" width="9.140625" style="544"/>
    <col min="11264" max="11264" width="10.85546875" style="544" customWidth="1"/>
    <col min="11265" max="11265" width="73.85546875" style="544" customWidth="1"/>
    <col min="11266" max="11266" width="11.42578125" style="544" customWidth="1"/>
    <col min="11267" max="11267" width="19.28515625" style="544" customWidth="1"/>
    <col min="11268" max="11268" width="18" style="544" customWidth="1"/>
    <col min="11269" max="11269" width="14.7109375" style="544" bestFit="1" customWidth="1"/>
    <col min="11270" max="11270" width="13" style="544" bestFit="1" customWidth="1"/>
    <col min="11271" max="11519" width="9.140625" style="544"/>
    <col min="11520" max="11520" width="10.85546875" style="544" customWidth="1"/>
    <col min="11521" max="11521" width="73.85546875" style="544" customWidth="1"/>
    <col min="11522" max="11522" width="11.42578125" style="544" customWidth="1"/>
    <col min="11523" max="11523" width="19.28515625" style="544" customWidth="1"/>
    <col min="11524" max="11524" width="18" style="544" customWidth="1"/>
    <col min="11525" max="11525" width="14.7109375" style="544" bestFit="1" customWidth="1"/>
    <col min="11526" max="11526" width="13" style="544" bestFit="1" customWidth="1"/>
    <col min="11527" max="11775" width="9.140625" style="544"/>
    <col min="11776" max="11776" width="10.85546875" style="544" customWidth="1"/>
    <col min="11777" max="11777" width="73.85546875" style="544" customWidth="1"/>
    <col min="11778" max="11778" width="11.42578125" style="544" customWidth="1"/>
    <col min="11779" max="11779" width="19.28515625" style="544" customWidth="1"/>
    <col min="11780" max="11780" width="18" style="544" customWidth="1"/>
    <col min="11781" max="11781" width="14.7109375" style="544" bestFit="1" customWidth="1"/>
    <col min="11782" max="11782" width="13" style="544" bestFit="1" customWidth="1"/>
    <col min="11783" max="12031" width="9.140625" style="544"/>
    <col min="12032" max="12032" width="10.85546875" style="544" customWidth="1"/>
    <col min="12033" max="12033" width="73.85546875" style="544" customWidth="1"/>
    <col min="12034" max="12034" width="11.42578125" style="544" customWidth="1"/>
    <col min="12035" max="12035" width="19.28515625" style="544" customWidth="1"/>
    <col min="12036" max="12036" width="18" style="544" customWidth="1"/>
    <col min="12037" max="12037" width="14.7109375" style="544" bestFit="1" customWidth="1"/>
    <col min="12038" max="12038" width="13" style="544" bestFit="1" customWidth="1"/>
    <col min="12039" max="12287" width="9.140625" style="544"/>
    <col min="12288" max="12288" width="10.85546875" style="544" customWidth="1"/>
    <col min="12289" max="12289" width="73.85546875" style="544" customWidth="1"/>
    <col min="12290" max="12290" width="11.42578125" style="544" customWidth="1"/>
    <col min="12291" max="12291" width="19.28515625" style="544" customWidth="1"/>
    <col min="12292" max="12292" width="18" style="544" customWidth="1"/>
    <col min="12293" max="12293" width="14.7109375" style="544" bestFit="1" customWidth="1"/>
    <col min="12294" max="12294" width="13" style="544" bestFit="1" customWidth="1"/>
    <col min="12295" max="12543" width="9.140625" style="544"/>
    <col min="12544" max="12544" width="10.85546875" style="544" customWidth="1"/>
    <col min="12545" max="12545" width="73.85546875" style="544" customWidth="1"/>
    <col min="12546" max="12546" width="11.42578125" style="544" customWidth="1"/>
    <col min="12547" max="12547" width="19.28515625" style="544" customWidth="1"/>
    <col min="12548" max="12548" width="18" style="544" customWidth="1"/>
    <col min="12549" max="12549" width="14.7109375" style="544" bestFit="1" customWidth="1"/>
    <col min="12550" max="12550" width="13" style="544" bestFit="1" customWidth="1"/>
    <col min="12551" max="12799" width="9.140625" style="544"/>
    <col min="12800" max="12800" width="10.85546875" style="544" customWidth="1"/>
    <col min="12801" max="12801" width="73.85546875" style="544" customWidth="1"/>
    <col min="12802" max="12802" width="11.42578125" style="544" customWidth="1"/>
    <col min="12803" max="12803" width="19.28515625" style="544" customWidth="1"/>
    <col min="12804" max="12804" width="18" style="544" customWidth="1"/>
    <col min="12805" max="12805" width="14.7109375" style="544" bestFit="1" customWidth="1"/>
    <col min="12806" max="12806" width="13" style="544" bestFit="1" customWidth="1"/>
    <col min="12807" max="13055" width="9.140625" style="544"/>
    <col min="13056" max="13056" width="10.85546875" style="544" customWidth="1"/>
    <col min="13057" max="13057" width="73.85546875" style="544" customWidth="1"/>
    <col min="13058" max="13058" width="11.42578125" style="544" customWidth="1"/>
    <col min="13059" max="13059" width="19.28515625" style="544" customWidth="1"/>
    <col min="13060" max="13060" width="18" style="544" customWidth="1"/>
    <col min="13061" max="13061" width="14.7109375" style="544" bestFit="1" customWidth="1"/>
    <col min="13062" max="13062" width="13" style="544" bestFit="1" customWidth="1"/>
    <col min="13063" max="13311" width="9.140625" style="544"/>
    <col min="13312" max="13312" width="10.85546875" style="544" customWidth="1"/>
    <col min="13313" max="13313" width="73.85546875" style="544" customWidth="1"/>
    <col min="13314" max="13314" width="11.42578125" style="544" customWidth="1"/>
    <col min="13315" max="13315" width="19.28515625" style="544" customWidth="1"/>
    <col min="13316" max="13316" width="18" style="544" customWidth="1"/>
    <col min="13317" max="13317" width="14.7109375" style="544" bestFit="1" customWidth="1"/>
    <col min="13318" max="13318" width="13" style="544" bestFit="1" customWidth="1"/>
    <col min="13319" max="13567" width="9.140625" style="544"/>
    <col min="13568" max="13568" width="10.85546875" style="544" customWidth="1"/>
    <col min="13569" max="13569" width="73.85546875" style="544" customWidth="1"/>
    <col min="13570" max="13570" width="11.42578125" style="544" customWidth="1"/>
    <col min="13571" max="13571" width="19.28515625" style="544" customWidth="1"/>
    <col min="13572" max="13572" width="18" style="544" customWidth="1"/>
    <col min="13573" max="13573" width="14.7109375" style="544" bestFit="1" customWidth="1"/>
    <col min="13574" max="13574" width="13" style="544" bestFit="1" customWidth="1"/>
    <col min="13575" max="13823" width="9.140625" style="544"/>
    <col min="13824" max="13824" width="10.85546875" style="544" customWidth="1"/>
    <col min="13825" max="13825" width="73.85546875" style="544" customWidth="1"/>
    <col min="13826" max="13826" width="11.42578125" style="544" customWidth="1"/>
    <col min="13827" max="13827" width="19.28515625" style="544" customWidth="1"/>
    <col min="13828" max="13828" width="18" style="544" customWidth="1"/>
    <col min="13829" max="13829" width="14.7109375" style="544" bestFit="1" customWidth="1"/>
    <col min="13830" max="13830" width="13" style="544" bestFit="1" customWidth="1"/>
    <col min="13831" max="14079" width="9.140625" style="544"/>
    <col min="14080" max="14080" width="10.85546875" style="544" customWidth="1"/>
    <col min="14081" max="14081" width="73.85546875" style="544" customWidth="1"/>
    <col min="14082" max="14082" width="11.42578125" style="544" customWidth="1"/>
    <col min="14083" max="14083" width="19.28515625" style="544" customWidth="1"/>
    <col min="14084" max="14084" width="18" style="544" customWidth="1"/>
    <col min="14085" max="14085" width="14.7109375" style="544" bestFit="1" customWidth="1"/>
    <col min="14086" max="14086" width="13" style="544" bestFit="1" customWidth="1"/>
    <col min="14087" max="14335" width="9.140625" style="544"/>
    <col min="14336" max="14336" width="10.85546875" style="544" customWidth="1"/>
    <col min="14337" max="14337" width="73.85546875" style="544" customWidth="1"/>
    <col min="14338" max="14338" width="11.42578125" style="544" customWidth="1"/>
    <col min="14339" max="14339" width="19.28515625" style="544" customWidth="1"/>
    <col min="14340" max="14340" width="18" style="544" customWidth="1"/>
    <col min="14341" max="14341" width="14.7109375" style="544" bestFit="1" customWidth="1"/>
    <col min="14342" max="14342" width="13" style="544" bestFit="1" customWidth="1"/>
    <col min="14343" max="14591" width="9.140625" style="544"/>
    <col min="14592" max="14592" width="10.85546875" style="544" customWidth="1"/>
    <col min="14593" max="14593" width="73.85546875" style="544" customWidth="1"/>
    <col min="14594" max="14594" width="11.42578125" style="544" customWidth="1"/>
    <col min="14595" max="14595" width="19.28515625" style="544" customWidth="1"/>
    <col min="14596" max="14596" width="18" style="544" customWidth="1"/>
    <col min="14597" max="14597" width="14.7109375" style="544" bestFit="1" customWidth="1"/>
    <col min="14598" max="14598" width="13" style="544" bestFit="1" customWidth="1"/>
    <col min="14599" max="14847" width="9.140625" style="544"/>
    <col min="14848" max="14848" width="10.85546875" style="544" customWidth="1"/>
    <col min="14849" max="14849" width="73.85546875" style="544" customWidth="1"/>
    <col min="14850" max="14850" width="11.42578125" style="544" customWidth="1"/>
    <col min="14851" max="14851" width="19.28515625" style="544" customWidth="1"/>
    <col min="14852" max="14852" width="18" style="544" customWidth="1"/>
    <col min="14853" max="14853" width="14.7109375" style="544" bestFit="1" customWidth="1"/>
    <col min="14854" max="14854" width="13" style="544" bestFit="1" customWidth="1"/>
    <col min="14855" max="15103" width="9.140625" style="544"/>
    <col min="15104" max="15104" width="10.85546875" style="544" customWidth="1"/>
    <col min="15105" max="15105" width="73.85546875" style="544" customWidth="1"/>
    <col min="15106" max="15106" width="11.42578125" style="544" customWidth="1"/>
    <col min="15107" max="15107" width="19.28515625" style="544" customWidth="1"/>
    <col min="15108" max="15108" width="18" style="544" customWidth="1"/>
    <col min="15109" max="15109" width="14.7109375" style="544" bestFit="1" customWidth="1"/>
    <col min="15110" max="15110" width="13" style="544" bestFit="1" customWidth="1"/>
    <col min="15111" max="15359" width="9.140625" style="544"/>
    <col min="15360" max="15360" width="10.85546875" style="544" customWidth="1"/>
    <col min="15361" max="15361" width="73.85546875" style="544" customWidth="1"/>
    <col min="15362" max="15362" width="11.42578125" style="544" customWidth="1"/>
    <col min="15363" max="15363" width="19.28515625" style="544" customWidth="1"/>
    <col min="15364" max="15364" width="18" style="544" customWidth="1"/>
    <col min="15365" max="15365" width="14.7109375" style="544" bestFit="1" customWidth="1"/>
    <col min="15366" max="15366" width="13" style="544" bestFit="1" customWidth="1"/>
    <col min="15367" max="15615" width="9.140625" style="544"/>
    <col min="15616" max="15616" width="10.85546875" style="544" customWidth="1"/>
    <col min="15617" max="15617" width="73.85546875" style="544" customWidth="1"/>
    <col min="15618" max="15618" width="11.42578125" style="544" customWidth="1"/>
    <col min="15619" max="15619" width="19.28515625" style="544" customWidth="1"/>
    <col min="15620" max="15620" width="18" style="544" customWidth="1"/>
    <col min="15621" max="15621" width="14.7109375" style="544" bestFit="1" customWidth="1"/>
    <col min="15622" max="15622" width="13" style="544" bestFit="1" customWidth="1"/>
    <col min="15623" max="15871" width="9.140625" style="544"/>
    <col min="15872" max="15872" width="10.85546875" style="544" customWidth="1"/>
    <col min="15873" max="15873" width="73.85546875" style="544" customWidth="1"/>
    <col min="15874" max="15874" width="11.42578125" style="544" customWidth="1"/>
    <col min="15875" max="15875" width="19.28515625" style="544" customWidth="1"/>
    <col min="15876" max="15876" width="18" style="544" customWidth="1"/>
    <col min="15877" max="15877" width="14.7109375" style="544" bestFit="1" customWidth="1"/>
    <col min="15878" max="15878" width="13" style="544" bestFit="1" customWidth="1"/>
    <col min="15879" max="16127" width="9.140625" style="544"/>
    <col min="16128" max="16128" width="10.85546875" style="544" customWidth="1"/>
    <col min="16129" max="16129" width="73.85546875" style="544" customWidth="1"/>
    <col min="16130" max="16130" width="11.42578125" style="544" customWidth="1"/>
    <col min="16131" max="16131" width="19.28515625" style="544" customWidth="1"/>
    <col min="16132" max="16132" width="18" style="544" customWidth="1"/>
    <col min="16133" max="16133" width="14.7109375" style="544" bestFit="1" customWidth="1"/>
    <col min="16134" max="16134" width="13" style="544" bestFit="1" customWidth="1"/>
    <col min="16135" max="16384" width="9.140625" style="544"/>
  </cols>
  <sheetData>
    <row r="2" spans="1:12">
      <c r="I2" s="585"/>
    </row>
    <row r="3" spans="1:12">
      <c r="B3" s="1377"/>
      <c r="C3" s="1377"/>
      <c r="D3" s="1377"/>
      <c r="E3" s="1168"/>
      <c r="F3" s="1168"/>
      <c r="G3" s="1168"/>
      <c r="H3" s="1168"/>
    </row>
    <row r="4" spans="1:12">
      <c r="B4" s="1092"/>
      <c r="C4" s="586"/>
      <c r="D4" s="1092"/>
      <c r="E4" s="1168"/>
      <c r="F4" s="1168"/>
      <c r="G4" s="1168"/>
      <c r="H4" s="1168"/>
    </row>
    <row r="5" spans="1:12">
      <c r="B5" s="1092"/>
      <c r="C5" s="586"/>
      <c r="D5" s="1092"/>
      <c r="E5" s="1168"/>
      <c r="F5" s="1168"/>
      <c r="G5" s="1168"/>
      <c r="H5" s="1168"/>
    </row>
    <row r="6" spans="1:12" ht="15.75" thickBot="1">
      <c r="B6" s="1092"/>
      <c r="C6" s="586"/>
      <c r="D6" s="1092"/>
      <c r="E6" s="1168"/>
      <c r="F6" s="1168"/>
      <c r="G6" s="1168"/>
      <c r="H6" s="1168"/>
    </row>
    <row r="7" spans="1:12" s="543" customFormat="1" ht="15" customHeight="1" thickBot="1">
      <c r="A7" s="547" t="s">
        <v>373</v>
      </c>
      <c r="B7" s="547" t="s">
        <v>24</v>
      </c>
      <c r="C7" s="547" t="s">
        <v>0</v>
      </c>
      <c r="D7" s="1170" t="s">
        <v>1991</v>
      </c>
      <c r="E7" s="1380" t="s">
        <v>1629</v>
      </c>
      <c r="F7" s="1380" t="s">
        <v>1992</v>
      </c>
      <c r="G7" s="1380" t="s">
        <v>1993</v>
      </c>
      <c r="H7" s="1380" t="s">
        <v>1845</v>
      </c>
      <c r="I7" s="548"/>
    </row>
    <row r="8" spans="1:12" ht="18.75" customHeight="1" thickBot="1">
      <c r="A8" s="1378" t="s">
        <v>45</v>
      </c>
      <c r="B8" s="1379"/>
      <c r="C8" s="549"/>
      <c r="D8" s="1169" t="s">
        <v>113</v>
      </c>
      <c r="E8" s="1381"/>
      <c r="F8" s="1381"/>
      <c r="G8" s="1381"/>
      <c r="H8" s="1381"/>
    </row>
    <row r="9" spans="1:12" ht="15.75" thickBot="1">
      <c r="A9" s="1096">
        <v>1</v>
      </c>
      <c r="B9" s="1097" t="s">
        <v>25</v>
      </c>
      <c r="C9" s="1098"/>
      <c r="D9" s="1099"/>
      <c r="E9" s="1171"/>
      <c r="F9" s="1171"/>
      <c r="G9" s="1171"/>
      <c r="H9" s="1099"/>
      <c r="J9" s="846"/>
      <c r="K9" s="846"/>
      <c r="L9" s="846"/>
    </row>
    <row r="10" spans="1:12">
      <c r="A10" s="848">
        <v>1.1000000000000001</v>
      </c>
      <c r="B10" s="859" t="s">
        <v>212</v>
      </c>
      <c r="C10" s="879" t="s">
        <v>1</v>
      </c>
      <c r="D10" s="883">
        <f>'1,1'!H47</f>
        <v>4580</v>
      </c>
      <c r="E10" s="883">
        <v>3617</v>
      </c>
      <c r="F10" s="883">
        <f>+D10/1.25</f>
        <v>3664</v>
      </c>
      <c r="G10" s="883">
        <f>+E10/1.25</f>
        <v>2893.6</v>
      </c>
      <c r="H10" s="883">
        <f t="shared" ref="H10:H20" si="0">D10-E10</f>
        <v>963</v>
      </c>
      <c r="J10" s="846"/>
      <c r="K10" s="846"/>
      <c r="L10" s="846"/>
    </row>
    <row r="11" spans="1:12" ht="17.25">
      <c r="A11" s="849">
        <v>1.2</v>
      </c>
      <c r="B11" s="860" t="s">
        <v>211</v>
      </c>
      <c r="C11" s="851" t="s">
        <v>1624</v>
      </c>
      <c r="D11" s="884">
        <f>'1,2'!H48</f>
        <v>1325</v>
      </c>
      <c r="E11" s="884">
        <v>1563</v>
      </c>
      <c r="F11" s="884">
        <f>+D11/1.25</f>
        <v>1060</v>
      </c>
      <c r="G11" s="884">
        <f>+E11/1.25</f>
        <v>1250.4000000000001</v>
      </c>
      <c r="H11" s="884">
        <f t="shared" si="0"/>
        <v>-238</v>
      </c>
      <c r="J11" s="846"/>
      <c r="K11" s="846"/>
      <c r="L11" s="846"/>
    </row>
    <row r="12" spans="1:12" ht="17.25">
      <c r="A12" s="849">
        <v>1.3</v>
      </c>
      <c r="B12" s="860" t="s">
        <v>257</v>
      </c>
      <c r="C12" s="851" t="s">
        <v>1492</v>
      </c>
      <c r="D12" s="884">
        <f>'1,3'!H48</f>
        <v>7844</v>
      </c>
      <c r="E12" s="884">
        <v>6595</v>
      </c>
      <c r="F12" s="884">
        <f>+D12/1.25</f>
        <v>6275.2</v>
      </c>
      <c r="G12" s="884">
        <f t="shared" ref="G12:G75" si="1">+E12/1.25</f>
        <v>5276</v>
      </c>
      <c r="H12" s="884">
        <f t="shared" si="0"/>
        <v>1249</v>
      </c>
      <c r="J12" s="846"/>
      <c r="K12" s="846"/>
      <c r="L12" s="846"/>
    </row>
    <row r="13" spans="1:12" ht="17.25">
      <c r="A13" s="849">
        <v>1.4</v>
      </c>
      <c r="B13" s="860" t="s">
        <v>1848</v>
      </c>
      <c r="C13" s="851" t="s">
        <v>1492</v>
      </c>
      <c r="D13" s="884">
        <f>'1,4'!H48</f>
        <v>3625</v>
      </c>
      <c r="E13" s="884"/>
      <c r="F13" s="884">
        <f t="shared" ref="F13:F76" si="2">+D13/1.25</f>
        <v>2900</v>
      </c>
      <c r="G13" s="884">
        <f t="shared" si="1"/>
        <v>0</v>
      </c>
      <c r="H13" s="884">
        <f t="shared" si="0"/>
        <v>3625</v>
      </c>
      <c r="J13" s="846"/>
      <c r="K13" s="846"/>
      <c r="L13" s="846"/>
    </row>
    <row r="14" spans="1:12" ht="17.25">
      <c r="A14" s="849">
        <v>1.5</v>
      </c>
      <c r="B14" s="860" t="s">
        <v>1850</v>
      </c>
      <c r="C14" s="851" t="s">
        <v>1492</v>
      </c>
      <c r="D14" s="884">
        <f>'1,5'!H48</f>
        <v>3750</v>
      </c>
      <c r="E14" s="884"/>
      <c r="F14" s="884">
        <f t="shared" si="2"/>
        <v>3000</v>
      </c>
      <c r="G14" s="884">
        <f t="shared" si="1"/>
        <v>0</v>
      </c>
      <c r="H14" s="884">
        <f t="shared" si="0"/>
        <v>3750</v>
      </c>
      <c r="J14" s="846"/>
      <c r="K14" s="846"/>
      <c r="L14" s="846"/>
    </row>
    <row r="15" spans="1:12" ht="17.25">
      <c r="A15" s="849">
        <v>1.6</v>
      </c>
      <c r="B15" s="860" t="s">
        <v>1843</v>
      </c>
      <c r="C15" s="851" t="s">
        <v>1625</v>
      </c>
      <c r="D15" s="884">
        <f>'1,6'!H47</f>
        <v>24809</v>
      </c>
      <c r="E15" s="884">
        <v>26480</v>
      </c>
      <c r="F15" s="884">
        <f t="shared" si="2"/>
        <v>19847.2</v>
      </c>
      <c r="G15" s="884">
        <f t="shared" si="1"/>
        <v>21184</v>
      </c>
      <c r="H15" s="884">
        <f t="shared" si="0"/>
        <v>-1671</v>
      </c>
      <c r="J15" s="846"/>
      <c r="K15" s="846"/>
      <c r="L15" s="846"/>
    </row>
    <row r="16" spans="1:12" ht="17.25">
      <c r="A16" s="849">
        <v>1.7</v>
      </c>
      <c r="B16" s="860" t="s">
        <v>375</v>
      </c>
      <c r="C16" s="851" t="s">
        <v>1625</v>
      </c>
      <c r="D16" s="884">
        <f>'1,7'!H47</f>
        <v>20941</v>
      </c>
      <c r="E16" s="884">
        <v>21767</v>
      </c>
      <c r="F16" s="884">
        <f t="shared" si="2"/>
        <v>16752.8</v>
      </c>
      <c r="G16" s="884">
        <f t="shared" si="1"/>
        <v>17413.599999999999</v>
      </c>
      <c r="H16" s="884">
        <f t="shared" si="0"/>
        <v>-826</v>
      </c>
      <c r="J16" s="846"/>
      <c r="K16" s="846"/>
      <c r="L16" s="846"/>
    </row>
    <row r="17" spans="1:9" ht="17.25">
      <c r="A17" s="849">
        <v>1.8</v>
      </c>
      <c r="B17" s="860" t="s">
        <v>376</v>
      </c>
      <c r="C17" s="851" t="s">
        <v>1625</v>
      </c>
      <c r="D17" s="884">
        <f>'1,8'!H47</f>
        <v>31541</v>
      </c>
      <c r="E17" s="884">
        <v>33767</v>
      </c>
      <c r="F17" s="884">
        <f t="shared" si="2"/>
        <v>25232.799999999999</v>
      </c>
      <c r="G17" s="884">
        <f t="shared" si="1"/>
        <v>27013.599999999999</v>
      </c>
      <c r="H17" s="884">
        <f t="shared" si="0"/>
        <v>-2226</v>
      </c>
    </row>
    <row r="18" spans="1:9" ht="17.25">
      <c r="A18" s="849">
        <v>1.9</v>
      </c>
      <c r="B18" s="860" t="s">
        <v>377</v>
      </c>
      <c r="C18" s="851" t="s">
        <v>1625</v>
      </c>
      <c r="D18" s="884">
        <f>'1,9'!H47</f>
        <v>42141</v>
      </c>
      <c r="E18" s="884">
        <v>45767</v>
      </c>
      <c r="F18" s="884">
        <f t="shared" si="2"/>
        <v>33712.800000000003</v>
      </c>
      <c r="G18" s="884">
        <f t="shared" si="1"/>
        <v>36613.599999999999</v>
      </c>
      <c r="H18" s="884">
        <f t="shared" si="0"/>
        <v>-3626</v>
      </c>
    </row>
    <row r="19" spans="1:9" ht="17.25">
      <c r="A19" s="850">
        <v>1.1000000000000001</v>
      </c>
      <c r="B19" s="860" t="s">
        <v>114</v>
      </c>
      <c r="C19" s="851" t="s">
        <v>1625</v>
      </c>
      <c r="D19" s="884">
        <f>'1,10'!H46</f>
        <v>21599</v>
      </c>
      <c r="E19" s="884">
        <v>18430</v>
      </c>
      <c r="F19" s="884">
        <f t="shared" si="2"/>
        <v>17279.2</v>
      </c>
      <c r="G19" s="884">
        <f t="shared" si="1"/>
        <v>14744</v>
      </c>
      <c r="H19" s="884">
        <f t="shared" si="0"/>
        <v>3169</v>
      </c>
    </row>
    <row r="20" spans="1:9" ht="30">
      <c r="A20" s="851">
        <v>1.1100000000000001</v>
      </c>
      <c r="B20" s="861" t="s">
        <v>258</v>
      </c>
      <c r="C20" s="851" t="s">
        <v>1625</v>
      </c>
      <c r="D20" s="885">
        <f>+'1,11'!H48</f>
        <v>17605</v>
      </c>
      <c r="E20" s="885">
        <v>17144</v>
      </c>
      <c r="F20" s="885">
        <f t="shared" si="2"/>
        <v>14084</v>
      </c>
      <c r="G20" s="884">
        <f t="shared" si="1"/>
        <v>13715.2</v>
      </c>
      <c r="H20" s="885">
        <f t="shared" si="0"/>
        <v>461</v>
      </c>
    </row>
    <row r="21" spans="1:9" ht="17.25">
      <c r="A21" s="850">
        <v>1.1200000000000001</v>
      </c>
      <c r="B21" s="860" t="s">
        <v>115</v>
      </c>
      <c r="C21" s="851" t="s">
        <v>1625</v>
      </c>
      <c r="D21" s="884">
        <f>'1,12'!H48</f>
        <v>61583</v>
      </c>
      <c r="E21" s="884">
        <v>52241</v>
      </c>
      <c r="F21" s="884">
        <f t="shared" si="2"/>
        <v>49266.400000000001</v>
      </c>
      <c r="G21" s="884">
        <f t="shared" si="1"/>
        <v>41792.800000000003</v>
      </c>
      <c r="H21" s="884">
        <f t="shared" ref="H21:H70" si="3">D21-E21</f>
        <v>9342</v>
      </c>
    </row>
    <row r="22" spans="1:9" ht="17.25">
      <c r="A22" s="849">
        <v>1.1299999999999999</v>
      </c>
      <c r="B22" s="860" t="s">
        <v>26</v>
      </c>
      <c r="C22" s="851" t="s">
        <v>1492</v>
      </c>
      <c r="D22" s="884">
        <f>+'1,13'!H48</f>
        <v>15688</v>
      </c>
      <c r="E22" s="884">
        <v>15476</v>
      </c>
      <c r="F22" s="884">
        <f t="shared" si="2"/>
        <v>12550.4</v>
      </c>
      <c r="G22" s="884">
        <f t="shared" si="1"/>
        <v>12380.8</v>
      </c>
      <c r="H22" s="884">
        <f t="shared" si="3"/>
        <v>212</v>
      </c>
    </row>
    <row r="23" spans="1:9" ht="17.25">
      <c r="A23" s="849">
        <v>1.1399999999999999</v>
      </c>
      <c r="B23" s="860" t="s">
        <v>216</v>
      </c>
      <c r="C23" s="851" t="s">
        <v>1492</v>
      </c>
      <c r="D23" s="885">
        <f>+'1,14'!H48</f>
        <v>50882</v>
      </c>
      <c r="E23" s="884">
        <v>55536</v>
      </c>
      <c r="F23" s="884">
        <f t="shared" si="2"/>
        <v>40705.599999999999</v>
      </c>
      <c r="G23" s="884">
        <f t="shared" si="1"/>
        <v>44428.800000000003</v>
      </c>
      <c r="H23" s="884">
        <f t="shared" si="3"/>
        <v>-4654</v>
      </c>
    </row>
    <row r="24" spans="1:9">
      <c r="A24" s="852">
        <v>2</v>
      </c>
      <c r="B24" s="862" t="s">
        <v>27</v>
      </c>
      <c r="C24" s="851"/>
      <c r="D24" s="884"/>
      <c r="E24" s="884"/>
      <c r="F24" s="884"/>
      <c r="G24" s="884"/>
      <c r="H24" s="884"/>
    </row>
    <row r="25" spans="1:9" ht="14.25" customHeight="1">
      <c r="A25" s="849">
        <v>2.1</v>
      </c>
      <c r="B25" s="863" t="s">
        <v>116</v>
      </c>
      <c r="C25" s="851" t="s">
        <v>1626</v>
      </c>
      <c r="D25" s="884">
        <f>'2,1'!H48</f>
        <v>13198</v>
      </c>
      <c r="E25" s="884">
        <v>11833</v>
      </c>
      <c r="F25" s="884">
        <f t="shared" si="2"/>
        <v>10558.4</v>
      </c>
      <c r="G25" s="884">
        <f t="shared" si="1"/>
        <v>9466.4</v>
      </c>
      <c r="H25" s="884">
        <f t="shared" si="3"/>
        <v>1365</v>
      </c>
      <c r="I25" s="550"/>
    </row>
    <row r="26" spans="1:9" ht="14.25" customHeight="1">
      <c r="A26" s="849">
        <v>2.2000000000000002</v>
      </c>
      <c r="B26" s="863" t="s">
        <v>117</v>
      </c>
      <c r="C26" s="851" t="s">
        <v>1626</v>
      </c>
      <c r="D26" s="884">
        <f>'2,2'!H48</f>
        <v>20623</v>
      </c>
      <c r="E26" s="884">
        <v>18667</v>
      </c>
      <c r="F26" s="884">
        <f t="shared" si="2"/>
        <v>16498.400000000001</v>
      </c>
      <c r="G26" s="884">
        <f t="shared" si="1"/>
        <v>14933.6</v>
      </c>
      <c r="H26" s="884">
        <f t="shared" si="3"/>
        <v>1956</v>
      </c>
      <c r="I26" s="550"/>
    </row>
    <row r="27" spans="1:9" ht="14.25" customHeight="1">
      <c r="A27" s="849">
        <v>2.5</v>
      </c>
      <c r="B27" s="864" t="s">
        <v>118</v>
      </c>
      <c r="C27" s="851" t="s">
        <v>1492</v>
      </c>
      <c r="D27" s="884">
        <f>+'2,5'!H48</f>
        <v>85243</v>
      </c>
      <c r="E27" s="884">
        <v>86009</v>
      </c>
      <c r="F27" s="884">
        <f t="shared" si="2"/>
        <v>68194.399999999994</v>
      </c>
      <c r="G27" s="884">
        <f t="shared" si="1"/>
        <v>68807.199999999997</v>
      </c>
      <c r="H27" s="884">
        <f t="shared" si="3"/>
        <v>-766</v>
      </c>
      <c r="I27" s="550"/>
    </row>
    <row r="28" spans="1:9" ht="14.25" customHeight="1">
      <c r="A28" s="849">
        <v>2.6</v>
      </c>
      <c r="B28" s="864" t="s">
        <v>119</v>
      </c>
      <c r="C28" s="851" t="s">
        <v>1492</v>
      </c>
      <c r="D28" s="884">
        <f>+'2,6'!H48</f>
        <v>127189</v>
      </c>
      <c r="E28" s="884">
        <v>126039</v>
      </c>
      <c r="F28" s="884">
        <f t="shared" si="2"/>
        <v>101751.2</v>
      </c>
      <c r="G28" s="884">
        <f t="shared" si="1"/>
        <v>100831.2</v>
      </c>
      <c r="H28" s="884">
        <f t="shared" si="3"/>
        <v>1150</v>
      </c>
      <c r="I28" s="550"/>
    </row>
    <row r="29" spans="1:9">
      <c r="A29" s="852">
        <v>3</v>
      </c>
      <c r="B29" s="862" t="s">
        <v>29</v>
      </c>
      <c r="C29" s="851"/>
      <c r="D29" s="884"/>
      <c r="E29" s="884"/>
      <c r="F29" s="884"/>
      <c r="G29" s="884"/>
      <c r="H29" s="884"/>
    </row>
    <row r="30" spans="1:9">
      <c r="A30" s="849"/>
      <c r="B30" s="862" t="s">
        <v>30</v>
      </c>
      <c r="C30" s="851"/>
      <c r="D30" s="884"/>
      <c r="E30" s="884"/>
      <c r="F30" s="884"/>
      <c r="G30" s="884"/>
      <c r="H30" s="884"/>
    </row>
    <row r="31" spans="1:9" ht="17.25">
      <c r="A31" s="849">
        <v>3.1</v>
      </c>
      <c r="B31" s="865" t="s">
        <v>120</v>
      </c>
      <c r="C31" s="851" t="s">
        <v>1492</v>
      </c>
      <c r="D31" s="884">
        <f>+'3,1'!H48</f>
        <v>27889</v>
      </c>
      <c r="E31" s="884">
        <v>21776</v>
      </c>
      <c r="F31" s="884">
        <f t="shared" si="2"/>
        <v>22311.200000000001</v>
      </c>
      <c r="G31" s="884">
        <f t="shared" si="1"/>
        <v>17420.8</v>
      </c>
      <c r="H31" s="884">
        <f t="shared" si="3"/>
        <v>6113</v>
      </c>
    </row>
    <row r="32" spans="1:9" ht="17.25">
      <c r="A32" s="849">
        <v>3.2</v>
      </c>
      <c r="B32" s="865" t="s">
        <v>121</v>
      </c>
      <c r="C32" s="851" t="s">
        <v>1492</v>
      </c>
      <c r="D32" s="884">
        <f>+'3,2'!H48</f>
        <v>32994</v>
      </c>
      <c r="E32" s="884">
        <v>26079</v>
      </c>
      <c r="F32" s="884">
        <f t="shared" si="2"/>
        <v>26395.200000000001</v>
      </c>
      <c r="G32" s="884">
        <f t="shared" si="1"/>
        <v>20863.2</v>
      </c>
      <c r="H32" s="884">
        <f t="shared" si="3"/>
        <v>6915</v>
      </c>
    </row>
    <row r="33" spans="1:8" ht="17.25">
      <c r="A33" s="849">
        <v>3.3</v>
      </c>
      <c r="B33" s="865" t="s">
        <v>122</v>
      </c>
      <c r="C33" s="851" t="s">
        <v>1492</v>
      </c>
      <c r="D33" s="884">
        <f>+'3,3'!H48</f>
        <v>65616</v>
      </c>
      <c r="E33" s="884">
        <v>61501</v>
      </c>
      <c r="F33" s="884">
        <f t="shared" si="2"/>
        <v>52492.800000000003</v>
      </c>
      <c r="G33" s="884">
        <f t="shared" si="1"/>
        <v>49200.800000000003</v>
      </c>
      <c r="H33" s="884">
        <f t="shared" si="3"/>
        <v>4115</v>
      </c>
    </row>
    <row r="34" spans="1:8" ht="17.25">
      <c r="A34" s="849">
        <v>3.4</v>
      </c>
      <c r="B34" s="865" t="s">
        <v>32</v>
      </c>
      <c r="C34" s="851" t="s">
        <v>1492</v>
      </c>
      <c r="D34" s="884">
        <f>+'3,4'!H48</f>
        <v>103088</v>
      </c>
      <c r="E34" s="884">
        <v>80108</v>
      </c>
      <c r="F34" s="884">
        <f t="shared" si="2"/>
        <v>82470.399999999994</v>
      </c>
      <c r="G34" s="884">
        <f t="shared" si="1"/>
        <v>64086.400000000001</v>
      </c>
      <c r="H34" s="884">
        <f t="shared" si="3"/>
        <v>22980</v>
      </c>
    </row>
    <row r="35" spans="1:8">
      <c r="A35" s="853"/>
      <c r="B35" s="862" t="s">
        <v>123</v>
      </c>
      <c r="C35" s="851"/>
      <c r="D35" s="884"/>
      <c r="E35" s="884"/>
      <c r="F35" s="884"/>
      <c r="G35" s="884"/>
      <c r="H35" s="884"/>
    </row>
    <row r="36" spans="1:8" ht="17.25">
      <c r="A36" s="849">
        <v>3.5</v>
      </c>
      <c r="B36" s="865" t="s">
        <v>120</v>
      </c>
      <c r="C36" s="851" t="s">
        <v>1492</v>
      </c>
      <c r="D36" s="884">
        <f>+'3,5'!H48</f>
        <v>35147</v>
      </c>
      <c r="E36" s="884">
        <v>31727</v>
      </c>
      <c r="F36" s="884">
        <f t="shared" si="2"/>
        <v>28117.599999999999</v>
      </c>
      <c r="G36" s="884">
        <f t="shared" si="1"/>
        <v>25381.599999999999</v>
      </c>
      <c r="H36" s="884">
        <f t="shared" si="3"/>
        <v>3420</v>
      </c>
    </row>
    <row r="37" spans="1:8" ht="17.25">
      <c r="A37" s="849">
        <v>3.6</v>
      </c>
      <c r="B37" s="865" t="s">
        <v>121</v>
      </c>
      <c r="C37" s="851" t="s">
        <v>1492</v>
      </c>
      <c r="D37" s="884">
        <f>+'3,6'!H48</f>
        <v>41177</v>
      </c>
      <c r="E37" s="884">
        <v>37697</v>
      </c>
      <c r="F37" s="884">
        <f t="shared" si="2"/>
        <v>32941.599999999999</v>
      </c>
      <c r="G37" s="884">
        <f t="shared" si="1"/>
        <v>30157.599999999999</v>
      </c>
      <c r="H37" s="884">
        <f t="shared" si="3"/>
        <v>3480</v>
      </c>
    </row>
    <row r="38" spans="1:8" ht="17.25">
      <c r="A38" s="849">
        <v>3.7</v>
      </c>
      <c r="B38" s="865" t="s">
        <v>122</v>
      </c>
      <c r="C38" s="851" t="s">
        <v>1492</v>
      </c>
      <c r="D38" s="884">
        <f>+'3,7'!H48</f>
        <v>72873</v>
      </c>
      <c r="E38" s="884">
        <v>74934</v>
      </c>
      <c r="F38" s="884">
        <f t="shared" si="2"/>
        <v>58298.400000000001</v>
      </c>
      <c r="G38" s="884">
        <f t="shared" si="1"/>
        <v>59947.199999999997</v>
      </c>
      <c r="H38" s="884">
        <f t="shared" si="3"/>
        <v>-2061</v>
      </c>
    </row>
    <row r="39" spans="1:8">
      <c r="A39" s="853"/>
      <c r="B39" s="862" t="s">
        <v>31</v>
      </c>
      <c r="C39" s="851"/>
      <c r="D39" s="884"/>
      <c r="E39" s="884"/>
      <c r="F39" s="884"/>
      <c r="G39" s="884"/>
      <c r="H39" s="884"/>
    </row>
    <row r="40" spans="1:8" ht="17.25">
      <c r="A40" s="849">
        <v>3.8</v>
      </c>
      <c r="B40" s="865" t="s">
        <v>120</v>
      </c>
      <c r="C40" s="851" t="s">
        <v>1492</v>
      </c>
      <c r="D40" s="884">
        <f>+'3,8'!H48</f>
        <v>46482</v>
      </c>
      <c r="E40" s="884">
        <v>35044</v>
      </c>
      <c r="F40" s="884">
        <f t="shared" si="2"/>
        <v>37185.599999999999</v>
      </c>
      <c r="G40" s="884">
        <f t="shared" si="1"/>
        <v>28035.200000000001</v>
      </c>
      <c r="H40" s="884">
        <f t="shared" si="3"/>
        <v>11438</v>
      </c>
    </row>
    <row r="41" spans="1:8" ht="17.25">
      <c r="A41" s="849">
        <v>3.9</v>
      </c>
      <c r="B41" s="865" t="s">
        <v>121</v>
      </c>
      <c r="C41" s="851" t="s">
        <v>1492</v>
      </c>
      <c r="D41" s="884">
        <f>+'3,9'!H48</f>
        <v>50201</v>
      </c>
      <c r="E41" s="884">
        <v>37697</v>
      </c>
      <c r="F41" s="884">
        <f t="shared" si="2"/>
        <v>40160.800000000003</v>
      </c>
      <c r="G41" s="884">
        <f t="shared" si="1"/>
        <v>30157.599999999999</v>
      </c>
      <c r="H41" s="884">
        <f t="shared" si="3"/>
        <v>12504</v>
      </c>
    </row>
    <row r="42" spans="1:8" ht="17.25">
      <c r="A42" s="850">
        <v>3.1</v>
      </c>
      <c r="B42" s="865" t="s">
        <v>122</v>
      </c>
      <c r="C42" s="851" t="s">
        <v>1492</v>
      </c>
      <c r="D42" s="884">
        <f>+'3,10'!H48</f>
        <v>96431</v>
      </c>
      <c r="E42" s="884">
        <v>80380</v>
      </c>
      <c r="F42" s="884">
        <f t="shared" si="2"/>
        <v>77144.800000000003</v>
      </c>
      <c r="G42" s="884">
        <f t="shared" si="1"/>
        <v>64304</v>
      </c>
      <c r="H42" s="884">
        <f t="shared" si="3"/>
        <v>16051</v>
      </c>
    </row>
    <row r="43" spans="1:8" ht="17.25">
      <c r="A43" s="849">
        <v>3.11</v>
      </c>
      <c r="B43" s="865" t="s">
        <v>32</v>
      </c>
      <c r="C43" s="851" t="s">
        <v>1492</v>
      </c>
      <c r="D43" s="884">
        <f>+'3,11'!H48</f>
        <v>142015</v>
      </c>
      <c r="E43" s="884">
        <v>85552</v>
      </c>
      <c r="F43" s="884">
        <f t="shared" si="2"/>
        <v>113612</v>
      </c>
      <c r="G43" s="884">
        <f t="shared" si="1"/>
        <v>68441.600000000006</v>
      </c>
      <c r="H43" s="884">
        <f t="shared" si="3"/>
        <v>56463</v>
      </c>
    </row>
    <row r="44" spans="1:8">
      <c r="A44" s="853"/>
      <c r="B44" s="862" t="s">
        <v>124</v>
      </c>
      <c r="C44" s="851"/>
      <c r="D44" s="884"/>
      <c r="E44" s="884"/>
      <c r="F44" s="884"/>
      <c r="G44" s="884"/>
      <c r="H44" s="884"/>
    </row>
    <row r="45" spans="1:8" ht="17.25">
      <c r="A45" s="849">
        <v>3.12</v>
      </c>
      <c r="B45" s="865" t="s">
        <v>120</v>
      </c>
      <c r="C45" s="851" t="s">
        <v>1492</v>
      </c>
      <c r="D45" s="884">
        <f>+'3,12'!H48</f>
        <v>57647</v>
      </c>
      <c r="E45" s="884">
        <v>39190</v>
      </c>
      <c r="F45" s="884">
        <f t="shared" si="2"/>
        <v>46117.599999999999</v>
      </c>
      <c r="G45" s="884">
        <f t="shared" si="1"/>
        <v>31352</v>
      </c>
      <c r="H45" s="884">
        <f t="shared" si="3"/>
        <v>18457</v>
      </c>
    </row>
    <row r="46" spans="1:8" ht="17.25">
      <c r="A46" s="849">
        <v>3.13</v>
      </c>
      <c r="B46" s="865" t="s">
        <v>121</v>
      </c>
      <c r="C46" s="851" t="s">
        <v>1492</v>
      </c>
      <c r="D46" s="884">
        <f>+'3,13'!H48</f>
        <v>61366</v>
      </c>
      <c r="E46" s="884">
        <v>51628</v>
      </c>
      <c r="F46" s="884">
        <f t="shared" si="2"/>
        <v>49092.800000000003</v>
      </c>
      <c r="G46" s="884">
        <f t="shared" si="1"/>
        <v>41302.400000000001</v>
      </c>
      <c r="H46" s="884">
        <f t="shared" si="3"/>
        <v>9738</v>
      </c>
    </row>
    <row r="47" spans="1:8" ht="17.25">
      <c r="A47" s="849">
        <v>3.14</v>
      </c>
      <c r="B47" s="865" t="s">
        <v>122</v>
      </c>
      <c r="C47" s="851" t="s">
        <v>1492</v>
      </c>
      <c r="D47" s="884">
        <f>+'3,14'!H48</f>
        <v>121653</v>
      </c>
      <c r="E47" s="884">
        <v>78469</v>
      </c>
      <c r="F47" s="884">
        <f t="shared" si="2"/>
        <v>97322.4</v>
      </c>
      <c r="G47" s="884">
        <f t="shared" si="1"/>
        <v>62775.199999999997</v>
      </c>
      <c r="H47" s="884">
        <f t="shared" si="3"/>
        <v>43184</v>
      </c>
    </row>
    <row r="48" spans="1:8">
      <c r="A48" s="853"/>
      <c r="B48" s="862" t="s">
        <v>33</v>
      </c>
      <c r="C48" s="851"/>
      <c r="D48" s="884"/>
      <c r="E48" s="884"/>
      <c r="F48" s="884"/>
      <c r="G48" s="884"/>
      <c r="H48" s="884"/>
    </row>
    <row r="49" spans="1:8" ht="17.25">
      <c r="A49" s="849">
        <v>3.15</v>
      </c>
      <c r="B49" s="865" t="s">
        <v>120</v>
      </c>
      <c r="C49" s="851" t="s">
        <v>1492</v>
      </c>
      <c r="D49" s="884">
        <f>+'3,15'!H48</f>
        <v>62751</v>
      </c>
      <c r="E49" s="884">
        <v>48197</v>
      </c>
      <c r="F49" s="884">
        <f t="shared" si="2"/>
        <v>50200.800000000003</v>
      </c>
      <c r="G49" s="884">
        <f t="shared" si="1"/>
        <v>38557.599999999999</v>
      </c>
      <c r="H49" s="884">
        <f>D49-E49</f>
        <v>14554</v>
      </c>
    </row>
    <row r="50" spans="1:8" ht="17.25">
      <c r="A50" s="849">
        <v>3.16</v>
      </c>
      <c r="B50" s="865" t="s">
        <v>121</v>
      </c>
      <c r="C50" s="851" t="s">
        <v>1492</v>
      </c>
      <c r="D50" s="884">
        <f>+'3,16'!H48</f>
        <v>75301</v>
      </c>
      <c r="E50" s="884">
        <v>62935</v>
      </c>
      <c r="F50" s="884">
        <f t="shared" si="2"/>
        <v>60240.800000000003</v>
      </c>
      <c r="G50" s="884">
        <f t="shared" si="1"/>
        <v>50348</v>
      </c>
      <c r="H50" s="884">
        <f t="shared" si="3"/>
        <v>12366</v>
      </c>
    </row>
    <row r="51" spans="1:8" ht="17.25">
      <c r="A51" s="849">
        <v>3.17</v>
      </c>
      <c r="B51" s="865" t="s">
        <v>122</v>
      </c>
      <c r="C51" s="851" t="s">
        <v>1492</v>
      </c>
      <c r="D51" s="884">
        <f>+'3,17'!H46</f>
        <v>100311</v>
      </c>
      <c r="E51" s="884">
        <v>86787</v>
      </c>
      <c r="F51" s="884">
        <f t="shared" si="2"/>
        <v>80248.800000000003</v>
      </c>
      <c r="G51" s="884">
        <f t="shared" si="1"/>
        <v>69429.600000000006</v>
      </c>
      <c r="H51" s="884">
        <f t="shared" si="3"/>
        <v>13524</v>
      </c>
    </row>
    <row r="52" spans="1:8">
      <c r="A52" s="852">
        <v>4</v>
      </c>
      <c r="B52" s="862" t="s">
        <v>34</v>
      </c>
      <c r="C52" s="851"/>
      <c r="D52" s="884"/>
      <c r="E52" s="884"/>
      <c r="F52" s="884"/>
      <c r="G52" s="884"/>
      <c r="H52" s="884"/>
    </row>
    <row r="53" spans="1:8">
      <c r="A53" s="853"/>
      <c r="B53" s="862" t="s">
        <v>30</v>
      </c>
      <c r="C53" s="851"/>
      <c r="D53" s="884"/>
      <c r="E53" s="884"/>
      <c r="F53" s="884"/>
      <c r="G53" s="884"/>
      <c r="H53" s="884"/>
    </row>
    <row r="54" spans="1:8" ht="17.25">
      <c r="A54" s="849">
        <v>4.0999999999999996</v>
      </c>
      <c r="B54" s="865" t="s">
        <v>35</v>
      </c>
      <c r="C54" s="851" t="s">
        <v>1492</v>
      </c>
      <c r="D54" s="884">
        <f>+'4,1'!H48</f>
        <v>18125</v>
      </c>
      <c r="E54" s="884">
        <v>13461</v>
      </c>
      <c r="F54" s="884">
        <f t="shared" si="2"/>
        <v>14500</v>
      </c>
      <c r="G54" s="884">
        <f t="shared" si="1"/>
        <v>10768.8</v>
      </c>
      <c r="H54" s="884">
        <f t="shared" si="3"/>
        <v>4664</v>
      </c>
    </row>
    <row r="55" spans="1:8" ht="17.25">
      <c r="A55" s="849">
        <v>4.2</v>
      </c>
      <c r="B55" s="865" t="s">
        <v>122</v>
      </c>
      <c r="C55" s="851" t="s">
        <v>1492</v>
      </c>
      <c r="D55" s="884">
        <f>+'4,2'!H48</f>
        <v>37500</v>
      </c>
      <c r="E55" s="884">
        <v>30172</v>
      </c>
      <c r="F55" s="884">
        <f t="shared" si="2"/>
        <v>30000</v>
      </c>
      <c r="G55" s="884">
        <f t="shared" si="1"/>
        <v>24137.599999999999</v>
      </c>
      <c r="H55" s="884">
        <f t="shared" si="3"/>
        <v>7328</v>
      </c>
    </row>
    <row r="56" spans="1:8">
      <c r="A56" s="853"/>
      <c r="B56" s="862" t="s">
        <v>123</v>
      </c>
      <c r="C56" s="851"/>
      <c r="D56" s="884"/>
      <c r="E56" s="884"/>
      <c r="F56" s="884"/>
      <c r="G56" s="884"/>
      <c r="H56" s="884"/>
    </row>
    <row r="57" spans="1:8" ht="17.25">
      <c r="A57" s="849">
        <v>4.3</v>
      </c>
      <c r="B57" s="865" t="s">
        <v>35</v>
      </c>
      <c r="C57" s="851" t="s">
        <v>1492</v>
      </c>
      <c r="D57" s="884">
        <f>+'4,3'!H48</f>
        <v>31424</v>
      </c>
      <c r="E57" s="884">
        <v>21875</v>
      </c>
      <c r="F57" s="884">
        <f t="shared" si="2"/>
        <v>25139.200000000001</v>
      </c>
      <c r="G57" s="884">
        <f t="shared" si="1"/>
        <v>17500</v>
      </c>
      <c r="H57" s="884">
        <f t="shared" si="3"/>
        <v>9549</v>
      </c>
    </row>
    <row r="58" spans="1:8" ht="17.25">
      <c r="A58" s="849">
        <v>4.4000000000000004</v>
      </c>
      <c r="B58" s="865" t="s">
        <v>122</v>
      </c>
      <c r="C58" s="851" t="s">
        <v>1492</v>
      </c>
      <c r="D58" s="884">
        <f>+'4,4'!H48</f>
        <v>67674</v>
      </c>
      <c r="E58" s="884">
        <v>54688</v>
      </c>
      <c r="F58" s="884">
        <f t="shared" si="2"/>
        <v>54139.199999999997</v>
      </c>
      <c r="G58" s="884">
        <f t="shared" si="1"/>
        <v>43750.400000000001</v>
      </c>
      <c r="H58" s="884">
        <f t="shared" si="3"/>
        <v>12986</v>
      </c>
    </row>
    <row r="59" spans="1:8">
      <c r="A59" s="853"/>
      <c r="B59" s="862" t="s">
        <v>31</v>
      </c>
      <c r="C59" s="851"/>
      <c r="D59" s="884"/>
      <c r="E59" s="884"/>
      <c r="F59" s="884"/>
      <c r="G59" s="884"/>
      <c r="H59" s="884"/>
    </row>
    <row r="60" spans="1:8" ht="17.25">
      <c r="A60" s="849">
        <v>4.5</v>
      </c>
      <c r="B60" s="865" t="s">
        <v>35</v>
      </c>
      <c r="C60" s="851" t="s">
        <v>1492</v>
      </c>
      <c r="D60" s="884">
        <f>+'4,5'!H48</f>
        <v>26701</v>
      </c>
      <c r="E60" s="884">
        <v>17500</v>
      </c>
      <c r="F60" s="884">
        <f t="shared" si="2"/>
        <v>21360.799999999999</v>
      </c>
      <c r="G60" s="884">
        <f t="shared" si="1"/>
        <v>14000</v>
      </c>
      <c r="H60" s="884">
        <f t="shared" si="3"/>
        <v>9201</v>
      </c>
    </row>
    <row r="61" spans="1:8" ht="17.25">
      <c r="A61" s="849">
        <v>4.5999999999999996</v>
      </c>
      <c r="B61" s="865" t="s">
        <v>122</v>
      </c>
      <c r="C61" s="851" t="s">
        <v>1492</v>
      </c>
      <c r="D61" s="884">
        <f>+'4,6'!H48</f>
        <v>65540</v>
      </c>
      <c r="E61" s="884">
        <v>50000</v>
      </c>
      <c r="F61" s="884">
        <f t="shared" si="2"/>
        <v>52432</v>
      </c>
      <c r="G61" s="884">
        <f t="shared" si="1"/>
        <v>40000</v>
      </c>
      <c r="H61" s="884">
        <f t="shared" si="3"/>
        <v>15540</v>
      </c>
    </row>
    <row r="62" spans="1:8">
      <c r="A62" s="853"/>
      <c r="B62" s="862" t="s">
        <v>124</v>
      </c>
      <c r="C62" s="851"/>
      <c r="D62" s="884"/>
      <c r="E62" s="884"/>
      <c r="F62" s="884"/>
      <c r="G62" s="884"/>
      <c r="H62" s="884"/>
    </row>
    <row r="63" spans="1:8" ht="17.25">
      <c r="A63" s="849">
        <v>4.7</v>
      </c>
      <c r="B63" s="865" t="s">
        <v>35</v>
      </c>
      <c r="C63" s="851" t="s">
        <v>1492</v>
      </c>
      <c r="D63" s="884">
        <f>+'4,7'!H48</f>
        <v>32915</v>
      </c>
      <c r="E63" s="884">
        <v>20834</v>
      </c>
      <c r="F63" s="884">
        <f t="shared" si="2"/>
        <v>26332</v>
      </c>
      <c r="G63" s="884">
        <f t="shared" si="1"/>
        <v>16667.2</v>
      </c>
      <c r="H63" s="884">
        <f t="shared" si="3"/>
        <v>12081</v>
      </c>
    </row>
    <row r="64" spans="1:8" ht="17.25">
      <c r="A64" s="849">
        <v>4.8</v>
      </c>
      <c r="B64" s="865" t="s">
        <v>122</v>
      </c>
      <c r="C64" s="851" t="s">
        <v>1492</v>
      </c>
      <c r="D64" s="884">
        <f>+'4,8'!H48</f>
        <v>83665</v>
      </c>
      <c r="E64" s="884">
        <v>62500</v>
      </c>
      <c r="F64" s="884">
        <f t="shared" si="2"/>
        <v>66932</v>
      </c>
      <c r="G64" s="884">
        <f t="shared" si="1"/>
        <v>50000</v>
      </c>
      <c r="H64" s="884">
        <f t="shared" si="3"/>
        <v>21165</v>
      </c>
    </row>
    <row r="65" spans="1:10">
      <c r="A65" s="853"/>
      <c r="B65" s="862" t="s">
        <v>33</v>
      </c>
      <c r="C65" s="851"/>
      <c r="D65" s="884"/>
      <c r="E65" s="884"/>
      <c r="F65" s="884"/>
      <c r="G65" s="884"/>
      <c r="H65" s="884"/>
    </row>
    <row r="66" spans="1:10" ht="17.25">
      <c r="A66" s="849">
        <v>4.9000000000000004</v>
      </c>
      <c r="B66" s="865" t="s">
        <v>35</v>
      </c>
      <c r="C66" s="851" t="s">
        <v>1492</v>
      </c>
      <c r="D66" s="884">
        <f>+'4,9'!H48</f>
        <v>43500</v>
      </c>
      <c r="E66" s="884">
        <v>32609</v>
      </c>
      <c r="F66" s="884">
        <f t="shared" si="2"/>
        <v>34800</v>
      </c>
      <c r="G66" s="884">
        <f t="shared" si="1"/>
        <v>26087.200000000001</v>
      </c>
      <c r="H66" s="884">
        <f t="shared" si="3"/>
        <v>10891</v>
      </c>
    </row>
    <row r="67" spans="1:10" ht="17.25">
      <c r="A67" s="850">
        <v>4.0999999999999996</v>
      </c>
      <c r="B67" s="865" t="s">
        <v>122</v>
      </c>
      <c r="C67" s="851" t="s">
        <v>1492</v>
      </c>
      <c r="D67" s="884">
        <f>+'4,10'!H48</f>
        <v>72500</v>
      </c>
      <c r="E67" s="884">
        <v>55556</v>
      </c>
      <c r="F67" s="884">
        <f t="shared" si="2"/>
        <v>58000</v>
      </c>
      <c r="G67" s="884">
        <f t="shared" si="1"/>
        <v>44444.800000000003</v>
      </c>
      <c r="H67" s="884">
        <f t="shared" si="3"/>
        <v>16944</v>
      </c>
    </row>
    <row r="68" spans="1:10">
      <c r="A68" s="853"/>
      <c r="B68" s="862" t="s">
        <v>125</v>
      </c>
      <c r="C68" s="851"/>
      <c r="D68" s="884"/>
      <c r="E68" s="884"/>
      <c r="F68" s="884"/>
      <c r="G68" s="884"/>
      <c r="H68" s="884"/>
    </row>
    <row r="69" spans="1:10" ht="17.25">
      <c r="A69" s="849">
        <v>4.1100000000000003</v>
      </c>
      <c r="B69" s="865" t="s">
        <v>35</v>
      </c>
      <c r="C69" s="851" t="s">
        <v>1492</v>
      </c>
      <c r="D69" s="884">
        <f>+'4,11'!H48</f>
        <v>47415</v>
      </c>
      <c r="E69" s="884">
        <v>33334</v>
      </c>
      <c r="F69" s="884">
        <f t="shared" si="2"/>
        <v>37932</v>
      </c>
      <c r="G69" s="884">
        <f t="shared" si="1"/>
        <v>26667.200000000001</v>
      </c>
      <c r="H69" s="884">
        <f t="shared" si="3"/>
        <v>14081</v>
      </c>
    </row>
    <row r="70" spans="1:10" ht="17.25">
      <c r="A70" s="849">
        <v>4.12</v>
      </c>
      <c r="B70" s="865" t="s">
        <v>122</v>
      </c>
      <c r="C70" s="851" t="s">
        <v>1492</v>
      </c>
      <c r="D70" s="884">
        <f>+'4,12'!H48</f>
        <v>83665</v>
      </c>
      <c r="E70" s="884">
        <v>68182</v>
      </c>
      <c r="F70" s="884">
        <f t="shared" si="2"/>
        <v>66932</v>
      </c>
      <c r="G70" s="884">
        <f t="shared" si="1"/>
        <v>54545.599999999999</v>
      </c>
      <c r="H70" s="884">
        <f t="shared" si="3"/>
        <v>15483</v>
      </c>
    </row>
    <row r="71" spans="1:10">
      <c r="A71" s="852">
        <v>5</v>
      </c>
      <c r="B71" s="862" t="s">
        <v>36</v>
      </c>
      <c r="C71" s="851"/>
      <c r="D71" s="884"/>
      <c r="E71" s="884"/>
      <c r="F71" s="884"/>
      <c r="G71" s="884"/>
      <c r="H71" s="884"/>
    </row>
    <row r="72" spans="1:10" ht="17.25">
      <c r="A72" s="849">
        <v>5.0999999999999996</v>
      </c>
      <c r="B72" s="860" t="s">
        <v>1852</v>
      </c>
      <c r="C72" s="851" t="s">
        <v>1492</v>
      </c>
      <c r="D72" s="884">
        <f>+'5,1'!H51</f>
        <v>491857</v>
      </c>
      <c r="E72" s="884">
        <v>389925</v>
      </c>
      <c r="F72" s="884">
        <f t="shared" si="2"/>
        <v>393485.6</v>
      </c>
      <c r="G72" s="884">
        <f t="shared" si="1"/>
        <v>311940</v>
      </c>
      <c r="H72" s="884"/>
      <c r="J72" s="551"/>
    </row>
    <row r="73" spans="1:10" ht="17.25">
      <c r="A73" s="849">
        <v>5.2</v>
      </c>
      <c r="B73" s="860" t="s">
        <v>1775</v>
      </c>
      <c r="C73" s="851" t="s">
        <v>1492</v>
      </c>
      <c r="D73" s="884">
        <f>'5,2'!H51</f>
        <v>547306</v>
      </c>
      <c r="E73" s="884">
        <v>386468</v>
      </c>
      <c r="F73" s="884">
        <f t="shared" si="2"/>
        <v>437844.8</v>
      </c>
      <c r="G73" s="884">
        <f t="shared" si="1"/>
        <v>309174.40000000002</v>
      </c>
      <c r="H73" s="884"/>
      <c r="J73" s="551"/>
    </row>
    <row r="74" spans="1:10" ht="17.25">
      <c r="A74" s="849">
        <v>5.3</v>
      </c>
      <c r="B74" s="860" t="s">
        <v>1781</v>
      </c>
      <c r="C74" s="851" t="s">
        <v>1492</v>
      </c>
      <c r="D74" s="884">
        <f>+'5,3'!H51</f>
        <v>576221</v>
      </c>
      <c r="E74" s="884">
        <v>461933</v>
      </c>
      <c r="F74" s="884">
        <f t="shared" si="2"/>
        <v>460976.8</v>
      </c>
      <c r="G74" s="884">
        <f t="shared" si="1"/>
        <v>369546.4</v>
      </c>
      <c r="H74" s="884"/>
      <c r="J74" s="551"/>
    </row>
    <row r="75" spans="1:10" ht="17.25">
      <c r="A75" s="849">
        <v>5.4</v>
      </c>
      <c r="B75" s="860" t="s">
        <v>1782</v>
      </c>
      <c r="C75" s="851" t="s">
        <v>1492</v>
      </c>
      <c r="D75" s="884">
        <f>+'5,4'!H51</f>
        <v>579701</v>
      </c>
      <c r="E75" s="884">
        <v>596709</v>
      </c>
      <c r="F75" s="884">
        <f t="shared" si="2"/>
        <v>463760.8</v>
      </c>
      <c r="G75" s="884">
        <f t="shared" si="1"/>
        <v>477367.2</v>
      </c>
      <c r="H75" s="884"/>
      <c r="J75" s="551"/>
    </row>
    <row r="76" spans="1:10" ht="17.25">
      <c r="A76" s="849">
        <v>5.5</v>
      </c>
      <c r="B76" s="860" t="s">
        <v>1776</v>
      </c>
      <c r="C76" s="851" t="s">
        <v>1492</v>
      </c>
      <c r="D76" s="884">
        <f>'5,5'!H51</f>
        <v>627900</v>
      </c>
      <c r="E76" s="884"/>
      <c r="F76" s="884">
        <f t="shared" si="2"/>
        <v>502320</v>
      </c>
      <c r="G76" s="884"/>
      <c r="H76" s="884"/>
      <c r="J76" s="551"/>
    </row>
    <row r="77" spans="1:10" ht="17.25">
      <c r="A77" s="849">
        <v>5.6</v>
      </c>
      <c r="B77" s="860" t="s">
        <v>1780</v>
      </c>
      <c r="C77" s="851" t="s">
        <v>1492</v>
      </c>
      <c r="D77" s="884">
        <f>'5,6'!H49</f>
        <v>631380</v>
      </c>
      <c r="E77" s="884">
        <v>536331</v>
      </c>
      <c r="F77" s="884">
        <f t="shared" ref="F77:F140" si="4">+D77/1.25</f>
        <v>505104</v>
      </c>
      <c r="G77" s="884">
        <f t="shared" ref="G77:G139" si="5">+E77/1.25</f>
        <v>429064.8</v>
      </c>
      <c r="H77" s="884"/>
      <c r="J77" s="551"/>
    </row>
    <row r="78" spans="1:10" ht="17.25">
      <c r="A78" s="849">
        <v>5.7</v>
      </c>
      <c r="B78" s="860" t="s">
        <v>1786</v>
      </c>
      <c r="C78" s="851" t="s">
        <v>1492</v>
      </c>
      <c r="D78" s="884">
        <f>'5,7'!H51</f>
        <v>670572</v>
      </c>
      <c r="E78" s="884">
        <v>621683</v>
      </c>
      <c r="F78" s="884">
        <f t="shared" si="4"/>
        <v>536457.6</v>
      </c>
      <c r="G78" s="884">
        <f t="shared" si="5"/>
        <v>497346.4</v>
      </c>
      <c r="H78" s="884"/>
      <c r="J78" s="551"/>
    </row>
    <row r="79" spans="1:10" ht="17.25">
      <c r="A79" s="849">
        <v>5.8</v>
      </c>
      <c r="B79" s="860" t="s">
        <v>1787</v>
      </c>
      <c r="C79" s="851" t="s">
        <v>1492</v>
      </c>
      <c r="D79" s="884">
        <f>'5,8'!H51</f>
        <v>652003</v>
      </c>
      <c r="E79" s="884">
        <v>613840</v>
      </c>
      <c r="F79" s="884">
        <f t="shared" si="4"/>
        <v>521602.4</v>
      </c>
      <c r="G79" s="884">
        <f t="shared" si="5"/>
        <v>491072</v>
      </c>
      <c r="H79" s="884"/>
      <c r="J79" s="551"/>
    </row>
    <row r="80" spans="1:10" ht="17.25">
      <c r="A80" s="849">
        <v>5.9</v>
      </c>
      <c r="B80" s="860" t="s">
        <v>1777</v>
      </c>
      <c r="C80" s="851" t="s">
        <v>1492</v>
      </c>
      <c r="D80" s="884">
        <f>'5,9'!H51</f>
        <v>715445</v>
      </c>
      <c r="E80" s="884"/>
      <c r="F80" s="884">
        <f t="shared" si="4"/>
        <v>572356</v>
      </c>
      <c r="G80" s="884"/>
      <c r="H80" s="884"/>
      <c r="J80" s="551"/>
    </row>
    <row r="81" spans="1:10" ht="17.25">
      <c r="A81" s="850">
        <v>5.0999999999999996</v>
      </c>
      <c r="B81" s="860" t="s">
        <v>1789</v>
      </c>
      <c r="C81" s="851" t="s">
        <v>1492</v>
      </c>
      <c r="D81" s="884">
        <f>+'5,10'!H49</f>
        <v>721789</v>
      </c>
      <c r="E81" s="884">
        <v>734314</v>
      </c>
      <c r="F81" s="884">
        <f t="shared" si="4"/>
        <v>577431.19999999995</v>
      </c>
      <c r="G81" s="884">
        <f t="shared" si="5"/>
        <v>587451.19999999995</v>
      </c>
      <c r="H81" s="884"/>
      <c r="J81" s="551"/>
    </row>
    <row r="82" spans="1:10" ht="17.25">
      <c r="A82" s="849">
        <v>5.1100000000000003</v>
      </c>
      <c r="B82" s="860" t="s">
        <v>1778</v>
      </c>
      <c r="C82" s="851" t="s">
        <v>1492</v>
      </c>
      <c r="D82" s="884">
        <f>'5,11'!H51</f>
        <v>745829</v>
      </c>
      <c r="E82" s="884"/>
      <c r="F82" s="884">
        <f t="shared" si="4"/>
        <v>596663.19999999995</v>
      </c>
      <c r="G82" s="884"/>
      <c r="H82" s="884"/>
      <c r="J82" s="551"/>
    </row>
    <row r="83" spans="1:10" ht="17.25">
      <c r="A83" s="849">
        <v>5.12</v>
      </c>
      <c r="B83" s="860" t="s">
        <v>1791</v>
      </c>
      <c r="C83" s="851" t="s">
        <v>1492</v>
      </c>
      <c r="D83" s="884">
        <f>'5,12'!H49</f>
        <v>749309</v>
      </c>
      <c r="E83" s="884">
        <v>768876</v>
      </c>
      <c r="F83" s="884">
        <f t="shared" si="4"/>
        <v>599447.19999999995</v>
      </c>
      <c r="G83" s="884">
        <f t="shared" si="5"/>
        <v>615100.80000000005</v>
      </c>
      <c r="H83" s="884"/>
      <c r="J83" s="551"/>
    </row>
    <row r="84" spans="1:10" ht="17.25">
      <c r="A84" s="849">
        <v>5.13</v>
      </c>
      <c r="B84" s="860" t="s">
        <v>37</v>
      </c>
      <c r="C84" s="851" t="s">
        <v>1626</v>
      </c>
      <c r="D84" s="884">
        <f>'5,13'!H49</f>
        <v>76728</v>
      </c>
      <c r="E84" s="884">
        <v>66740</v>
      </c>
      <c r="F84" s="884">
        <f t="shared" si="4"/>
        <v>61382.400000000001</v>
      </c>
      <c r="G84" s="884">
        <f t="shared" si="5"/>
        <v>53392</v>
      </c>
      <c r="H84" s="884"/>
      <c r="J84" s="551"/>
    </row>
    <row r="85" spans="1:10">
      <c r="A85" s="849">
        <v>5.14</v>
      </c>
      <c r="B85" s="860" t="s">
        <v>38</v>
      </c>
      <c r="C85" s="851" t="s">
        <v>1</v>
      </c>
      <c r="D85" s="884">
        <f>'5,14'!H48</f>
        <v>47927</v>
      </c>
      <c r="E85" s="884">
        <v>45681</v>
      </c>
      <c r="F85" s="884">
        <f t="shared" si="4"/>
        <v>38341.599999999999</v>
      </c>
      <c r="G85" s="884">
        <f t="shared" si="5"/>
        <v>36544.800000000003</v>
      </c>
      <c r="H85" s="884"/>
      <c r="J85" s="551"/>
    </row>
    <row r="86" spans="1:10" ht="17.25">
      <c r="A86" s="849">
        <v>5.15</v>
      </c>
      <c r="B86" s="860" t="s">
        <v>1639</v>
      </c>
      <c r="C86" s="851" t="s">
        <v>1492</v>
      </c>
      <c r="D86" s="884">
        <f>'5,15'!H48</f>
        <v>516038</v>
      </c>
      <c r="E86" s="884"/>
      <c r="F86" s="884">
        <f t="shared" si="4"/>
        <v>412830.4</v>
      </c>
      <c r="G86" s="884">
        <f t="shared" si="5"/>
        <v>0</v>
      </c>
      <c r="H86" s="884"/>
      <c r="J86" s="551"/>
    </row>
    <row r="87" spans="1:10" ht="17.25">
      <c r="A87" s="849">
        <v>5.16</v>
      </c>
      <c r="B87" s="860" t="s">
        <v>479</v>
      </c>
      <c r="C87" s="851" t="s">
        <v>1492</v>
      </c>
      <c r="D87" s="884">
        <f>'5,16'!H48</f>
        <v>434668</v>
      </c>
      <c r="E87" s="884"/>
      <c r="F87" s="884">
        <f t="shared" si="4"/>
        <v>347734.4</v>
      </c>
      <c r="G87" s="884">
        <f t="shared" si="5"/>
        <v>0</v>
      </c>
      <c r="H87" s="884"/>
      <c r="J87" s="551"/>
    </row>
    <row r="88" spans="1:10">
      <c r="A88" s="852">
        <v>6</v>
      </c>
      <c r="B88" s="862" t="s">
        <v>39</v>
      </c>
      <c r="C88" s="851"/>
      <c r="D88" s="884"/>
      <c r="E88" s="884"/>
      <c r="F88" s="884"/>
      <c r="G88" s="884"/>
      <c r="H88" s="884"/>
    </row>
    <row r="89" spans="1:10" ht="17.25">
      <c r="A89" s="849">
        <v>6.1</v>
      </c>
      <c r="B89" s="865" t="s">
        <v>126</v>
      </c>
      <c r="C89" s="851" t="s">
        <v>1625</v>
      </c>
      <c r="D89" s="884">
        <f>+'6,1'!H48</f>
        <v>125183</v>
      </c>
      <c r="E89" s="884">
        <v>110853</v>
      </c>
      <c r="F89" s="884">
        <f t="shared" si="4"/>
        <v>100146.4</v>
      </c>
      <c r="G89" s="884">
        <f t="shared" si="5"/>
        <v>88682.4</v>
      </c>
      <c r="H89" s="884">
        <f>D89-E89</f>
        <v>14330</v>
      </c>
    </row>
    <row r="90" spans="1:10" ht="17.25">
      <c r="A90" s="849">
        <v>6.2</v>
      </c>
      <c r="B90" s="865" t="s">
        <v>127</v>
      </c>
      <c r="C90" s="851" t="s">
        <v>1625</v>
      </c>
      <c r="D90" s="884">
        <f>+'6,2'!H48</f>
        <v>120471</v>
      </c>
      <c r="E90" s="884">
        <v>93478</v>
      </c>
      <c r="F90" s="884">
        <f t="shared" si="4"/>
        <v>96376.8</v>
      </c>
      <c r="G90" s="884">
        <f t="shared" si="5"/>
        <v>74782.399999999994</v>
      </c>
      <c r="H90" s="884">
        <f>D90-E90</f>
        <v>26993</v>
      </c>
    </row>
    <row r="91" spans="1:10" ht="17.25">
      <c r="A91" s="849">
        <v>6.3</v>
      </c>
      <c r="B91" s="865" t="s">
        <v>1805</v>
      </c>
      <c r="C91" s="851" t="s">
        <v>1627</v>
      </c>
      <c r="D91" s="884">
        <f>+'6,3'!H47</f>
        <v>23563</v>
      </c>
      <c r="E91" s="884">
        <v>21875</v>
      </c>
      <c r="F91" s="884">
        <f t="shared" si="4"/>
        <v>18850.400000000001</v>
      </c>
      <c r="G91" s="884">
        <f t="shared" si="5"/>
        <v>17500</v>
      </c>
      <c r="H91" s="884">
        <f>D91-E91</f>
        <v>1688</v>
      </c>
    </row>
    <row r="92" spans="1:10" ht="17.25">
      <c r="A92" s="849">
        <v>6.4</v>
      </c>
      <c r="B92" s="865" t="s">
        <v>128</v>
      </c>
      <c r="C92" s="851" t="s">
        <v>1626</v>
      </c>
      <c r="D92" s="884">
        <f>+'6,4'!H48</f>
        <v>7529</v>
      </c>
      <c r="E92" s="884">
        <v>5509</v>
      </c>
      <c r="F92" s="884">
        <f t="shared" si="4"/>
        <v>6023.2</v>
      </c>
      <c r="G92" s="884">
        <f t="shared" si="5"/>
        <v>4407.2</v>
      </c>
      <c r="H92" s="884">
        <f>D92-E92</f>
        <v>2020</v>
      </c>
    </row>
    <row r="93" spans="1:10" ht="17.25">
      <c r="A93" s="849">
        <v>6.5</v>
      </c>
      <c r="B93" s="865" t="s">
        <v>129</v>
      </c>
      <c r="C93" s="851" t="s">
        <v>1492</v>
      </c>
      <c r="D93" s="884">
        <f>+'6,5'!H48</f>
        <v>640325</v>
      </c>
      <c r="E93" s="884">
        <v>485875</v>
      </c>
      <c r="F93" s="884">
        <f t="shared" si="4"/>
        <v>512260</v>
      </c>
      <c r="G93" s="884">
        <f t="shared" si="5"/>
        <v>388700</v>
      </c>
      <c r="H93" s="884">
        <f t="shared" ref="H93:H98" si="6">D93-E93</f>
        <v>154450</v>
      </c>
    </row>
    <row r="94" spans="1:10" ht="17.25">
      <c r="A94" s="849">
        <v>6.6</v>
      </c>
      <c r="B94" s="865" t="s">
        <v>130</v>
      </c>
      <c r="C94" s="851" t="s">
        <v>1625</v>
      </c>
      <c r="D94" s="884">
        <f>+'6,6'!H48</f>
        <v>137689</v>
      </c>
      <c r="E94" s="884">
        <v>48757</v>
      </c>
      <c r="F94" s="884">
        <f t="shared" si="4"/>
        <v>110151.2</v>
      </c>
      <c r="G94" s="884">
        <f t="shared" si="5"/>
        <v>39005.599999999999</v>
      </c>
      <c r="H94" s="884">
        <f t="shared" si="6"/>
        <v>88932</v>
      </c>
    </row>
    <row r="95" spans="1:10" ht="17.25">
      <c r="A95" s="849">
        <v>6.7</v>
      </c>
      <c r="B95" s="865" t="s">
        <v>131</v>
      </c>
      <c r="C95" s="851" t="s">
        <v>1626</v>
      </c>
      <c r="D95" s="884">
        <f>+'6,7'!H48</f>
        <v>120283</v>
      </c>
      <c r="E95" s="884">
        <v>95996</v>
      </c>
      <c r="F95" s="884">
        <f t="shared" si="4"/>
        <v>96226.4</v>
      </c>
      <c r="G95" s="884">
        <f t="shared" si="5"/>
        <v>76796.800000000003</v>
      </c>
      <c r="H95" s="884">
        <f t="shared" si="6"/>
        <v>24287</v>
      </c>
    </row>
    <row r="96" spans="1:10" ht="17.25">
      <c r="A96" s="849">
        <v>6.8</v>
      </c>
      <c r="B96" s="865" t="s">
        <v>132</v>
      </c>
      <c r="C96" s="851" t="s">
        <v>1626</v>
      </c>
      <c r="D96" s="884">
        <f>+'6,8'!H48</f>
        <v>128931</v>
      </c>
      <c r="E96" s="884">
        <v>112762</v>
      </c>
      <c r="F96" s="884">
        <f t="shared" si="4"/>
        <v>103144.8</v>
      </c>
      <c r="G96" s="884">
        <f t="shared" si="5"/>
        <v>90209.600000000006</v>
      </c>
      <c r="H96" s="884">
        <f t="shared" si="6"/>
        <v>16169</v>
      </c>
    </row>
    <row r="97" spans="1:10" ht="28.5" customHeight="1">
      <c r="A97" s="851">
        <v>6.9</v>
      </c>
      <c r="B97" s="866" t="s">
        <v>223</v>
      </c>
      <c r="C97" s="851" t="s">
        <v>1626</v>
      </c>
      <c r="D97" s="885">
        <f>+'6,9'!H48</f>
        <v>132175</v>
      </c>
      <c r="E97" s="884">
        <v>96750</v>
      </c>
      <c r="F97" s="884">
        <f t="shared" si="4"/>
        <v>105740</v>
      </c>
      <c r="G97" s="884">
        <f t="shared" si="5"/>
        <v>77400</v>
      </c>
      <c r="H97" s="884">
        <f t="shared" si="6"/>
        <v>35425</v>
      </c>
    </row>
    <row r="98" spans="1:10" ht="30">
      <c r="A98" s="854">
        <v>6.1</v>
      </c>
      <c r="B98" s="866" t="s">
        <v>224</v>
      </c>
      <c r="C98" s="851" t="s">
        <v>1626</v>
      </c>
      <c r="D98" s="885">
        <f>+'6,10'!H48</f>
        <v>155421</v>
      </c>
      <c r="E98" s="884">
        <v>152991</v>
      </c>
      <c r="F98" s="884">
        <f t="shared" si="4"/>
        <v>124336.8</v>
      </c>
      <c r="G98" s="884">
        <f t="shared" si="5"/>
        <v>122392.8</v>
      </c>
      <c r="H98" s="884">
        <f t="shared" si="6"/>
        <v>2430</v>
      </c>
    </row>
    <row r="99" spans="1:10" ht="30">
      <c r="A99" s="851">
        <v>6.12</v>
      </c>
      <c r="B99" s="866" t="s">
        <v>1891</v>
      </c>
      <c r="C99" s="851" t="s">
        <v>1628</v>
      </c>
      <c r="D99" s="885">
        <f>+'6,12'!H47</f>
        <v>888851</v>
      </c>
      <c r="E99" s="884">
        <v>688835</v>
      </c>
      <c r="F99" s="884">
        <f t="shared" si="4"/>
        <v>711080.8</v>
      </c>
      <c r="G99" s="884">
        <f t="shared" si="5"/>
        <v>551068</v>
      </c>
      <c r="H99" s="884">
        <f>D99-E99</f>
        <v>200016</v>
      </c>
      <c r="I99" s="458">
        <f>0.1*1*1</f>
        <v>0.1</v>
      </c>
      <c r="J99" s="551"/>
    </row>
    <row r="100" spans="1:10" ht="17.25">
      <c r="A100" s="849">
        <v>6.13</v>
      </c>
      <c r="B100" s="865" t="s">
        <v>40</v>
      </c>
      <c r="C100" s="851" t="s">
        <v>1626</v>
      </c>
      <c r="D100" s="884">
        <f>+'6,13'!H47</f>
        <v>33146</v>
      </c>
      <c r="E100" s="884">
        <v>27026</v>
      </c>
      <c r="F100" s="884">
        <f t="shared" si="4"/>
        <v>26516.799999999999</v>
      </c>
      <c r="G100" s="884">
        <f t="shared" si="5"/>
        <v>21620.799999999999</v>
      </c>
      <c r="H100" s="884">
        <f t="shared" ref="H100:H110" si="7">D100-E100</f>
        <v>6120</v>
      </c>
    </row>
    <row r="101" spans="1:10" ht="17.25">
      <c r="A101" s="849">
        <v>6.14</v>
      </c>
      <c r="B101" s="865" t="s">
        <v>41</v>
      </c>
      <c r="C101" s="851" t="s">
        <v>1626</v>
      </c>
      <c r="D101" s="884">
        <f>+'6,14'!H47</f>
        <v>20466</v>
      </c>
      <c r="E101" s="884">
        <v>19407</v>
      </c>
      <c r="F101" s="884">
        <f t="shared" si="4"/>
        <v>16372.8</v>
      </c>
      <c r="G101" s="884">
        <f t="shared" si="5"/>
        <v>15525.6</v>
      </c>
      <c r="H101" s="884">
        <f t="shared" si="7"/>
        <v>1059</v>
      </c>
      <c r="I101" s="458">
        <f>3*2.54</f>
        <v>7.62</v>
      </c>
    </row>
    <row r="102" spans="1:10" ht="17.25">
      <c r="A102" s="849">
        <v>6.15</v>
      </c>
      <c r="B102" s="865" t="s">
        <v>42</v>
      </c>
      <c r="C102" s="851" t="s">
        <v>1626</v>
      </c>
      <c r="D102" s="884">
        <f>+'6,15'!H47</f>
        <v>18723</v>
      </c>
      <c r="E102" s="884">
        <v>18782</v>
      </c>
      <c r="F102" s="884">
        <f t="shared" si="4"/>
        <v>14978.4</v>
      </c>
      <c r="G102" s="884">
        <f t="shared" si="5"/>
        <v>15025.6</v>
      </c>
      <c r="H102" s="884">
        <f t="shared" si="7"/>
        <v>-59</v>
      </c>
    </row>
    <row r="103" spans="1:10" ht="17.25">
      <c r="A103" s="851">
        <v>6.16</v>
      </c>
      <c r="B103" s="877" t="s">
        <v>1836</v>
      </c>
      <c r="C103" s="851" t="s">
        <v>1492</v>
      </c>
      <c r="D103" s="885">
        <f>+'6,16'!H48</f>
        <v>76042</v>
      </c>
      <c r="E103" s="885">
        <v>79838</v>
      </c>
      <c r="F103" s="884">
        <f t="shared" si="4"/>
        <v>60833.599999999999</v>
      </c>
      <c r="G103" s="884">
        <f t="shared" si="5"/>
        <v>63870.400000000001</v>
      </c>
      <c r="H103" s="884">
        <f t="shared" si="7"/>
        <v>-3796</v>
      </c>
    </row>
    <row r="104" spans="1:10" ht="17.25">
      <c r="A104" s="851">
        <v>6.17</v>
      </c>
      <c r="B104" s="877" t="s">
        <v>1837</v>
      </c>
      <c r="C104" s="851" t="s">
        <v>1492</v>
      </c>
      <c r="D104" s="885">
        <f>+'6,17'!H48</f>
        <v>96352</v>
      </c>
      <c r="E104" s="885">
        <v>95678</v>
      </c>
      <c r="F104" s="884">
        <f t="shared" si="4"/>
        <v>77081.600000000006</v>
      </c>
      <c r="G104" s="884">
        <f t="shared" si="5"/>
        <v>76542.399999999994</v>
      </c>
      <c r="H104" s="884">
        <f t="shared" si="7"/>
        <v>674</v>
      </c>
    </row>
    <row r="105" spans="1:10" ht="17.25">
      <c r="A105" s="849">
        <v>6.18</v>
      </c>
      <c r="B105" s="877" t="s">
        <v>225</v>
      </c>
      <c r="C105" s="851" t="s">
        <v>1492</v>
      </c>
      <c r="D105" s="884">
        <f>+'6,18'!H48</f>
        <v>18404</v>
      </c>
      <c r="E105" s="884">
        <v>16505</v>
      </c>
      <c r="F105" s="884">
        <f t="shared" si="4"/>
        <v>14723.2</v>
      </c>
      <c r="G105" s="884">
        <f t="shared" si="5"/>
        <v>13204</v>
      </c>
      <c r="H105" s="884">
        <f t="shared" si="7"/>
        <v>1899</v>
      </c>
    </row>
    <row r="106" spans="1:10" ht="17.25">
      <c r="A106" s="849">
        <v>6.19</v>
      </c>
      <c r="B106" s="877" t="s">
        <v>226</v>
      </c>
      <c r="C106" s="851" t="s">
        <v>1626</v>
      </c>
      <c r="D106" s="884">
        <f>+'6,19'!H48</f>
        <v>4788</v>
      </c>
      <c r="E106" s="884">
        <v>3482</v>
      </c>
      <c r="F106" s="884">
        <f t="shared" si="4"/>
        <v>3830.4</v>
      </c>
      <c r="G106" s="884">
        <f t="shared" si="5"/>
        <v>2785.6</v>
      </c>
      <c r="H106" s="884">
        <f t="shared" si="7"/>
        <v>1306</v>
      </c>
    </row>
    <row r="107" spans="1:10">
      <c r="A107" s="850">
        <v>6.2</v>
      </c>
      <c r="B107" s="870" t="s">
        <v>65</v>
      </c>
      <c r="C107" s="851" t="s">
        <v>1</v>
      </c>
      <c r="D107" s="884">
        <f>+'6,20'!H48</f>
        <v>15119</v>
      </c>
      <c r="E107" s="884">
        <v>14319</v>
      </c>
      <c r="F107" s="884">
        <f t="shared" si="4"/>
        <v>12095.2</v>
      </c>
      <c r="G107" s="884">
        <f t="shared" si="5"/>
        <v>11455.2</v>
      </c>
      <c r="H107" s="884">
        <f t="shared" si="7"/>
        <v>800</v>
      </c>
    </row>
    <row r="108" spans="1:10">
      <c r="A108" s="849">
        <v>6.21</v>
      </c>
      <c r="B108" s="873" t="s">
        <v>67</v>
      </c>
      <c r="C108" s="851" t="s">
        <v>1</v>
      </c>
      <c r="D108" s="884">
        <f>+'6,21'!H48</f>
        <v>17929</v>
      </c>
      <c r="E108" s="884">
        <v>17129</v>
      </c>
      <c r="F108" s="884">
        <f t="shared" si="4"/>
        <v>14343.2</v>
      </c>
      <c r="G108" s="884">
        <f t="shared" si="5"/>
        <v>13703.2</v>
      </c>
      <c r="H108" s="884">
        <f t="shared" si="7"/>
        <v>800</v>
      </c>
    </row>
    <row r="109" spans="1:10" ht="17.25">
      <c r="A109" s="849">
        <v>6.22</v>
      </c>
      <c r="B109" s="877" t="s">
        <v>227</v>
      </c>
      <c r="C109" s="851" t="s">
        <v>1492</v>
      </c>
      <c r="D109" s="884">
        <f>+'6,22'!H48</f>
        <v>89032</v>
      </c>
      <c r="E109" s="884">
        <v>92968</v>
      </c>
      <c r="F109" s="884">
        <f t="shared" si="4"/>
        <v>71225.600000000006</v>
      </c>
      <c r="G109" s="884">
        <f t="shared" si="5"/>
        <v>74374.399999999994</v>
      </c>
      <c r="H109" s="884">
        <f t="shared" si="7"/>
        <v>-3936</v>
      </c>
      <c r="I109" s="552"/>
      <c r="J109" s="553"/>
    </row>
    <row r="110" spans="1:10" ht="17.25">
      <c r="A110" s="849">
        <v>6.23</v>
      </c>
      <c r="B110" s="877" t="s">
        <v>228</v>
      </c>
      <c r="C110" s="851" t="s">
        <v>1492</v>
      </c>
      <c r="D110" s="884">
        <f>+'6,23'!H48</f>
        <v>123328</v>
      </c>
      <c r="E110" s="884">
        <v>116583</v>
      </c>
      <c r="F110" s="884">
        <f t="shared" si="4"/>
        <v>98662.399999999994</v>
      </c>
      <c r="G110" s="884">
        <f t="shared" si="5"/>
        <v>93266.4</v>
      </c>
      <c r="H110" s="884">
        <f t="shared" si="7"/>
        <v>6745</v>
      </c>
      <c r="I110" s="552"/>
      <c r="J110" s="553"/>
    </row>
    <row r="111" spans="1:10">
      <c r="A111" s="852">
        <v>7</v>
      </c>
      <c r="B111" s="862" t="s">
        <v>43</v>
      </c>
      <c r="C111" s="851"/>
      <c r="D111" s="884"/>
      <c r="E111" s="884"/>
      <c r="F111" s="884"/>
      <c r="G111" s="884"/>
      <c r="H111" s="884"/>
    </row>
    <row r="112" spans="1:10" ht="17.25">
      <c r="A112" s="849">
        <v>7.1</v>
      </c>
      <c r="B112" s="860" t="s">
        <v>133</v>
      </c>
      <c r="C112" s="851" t="s">
        <v>1626</v>
      </c>
      <c r="D112" s="884">
        <f>+'7,1'!H47</f>
        <v>71558</v>
      </c>
      <c r="E112" s="884">
        <v>87452</v>
      </c>
      <c r="F112" s="884">
        <f t="shared" si="4"/>
        <v>57246.400000000001</v>
      </c>
      <c r="G112" s="884">
        <f t="shared" si="5"/>
        <v>69961.600000000006</v>
      </c>
      <c r="H112" s="1105">
        <f>D112-E112</f>
        <v>-15894</v>
      </c>
    </row>
    <row r="113" spans="1:8">
      <c r="A113" s="849">
        <v>7.2</v>
      </c>
      <c r="B113" s="860" t="s">
        <v>1658</v>
      </c>
      <c r="C113" s="851" t="s">
        <v>44</v>
      </c>
      <c r="D113" s="884">
        <f>+'7,2'!H48</f>
        <v>4925</v>
      </c>
      <c r="E113" s="884">
        <v>8330</v>
      </c>
      <c r="F113" s="884">
        <f t="shared" si="4"/>
        <v>3940</v>
      </c>
      <c r="G113" s="884">
        <f t="shared" si="5"/>
        <v>6664</v>
      </c>
      <c r="H113" s="1105">
        <f>D113-E113</f>
        <v>-3405</v>
      </c>
    </row>
    <row r="114" spans="1:8">
      <c r="A114" s="849">
        <v>7.3</v>
      </c>
      <c r="B114" s="860" t="s">
        <v>1659</v>
      </c>
      <c r="C114" s="851" t="s">
        <v>44</v>
      </c>
      <c r="D114" s="884">
        <f>+'7,3'!H48</f>
        <v>4985</v>
      </c>
      <c r="E114" s="884">
        <v>6148</v>
      </c>
      <c r="F114" s="884">
        <f t="shared" si="4"/>
        <v>3988</v>
      </c>
      <c r="G114" s="884">
        <f t="shared" si="5"/>
        <v>4918.3999999999996</v>
      </c>
      <c r="H114" s="1105">
        <f>D114-E114</f>
        <v>-1163</v>
      </c>
    </row>
    <row r="115" spans="1:8">
      <c r="A115" s="853"/>
      <c r="B115" s="862" t="s">
        <v>45</v>
      </c>
      <c r="C115" s="851"/>
      <c r="D115" s="884"/>
      <c r="E115" s="884"/>
      <c r="F115" s="884"/>
      <c r="G115" s="884"/>
      <c r="H115" s="884"/>
    </row>
    <row r="116" spans="1:8" ht="30">
      <c r="A116" s="856">
        <v>8</v>
      </c>
      <c r="B116" s="867" t="s">
        <v>1766</v>
      </c>
      <c r="C116" s="851"/>
      <c r="D116" s="884"/>
      <c r="E116" s="884"/>
      <c r="F116" s="884"/>
      <c r="G116" s="884"/>
      <c r="H116" s="884"/>
    </row>
    <row r="117" spans="1:8">
      <c r="A117" s="853">
        <v>8.1</v>
      </c>
      <c r="B117" s="862" t="s">
        <v>46</v>
      </c>
      <c r="C117" s="851"/>
      <c r="D117" s="884"/>
      <c r="E117" s="884"/>
      <c r="F117" s="884"/>
      <c r="G117" s="884"/>
      <c r="H117" s="884"/>
    </row>
    <row r="118" spans="1:8">
      <c r="A118" s="849" t="s">
        <v>259</v>
      </c>
      <c r="B118" s="860" t="s">
        <v>134</v>
      </c>
      <c r="C118" s="851" t="s">
        <v>1</v>
      </c>
      <c r="D118" s="884">
        <f>+'8,1,1'!H48</f>
        <v>65456</v>
      </c>
      <c r="E118" s="990">
        <v>59166</v>
      </c>
      <c r="F118" s="884">
        <f t="shared" si="4"/>
        <v>52364.800000000003</v>
      </c>
      <c r="G118" s="884">
        <f t="shared" si="5"/>
        <v>47332.800000000003</v>
      </c>
      <c r="H118" s="884">
        <f>D118-E118</f>
        <v>6290</v>
      </c>
    </row>
    <row r="119" spans="1:8">
      <c r="A119" s="849" t="s">
        <v>260</v>
      </c>
      <c r="B119" s="860" t="s">
        <v>135</v>
      </c>
      <c r="C119" s="851" t="s">
        <v>1</v>
      </c>
      <c r="D119" s="884">
        <f>+'8,1,2'!H48</f>
        <v>91319</v>
      </c>
      <c r="E119" s="990">
        <v>72038</v>
      </c>
      <c r="F119" s="884">
        <f t="shared" si="4"/>
        <v>73055.199999999997</v>
      </c>
      <c r="G119" s="884">
        <f t="shared" si="5"/>
        <v>57630.400000000001</v>
      </c>
      <c r="H119" s="884">
        <f t="shared" ref="H119:H126" si="8">D119-E119</f>
        <v>19281</v>
      </c>
    </row>
    <row r="120" spans="1:8">
      <c r="A120" s="849" t="s">
        <v>261</v>
      </c>
      <c r="B120" s="860" t="s">
        <v>136</v>
      </c>
      <c r="C120" s="851" t="s">
        <v>1</v>
      </c>
      <c r="D120" s="884">
        <f>+'8,1,3'!H48</f>
        <v>117393</v>
      </c>
      <c r="E120" s="990">
        <v>92086</v>
      </c>
      <c r="F120" s="884">
        <f t="shared" si="4"/>
        <v>93914.4</v>
      </c>
      <c r="G120" s="884">
        <f t="shared" si="5"/>
        <v>73668.800000000003</v>
      </c>
      <c r="H120" s="884">
        <f t="shared" si="8"/>
        <v>25307</v>
      </c>
    </row>
    <row r="121" spans="1:8">
      <c r="A121" s="849" t="s">
        <v>262</v>
      </c>
      <c r="B121" s="860" t="s">
        <v>137</v>
      </c>
      <c r="C121" s="851" t="s">
        <v>1</v>
      </c>
      <c r="D121" s="884">
        <f>+'8,1,4'!H48</f>
        <v>146439</v>
      </c>
      <c r="E121" s="990">
        <v>121957</v>
      </c>
      <c r="F121" s="884">
        <f t="shared" si="4"/>
        <v>117151.2</v>
      </c>
      <c r="G121" s="884">
        <f t="shared" si="5"/>
        <v>97565.6</v>
      </c>
      <c r="H121" s="884">
        <f t="shared" si="8"/>
        <v>24482</v>
      </c>
    </row>
    <row r="122" spans="1:8">
      <c r="A122" s="849" t="s">
        <v>263</v>
      </c>
      <c r="B122" s="860" t="s">
        <v>138</v>
      </c>
      <c r="C122" s="851" t="s">
        <v>1</v>
      </c>
      <c r="D122" s="884">
        <f>+'8,1,5'!H48</f>
        <v>179095</v>
      </c>
      <c r="E122" s="990">
        <v>140551</v>
      </c>
      <c r="F122" s="884">
        <f t="shared" si="4"/>
        <v>143276</v>
      </c>
      <c r="G122" s="884">
        <f t="shared" si="5"/>
        <v>112440.8</v>
      </c>
      <c r="H122" s="884">
        <f t="shared" si="8"/>
        <v>38544</v>
      </c>
    </row>
    <row r="123" spans="1:8">
      <c r="A123" s="849" t="s">
        <v>264</v>
      </c>
      <c r="B123" s="860" t="s">
        <v>139</v>
      </c>
      <c r="C123" s="851" t="s">
        <v>1</v>
      </c>
      <c r="D123" s="884">
        <f>+'8,1,6'!H48</f>
        <v>225237</v>
      </c>
      <c r="E123" s="990">
        <v>182431</v>
      </c>
      <c r="F123" s="884">
        <f t="shared" si="4"/>
        <v>180189.6</v>
      </c>
      <c r="G123" s="884">
        <f t="shared" si="5"/>
        <v>145944.79999999999</v>
      </c>
      <c r="H123" s="884">
        <f t="shared" si="8"/>
        <v>42806</v>
      </c>
    </row>
    <row r="124" spans="1:8">
      <c r="A124" s="849" t="s">
        <v>265</v>
      </c>
      <c r="B124" s="860" t="s">
        <v>140</v>
      </c>
      <c r="C124" s="851" t="s">
        <v>1</v>
      </c>
      <c r="D124" s="884">
        <f>+'8,1,7'!H48</f>
        <v>285762</v>
      </c>
      <c r="E124" s="990">
        <v>221058</v>
      </c>
      <c r="F124" s="884">
        <f t="shared" si="4"/>
        <v>228609.6</v>
      </c>
      <c r="G124" s="884">
        <f t="shared" si="5"/>
        <v>176846.4</v>
      </c>
      <c r="H124" s="884">
        <f t="shared" si="8"/>
        <v>64704</v>
      </c>
    </row>
    <row r="125" spans="1:8">
      <c r="A125" s="849" t="s">
        <v>266</v>
      </c>
      <c r="B125" s="860" t="s">
        <v>141</v>
      </c>
      <c r="C125" s="851" t="s">
        <v>1</v>
      </c>
      <c r="D125" s="884">
        <f>+'8,1,8'!H48</f>
        <v>335440</v>
      </c>
      <c r="E125" s="990">
        <v>288978</v>
      </c>
      <c r="F125" s="884">
        <f t="shared" si="4"/>
        <v>268352</v>
      </c>
      <c r="G125" s="884">
        <f t="shared" si="5"/>
        <v>231182.4</v>
      </c>
      <c r="H125" s="884">
        <f t="shared" si="8"/>
        <v>46462</v>
      </c>
    </row>
    <row r="126" spans="1:8">
      <c r="A126" s="849" t="s">
        <v>267</v>
      </c>
      <c r="B126" s="860" t="s">
        <v>142</v>
      </c>
      <c r="C126" s="851" t="s">
        <v>1</v>
      </c>
      <c r="D126" s="884">
        <f>+'8,1,9'!H48</f>
        <v>470390</v>
      </c>
      <c r="E126" s="990">
        <v>381423</v>
      </c>
      <c r="F126" s="884">
        <f t="shared" si="4"/>
        <v>376312</v>
      </c>
      <c r="G126" s="884">
        <f t="shared" si="5"/>
        <v>305138.40000000002</v>
      </c>
      <c r="H126" s="884">
        <f t="shared" si="8"/>
        <v>88967</v>
      </c>
    </row>
    <row r="127" spans="1:8">
      <c r="A127" s="853">
        <v>8.1999999999999993</v>
      </c>
      <c r="B127" s="862" t="s">
        <v>47</v>
      </c>
      <c r="C127" s="851"/>
      <c r="D127" s="884"/>
      <c r="E127" s="884"/>
      <c r="F127" s="884"/>
      <c r="G127" s="884"/>
      <c r="H127" s="884"/>
    </row>
    <row r="128" spans="1:8">
      <c r="A128" s="849" t="s">
        <v>268</v>
      </c>
      <c r="B128" s="860" t="s">
        <v>134</v>
      </c>
      <c r="C128" s="851" t="s">
        <v>1</v>
      </c>
      <c r="D128" s="884">
        <f>+'8,2,1'!H48</f>
        <v>69841</v>
      </c>
      <c r="E128" s="990">
        <v>61886</v>
      </c>
      <c r="F128" s="884">
        <f t="shared" si="4"/>
        <v>55872.800000000003</v>
      </c>
      <c r="G128" s="884">
        <f t="shared" si="5"/>
        <v>49508.800000000003</v>
      </c>
      <c r="H128" s="884">
        <f t="shared" ref="H128:H136" si="9">D128-E128</f>
        <v>7955</v>
      </c>
    </row>
    <row r="129" spans="1:8">
      <c r="A129" s="849" t="s">
        <v>269</v>
      </c>
      <c r="B129" s="860" t="s">
        <v>135</v>
      </c>
      <c r="C129" s="851" t="s">
        <v>1</v>
      </c>
      <c r="D129" s="884">
        <f>+'8,2,2'!H48</f>
        <v>95114</v>
      </c>
      <c r="E129" s="990">
        <v>75153</v>
      </c>
      <c r="F129" s="884">
        <f t="shared" si="4"/>
        <v>76091.199999999997</v>
      </c>
      <c r="G129" s="884">
        <f t="shared" si="5"/>
        <v>60122.400000000001</v>
      </c>
      <c r="H129" s="884">
        <f t="shared" si="9"/>
        <v>19961</v>
      </c>
    </row>
    <row r="130" spans="1:8">
      <c r="A130" s="849" t="s">
        <v>270</v>
      </c>
      <c r="B130" s="860" t="s">
        <v>136</v>
      </c>
      <c r="C130" s="851" t="s">
        <v>1</v>
      </c>
      <c r="D130" s="884">
        <f>+'8,2,3'!H48</f>
        <v>121568</v>
      </c>
      <c r="E130" s="990">
        <v>96092</v>
      </c>
      <c r="F130" s="884">
        <f t="shared" si="4"/>
        <v>97254.399999999994</v>
      </c>
      <c r="G130" s="884">
        <f t="shared" si="5"/>
        <v>76873.600000000006</v>
      </c>
      <c r="H130" s="884">
        <f t="shared" si="9"/>
        <v>25476</v>
      </c>
    </row>
    <row r="131" spans="1:8">
      <c r="A131" s="849" t="s">
        <v>271</v>
      </c>
      <c r="B131" s="860" t="s">
        <v>137</v>
      </c>
      <c r="C131" s="851" t="s">
        <v>1</v>
      </c>
      <c r="D131" s="884">
        <f>+'8,2,4'!H48</f>
        <v>151882</v>
      </c>
      <c r="E131" s="990">
        <v>126533</v>
      </c>
      <c r="F131" s="884">
        <f t="shared" si="4"/>
        <v>121505.60000000001</v>
      </c>
      <c r="G131" s="884">
        <f t="shared" si="5"/>
        <v>101226.4</v>
      </c>
      <c r="H131" s="884">
        <f t="shared" si="9"/>
        <v>25349</v>
      </c>
    </row>
    <row r="132" spans="1:8">
      <c r="A132" s="849" t="s">
        <v>272</v>
      </c>
      <c r="B132" s="860" t="s">
        <v>138</v>
      </c>
      <c r="C132" s="851" t="s">
        <v>1</v>
      </c>
      <c r="D132" s="884">
        <f>+'8,2,5'!H48</f>
        <v>185988</v>
      </c>
      <c r="E132" s="990">
        <v>145649</v>
      </c>
      <c r="F132" s="884">
        <f t="shared" si="4"/>
        <v>148790.39999999999</v>
      </c>
      <c r="G132" s="884">
        <f t="shared" si="5"/>
        <v>116519.2</v>
      </c>
      <c r="H132" s="884">
        <f t="shared" si="9"/>
        <v>40339</v>
      </c>
    </row>
    <row r="133" spans="1:8">
      <c r="A133" s="849" t="s">
        <v>273</v>
      </c>
      <c r="B133" s="860" t="s">
        <v>139</v>
      </c>
      <c r="C133" s="851" t="s">
        <v>1</v>
      </c>
      <c r="D133" s="884">
        <f>+'8,2,6'!H48</f>
        <v>228452</v>
      </c>
      <c r="E133" s="990">
        <v>188039</v>
      </c>
      <c r="F133" s="884">
        <f t="shared" si="4"/>
        <v>182761.60000000001</v>
      </c>
      <c r="G133" s="884">
        <f t="shared" si="5"/>
        <v>150431.20000000001</v>
      </c>
      <c r="H133" s="884">
        <f t="shared" si="9"/>
        <v>40413</v>
      </c>
    </row>
    <row r="134" spans="1:8">
      <c r="A134" s="849" t="s">
        <v>274</v>
      </c>
      <c r="B134" s="860" t="s">
        <v>140</v>
      </c>
      <c r="C134" s="851" t="s">
        <v>1</v>
      </c>
      <c r="D134" s="884">
        <f>+'8,2,7'!H48</f>
        <v>287322</v>
      </c>
      <c r="E134" s="990">
        <v>226649</v>
      </c>
      <c r="F134" s="884">
        <f t="shared" si="4"/>
        <v>229857.6</v>
      </c>
      <c r="G134" s="884">
        <f t="shared" si="5"/>
        <v>181319.2</v>
      </c>
      <c r="H134" s="884">
        <f t="shared" si="9"/>
        <v>60673</v>
      </c>
    </row>
    <row r="135" spans="1:8">
      <c r="A135" s="849" t="s">
        <v>275</v>
      </c>
      <c r="B135" s="860" t="s">
        <v>141</v>
      </c>
      <c r="C135" s="851" t="s">
        <v>1</v>
      </c>
      <c r="D135" s="884">
        <f>+'8,2,8'!H48</f>
        <v>336632</v>
      </c>
      <c r="E135" s="990">
        <v>294897</v>
      </c>
      <c r="F135" s="884">
        <f t="shared" si="4"/>
        <v>269305.59999999998</v>
      </c>
      <c r="G135" s="884">
        <f t="shared" si="5"/>
        <v>235917.6</v>
      </c>
      <c r="H135" s="884">
        <f t="shared" si="9"/>
        <v>41735</v>
      </c>
    </row>
    <row r="136" spans="1:8">
      <c r="A136" s="849" t="s">
        <v>276</v>
      </c>
      <c r="B136" s="860" t="s">
        <v>142</v>
      </c>
      <c r="C136" s="851" t="s">
        <v>1</v>
      </c>
      <c r="D136" s="884">
        <f>+'8,2,9'!H48</f>
        <v>462483</v>
      </c>
      <c r="E136" s="990">
        <v>388004</v>
      </c>
      <c r="F136" s="884">
        <f t="shared" si="4"/>
        <v>369986.4</v>
      </c>
      <c r="G136" s="884">
        <f t="shared" si="5"/>
        <v>310403.20000000001</v>
      </c>
      <c r="H136" s="884">
        <f t="shared" si="9"/>
        <v>74479</v>
      </c>
    </row>
    <row r="137" spans="1:8">
      <c r="A137" s="856">
        <v>9</v>
      </c>
      <c r="B137" s="867" t="s">
        <v>1476</v>
      </c>
      <c r="C137" s="851"/>
      <c r="D137" s="884"/>
      <c r="E137" s="884"/>
      <c r="F137" s="884"/>
      <c r="G137" s="884"/>
      <c r="H137" s="884"/>
    </row>
    <row r="138" spans="1:8">
      <c r="A138" s="849">
        <v>9.1</v>
      </c>
      <c r="B138" s="862" t="s">
        <v>46</v>
      </c>
      <c r="C138" s="851"/>
      <c r="D138" s="884"/>
      <c r="E138" s="884"/>
      <c r="F138" s="884"/>
      <c r="G138" s="884"/>
      <c r="H138" s="884"/>
    </row>
    <row r="139" spans="1:8">
      <c r="A139" s="849" t="s">
        <v>277</v>
      </c>
      <c r="B139" s="860" t="s">
        <v>134</v>
      </c>
      <c r="C139" s="851" t="s">
        <v>1</v>
      </c>
      <c r="D139" s="884">
        <f>+'9,1,1'!H48</f>
        <v>29605</v>
      </c>
      <c r="E139" s="990">
        <v>29073</v>
      </c>
      <c r="F139" s="884">
        <f t="shared" si="4"/>
        <v>23684</v>
      </c>
      <c r="G139" s="884">
        <f t="shared" si="5"/>
        <v>23258.400000000001</v>
      </c>
      <c r="H139" s="884">
        <f t="shared" ref="H139:H147" si="10">D139-E139</f>
        <v>532</v>
      </c>
    </row>
    <row r="140" spans="1:8">
      <c r="A140" s="849" t="s">
        <v>278</v>
      </c>
      <c r="B140" s="860" t="s">
        <v>135</v>
      </c>
      <c r="C140" s="851" t="s">
        <v>1</v>
      </c>
      <c r="D140" s="884">
        <f>+'9,1,2'!H48</f>
        <v>34160</v>
      </c>
      <c r="E140" s="990">
        <v>33028</v>
      </c>
      <c r="F140" s="884">
        <f t="shared" si="4"/>
        <v>27328</v>
      </c>
      <c r="G140" s="884">
        <f t="shared" ref="G140:G203" si="11">+E140/1.25</f>
        <v>26422.400000000001</v>
      </c>
      <c r="H140" s="884">
        <f t="shared" si="10"/>
        <v>1132</v>
      </c>
    </row>
    <row r="141" spans="1:8">
      <c r="A141" s="849" t="s">
        <v>279</v>
      </c>
      <c r="B141" s="860" t="s">
        <v>136</v>
      </c>
      <c r="C141" s="851" t="s">
        <v>1</v>
      </c>
      <c r="D141" s="884">
        <f>+'9,1,3'!H48</f>
        <v>43269</v>
      </c>
      <c r="E141" s="990">
        <v>41930</v>
      </c>
      <c r="F141" s="884">
        <f t="shared" ref="F141:F204" si="12">+D141/1.25</f>
        <v>34615.199999999997</v>
      </c>
      <c r="G141" s="884">
        <f t="shared" si="11"/>
        <v>33544</v>
      </c>
      <c r="H141" s="884">
        <f t="shared" si="10"/>
        <v>1339</v>
      </c>
    </row>
    <row r="142" spans="1:8">
      <c r="A142" s="849" t="s">
        <v>280</v>
      </c>
      <c r="B142" s="860" t="s">
        <v>137</v>
      </c>
      <c r="C142" s="851" t="s">
        <v>1</v>
      </c>
      <c r="D142" s="884">
        <f>+'9,1,4'!H48</f>
        <v>50101</v>
      </c>
      <c r="E142" s="990">
        <v>49510</v>
      </c>
      <c r="F142" s="884">
        <f t="shared" si="12"/>
        <v>40080.800000000003</v>
      </c>
      <c r="G142" s="884">
        <f t="shared" si="11"/>
        <v>39608</v>
      </c>
      <c r="H142" s="884">
        <f t="shared" si="10"/>
        <v>591</v>
      </c>
    </row>
    <row r="143" spans="1:8">
      <c r="A143" s="849" t="s">
        <v>281</v>
      </c>
      <c r="B143" s="860" t="s">
        <v>138</v>
      </c>
      <c r="C143" s="851" t="s">
        <v>1</v>
      </c>
      <c r="D143" s="884">
        <f>+'9,1,5'!H48</f>
        <v>54656</v>
      </c>
      <c r="E143" s="990">
        <v>54729</v>
      </c>
      <c r="F143" s="884">
        <f t="shared" si="12"/>
        <v>43724.800000000003</v>
      </c>
      <c r="G143" s="884">
        <f t="shared" si="11"/>
        <v>43783.199999999997</v>
      </c>
      <c r="H143" s="884">
        <f t="shared" si="10"/>
        <v>-73</v>
      </c>
    </row>
    <row r="144" spans="1:8">
      <c r="A144" s="849" t="s">
        <v>282</v>
      </c>
      <c r="B144" s="860" t="s">
        <v>139</v>
      </c>
      <c r="C144" s="851" t="s">
        <v>1</v>
      </c>
      <c r="D144" s="884">
        <f>+'9,1,6'!H48</f>
        <v>63765</v>
      </c>
      <c r="E144" s="990">
        <v>59827</v>
      </c>
      <c r="F144" s="884">
        <f t="shared" si="12"/>
        <v>51012</v>
      </c>
      <c r="G144" s="884">
        <f t="shared" si="11"/>
        <v>47861.599999999999</v>
      </c>
      <c r="H144" s="884">
        <f t="shared" si="10"/>
        <v>3938</v>
      </c>
    </row>
    <row r="145" spans="1:8">
      <c r="A145" s="849" t="s">
        <v>283</v>
      </c>
      <c r="B145" s="860" t="s">
        <v>140</v>
      </c>
      <c r="C145" s="851" t="s">
        <v>1</v>
      </c>
      <c r="D145" s="884">
        <f>+'9,1,7'!H48</f>
        <v>68320</v>
      </c>
      <c r="E145" s="990">
        <v>62787</v>
      </c>
      <c r="F145" s="884">
        <f t="shared" si="12"/>
        <v>54656</v>
      </c>
      <c r="G145" s="884">
        <f t="shared" si="11"/>
        <v>50229.599999999999</v>
      </c>
      <c r="H145" s="884">
        <f t="shared" si="10"/>
        <v>5533</v>
      </c>
    </row>
    <row r="146" spans="1:8">
      <c r="A146" s="849" t="s">
        <v>284</v>
      </c>
      <c r="B146" s="860" t="s">
        <v>141</v>
      </c>
      <c r="C146" s="851" t="s">
        <v>1</v>
      </c>
      <c r="D146" s="884">
        <f>+'9,1,8'!H48</f>
        <v>72874</v>
      </c>
      <c r="E146" s="990">
        <v>66062</v>
      </c>
      <c r="F146" s="884">
        <f t="shared" si="12"/>
        <v>58299.199999999997</v>
      </c>
      <c r="G146" s="884">
        <f t="shared" si="11"/>
        <v>52849.599999999999</v>
      </c>
      <c r="H146" s="884">
        <f t="shared" si="10"/>
        <v>6812</v>
      </c>
    </row>
    <row r="147" spans="1:8">
      <c r="A147" s="849" t="s">
        <v>285</v>
      </c>
      <c r="B147" s="860" t="s">
        <v>142</v>
      </c>
      <c r="C147" s="851" t="s">
        <v>1</v>
      </c>
      <c r="D147" s="884">
        <f>+'9,1,9'!H48</f>
        <v>92955</v>
      </c>
      <c r="E147" s="990">
        <v>72683</v>
      </c>
      <c r="F147" s="884">
        <f t="shared" si="12"/>
        <v>74364</v>
      </c>
      <c r="G147" s="884">
        <f t="shared" si="11"/>
        <v>58146.400000000001</v>
      </c>
      <c r="H147" s="884">
        <f t="shared" si="10"/>
        <v>20272</v>
      </c>
    </row>
    <row r="148" spans="1:8">
      <c r="A148" s="856">
        <v>10</v>
      </c>
      <c r="B148" s="867" t="s">
        <v>1476</v>
      </c>
      <c r="C148" s="851"/>
      <c r="D148" s="884"/>
      <c r="E148" s="884"/>
      <c r="F148" s="884"/>
      <c r="G148" s="884"/>
      <c r="H148" s="884"/>
    </row>
    <row r="149" spans="1:8">
      <c r="A149" s="849">
        <v>10.1</v>
      </c>
      <c r="B149" s="862" t="s">
        <v>47</v>
      </c>
      <c r="C149" s="851"/>
      <c r="D149" s="884"/>
      <c r="E149" s="884"/>
      <c r="F149" s="884"/>
      <c r="G149" s="884"/>
      <c r="H149" s="884"/>
    </row>
    <row r="150" spans="1:8">
      <c r="A150" s="849" t="s">
        <v>336</v>
      </c>
      <c r="B150" s="860" t="s">
        <v>134</v>
      </c>
      <c r="C150" s="851" t="s">
        <v>1</v>
      </c>
      <c r="D150" s="884">
        <f>+'10,1,1'!H48</f>
        <v>33990</v>
      </c>
      <c r="E150" s="990">
        <v>31792</v>
      </c>
      <c r="F150" s="884">
        <f t="shared" si="12"/>
        <v>27192</v>
      </c>
      <c r="G150" s="884">
        <f t="shared" si="11"/>
        <v>25433.599999999999</v>
      </c>
      <c r="H150" s="884">
        <f t="shared" ref="H150:H158" si="13">D150-E150</f>
        <v>2198</v>
      </c>
    </row>
    <row r="151" spans="1:8">
      <c r="A151" s="849" t="s">
        <v>337</v>
      </c>
      <c r="B151" s="860" t="s">
        <v>135</v>
      </c>
      <c r="C151" s="851" t="s">
        <v>1</v>
      </c>
      <c r="D151" s="884">
        <f>+'10,1,2'!H48</f>
        <v>37955</v>
      </c>
      <c r="E151" s="990">
        <v>36143</v>
      </c>
      <c r="F151" s="884">
        <f t="shared" si="12"/>
        <v>30364</v>
      </c>
      <c r="G151" s="884">
        <f t="shared" si="11"/>
        <v>28914.400000000001</v>
      </c>
      <c r="H151" s="884">
        <f t="shared" si="13"/>
        <v>1812</v>
      </c>
    </row>
    <row r="152" spans="1:8">
      <c r="A152" s="849" t="s">
        <v>338</v>
      </c>
      <c r="B152" s="860" t="s">
        <v>136</v>
      </c>
      <c r="C152" s="851" t="s">
        <v>1</v>
      </c>
      <c r="D152" s="884">
        <f>+'10,1,3'!H48</f>
        <v>47444</v>
      </c>
      <c r="E152" s="990">
        <v>45936</v>
      </c>
      <c r="F152" s="884">
        <f t="shared" si="12"/>
        <v>37955.199999999997</v>
      </c>
      <c r="G152" s="884">
        <f t="shared" si="11"/>
        <v>36748.800000000003</v>
      </c>
      <c r="H152" s="884">
        <f t="shared" si="13"/>
        <v>1508</v>
      </c>
    </row>
    <row r="153" spans="1:8">
      <c r="A153" s="849" t="s">
        <v>339</v>
      </c>
      <c r="B153" s="860" t="s">
        <v>137</v>
      </c>
      <c r="C153" s="851" t="s">
        <v>1</v>
      </c>
      <c r="D153" s="884">
        <f>+'10,1,4'!H48</f>
        <v>55544</v>
      </c>
      <c r="E153" s="990">
        <v>54086</v>
      </c>
      <c r="F153" s="884">
        <f t="shared" si="12"/>
        <v>44435.199999999997</v>
      </c>
      <c r="G153" s="884">
        <f t="shared" si="11"/>
        <v>43268.800000000003</v>
      </c>
      <c r="H153" s="884">
        <f t="shared" si="13"/>
        <v>1458</v>
      </c>
    </row>
    <row r="154" spans="1:8">
      <c r="A154" s="849" t="s">
        <v>340</v>
      </c>
      <c r="B154" s="860" t="s">
        <v>138</v>
      </c>
      <c r="C154" s="851" t="s">
        <v>1</v>
      </c>
      <c r="D154" s="884">
        <f>+'10,1,5'!H48</f>
        <v>61549</v>
      </c>
      <c r="E154" s="990">
        <v>59827</v>
      </c>
      <c r="F154" s="884">
        <f t="shared" si="12"/>
        <v>49239.199999999997</v>
      </c>
      <c r="G154" s="884">
        <f t="shared" si="11"/>
        <v>47861.599999999999</v>
      </c>
      <c r="H154" s="884">
        <f t="shared" si="13"/>
        <v>1722</v>
      </c>
    </row>
    <row r="155" spans="1:8">
      <c r="A155" s="849" t="s">
        <v>341</v>
      </c>
      <c r="B155" s="860" t="s">
        <v>139</v>
      </c>
      <c r="C155" s="851" t="s">
        <v>1</v>
      </c>
      <c r="D155" s="884">
        <f>+'10,1,6'!H48</f>
        <v>66980</v>
      </c>
      <c r="E155" s="990">
        <v>65435</v>
      </c>
      <c r="F155" s="884">
        <f t="shared" si="12"/>
        <v>53584</v>
      </c>
      <c r="G155" s="884">
        <f t="shared" si="11"/>
        <v>52348</v>
      </c>
      <c r="H155" s="884">
        <f t="shared" si="13"/>
        <v>1545</v>
      </c>
    </row>
    <row r="156" spans="1:8">
      <c r="A156" s="849" t="s">
        <v>342</v>
      </c>
      <c r="B156" s="860" t="s">
        <v>140</v>
      </c>
      <c r="C156" s="851" t="s">
        <v>1</v>
      </c>
      <c r="D156" s="884">
        <f>+'10,1,7'!H47</f>
        <v>69880</v>
      </c>
      <c r="E156" s="990">
        <v>68378</v>
      </c>
      <c r="F156" s="884">
        <f t="shared" si="12"/>
        <v>55904</v>
      </c>
      <c r="G156" s="884">
        <f t="shared" si="11"/>
        <v>54702.400000000001</v>
      </c>
      <c r="H156" s="884">
        <f t="shared" si="13"/>
        <v>1502</v>
      </c>
    </row>
    <row r="157" spans="1:8">
      <c r="A157" s="849" t="s">
        <v>343</v>
      </c>
      <c r="B157" s="860" t="s">
        <v>141</v>
      </c>
      <c r="C157" s="851" t="s">
        <v>1</v>
      </c>
      <c r="D157" s="884">
        <f>+'10,1,8'!H47</f>
        <v>74066</v>
      </c>
      <c r="E157" s="990">
        <v>71980</v>
      </c>
      <c r="F157" s="884">
        <f t="shared" si="12"/>
        <v>59252.800000000003</v>
      </c>
      <c r="G157" s="884">
        <f t="shared" si="11"/>
        <v>57584</v>
      </c>
      <c r="H157" s="884">
        <f t="shared" si="13"/>
        <v>2086</v>
      </c>
    </row>
    <row r="158" spans="1:8">
      <c r="A158" s="849" t="s">
        <v>344</v>
      </c>
      <c r="B158" s="860" t="s">
        <v>142</v>
      </c>
      <c r="C158" s="851" t="s">
        <v>1</v>
      </c>
      <c r="D158" s="884">
        <f>+'10,1,9'!H47</f>
        <v>85048</v>
      </c>
      <c r="E158" s="990">
        <v>84889</v>
      </c>
      <c r="F158" s="884">
        <f t="shared" si="12"/>
        <v>68038.399999999994</v>
      </c>
      <c r="G158" s="884">
        <f t="shared" si="11"/>
        <v>67911.199999999997</v>
      </c>
      <c r="H158" s="884">
        <f t="shared" si="13"/>
        <v>159</v>
      </c>
    </row>
    <row r="159" spans="1:8">
      <c r="A159" s="856">
        <v>11</v>
      </c>
      <c r="B159" s="868" t="s">
        <v>1477</v>
      </c>
      <c r="C159" s="851"/>
      <c r="D159" s="884"/>
      <c r="E159" s="884"/>
      <c r="F159" s="884"/>
      <c r="G159" s="884"/>
      <c r="H159" s="884"/>
    </row>
    <row r="160" spans="1:8">
      <c r="A160" s="853">
        <v>11.1</v>
      </c>
      <c r="B160" s="862" t="s">
        <v>46</v>
      </c>
      <c r="C160" s="851"/>
      <c r="D160" s="884"/>
      <c r="E160" s="884"/>
      <c r="F160" s="884"/>
      <c r="G160" s="884"/>
      <c r="H160" s="884"/>
    </row>
    <row r="161" spans="1:9">
      <c r="A161" s="849" t="s">
        <v>345</v>
      </c>
      <c r="B161" s="865" t="s">
        <v>142</v>
      </c>
      <c r="C161" s="851" t="s">
        <v>1</v>
      </c>
      <c r="D161" s="884">
        <f>+'11,1,1'!H48</f>
        <v>146636</v>
      </c>
      <c r="E161" s="990">
        <v>137578</v>
      </c>
      <c r="F161" s="884">
        <f t="shared" si="12"/>
        <v>117308.8</v>
      </c>
      <c r="G161" s="884">
        <f t="shared" si="11"/>
        <v>110062.39999999999</v>
      </c>
      <c r="H161" s="884">
        <f t="shared" ref="H161:H167" si="14">D161-E161</f>
        <v>9058</v>
      </c>
    </row>
    <row r="162" spans="1:9">
      <c r="A162" s="849" t="s">
        <v>346</v>
      </c>
      <c r="B162" s="865" t="s">
        <v>143</v>
      </c>
      <c r="C162" s="851" t="s">
        <v>1</v>
      </c>
      <c r="D162" s="884">
        <f>+'11,1,2'!H48</f>
        <v>162405</v>
      </c>
      <c r="E162" s="990">
        <v>152105</v>
      </c>
      <c r="F162" s="884">
        <f t="shared" si="12"/>
        <v>129924</v>
      </c>
      <c r="G162" s="884">
        <f t="shared" si="11"/>
        <v>121684</v>
      </c>
      <c r="H162" s="884">
        <f t="shared" si="14"/>
        <v>10300</v>
      </c>
    </row>
    <row r="163" spans="1:9">
      <c r="A163" s="849" t="s">
        <v>347</v>
      </c>
      <c r="B163" s="865" t="s">
        <v>144</v>
      </c>
      <c r="C163" s="851" t="s">
        <v>1</v>
      </c>
      <c r="D163" s="884">
        <f>+'11,1,3'!H48</f>
        <v>183431</v>
      </c>
      <c r="E163" s="990">
        <v>171221</v>
      </c>
      <c r="F163" s="884">
        <f t="shared" si="12"/>
        <v>146744.79999999999</v>
      </c>
      <c r="G163" s="884">
        <f t="shared" si="11"/>
        <v>136976.79999999999</v>
      </c>
      <c r="H163" s="884">
        <f t="shared" si="14"/>
        <v>12210</v>
      </c>
    </row>
    <row r="164" spans="1:9">
      <c r="A164" s="849" t="s">
        <v>348</v>
      </c>
      <c r="B164" s="865" t="s">
        <v>145</v>
      </c>
      <c r="C164" s="851" t="s">
        <v>1</v>
      </c>
      <c r="D164" s="884">
        <f>+'11,1,4'!H48</f>
        <v>193243</v>
      </c>
      <c r="E164" s="990">
        <v>179835</v>
      </c>
      <c r="F164" s="884">
        <f t="shared" si="12"/>
        <v>154594.4</v>
      </c>
      <c r="G164" s="884">
        <f t="shared" si="11"/>
        <v>143868</v>
      </c>
      <c r="H164" s="884">
        <f t="shared" si="14"/>
        <v>13408</v>
      </c>
    </row>
    <row r="165" spans="1:9">
      <c r="A165" s="849" t="s">
        <v>349</v>
      </c>
      <c r="B165" s="865" t="s">
        <v>146</v>
      </c>
      <c r="C165" s="851" t="s">
        <v>1</v>
      </c>
      <c r="D165" s="884">
        <f>+'11,1,5'!H48</f>
        <v>257021</v>
      </c>
      <c r="E165" s="990">
        <v>208546</v>
      </c>
      <c r="F165" s="884">
        <f t="shared" si="12"/>
        <v>205616.8</v>
      </c>
      <c r="G165" s="884">
        <f t="shared" si="11"/>
        <v>166836.79999999999</v>
      </c>
      <c r="H165" s="884">
        <f t="shared" si="14"/>
        <v>48475</v>
      </c>
    </row>
    <row r="166" spans="1:9">
      <c r="A166" s="849" t="s">
        <v>350</v>
      </c>
      <c r="B166" s="865" t="s">
        <v>147</v>
      </c>
      <c r="C166" s="851" t="s">
        <v>1</v>
      </c>
      <c r="D166" s="884">
        <f>+'11,1,6'!H48</f>
        <v>271740</v>
      </c>
      <c r="E166" s="990">
        <v>218338</v>
      </c>
      <c r="F166" s="884">
        <f t="shared" si="12"/>
        <v>217392</v>
      </c>
      <c r="G166" s="884">
        <f t="shared" si="11"/>
        <v>174670.4</v>
      </c>
      <c r="H166" s="884">
        <f t="shared" si="14"/>
        <v>53402</v>
      </c>
    </row>
    <row r="167" spans="1:9">
      <c r="A167" s="849" t="s">
        <v>351</v>
      </c>
      <c r="B167" s="865" t="s">
        <v>148</v>
      </c>
      <c r="C167" s="851" t="s">
        <v>1</v>
      </c>
      <c r="D167" s="884">
        <f>+'11,1,7'!H48</f>
        <v>288560</v>
      </c>
      <c r="E167" s="990">
        <v>223707</v>
      </c>
      <c r="F167" s="884">
        <f t="shared" si="12"/>
        <v>230848</v>
      </c>
      <c r="G167" s="884">
        <f t="shared" si="11"/>
        <v>178965.6</v>
      </c>
      <c r="H167" s="884">
        <f t="shared" si="14"/>
        <v>64853</v>
      </c>
    </row>
    <row r="168" spans="1:9">
      <c r="A168" s="853">
        <v>11.2</v>
      </c>
      <c r="B168" s="862" t="s">
        <v>47</v>
      </c>
      <c r="C168" s="851"/>
      <c r="D168" s="884"/>
      <c r="E168" s="884"/>
      <c r="F168" s="884"/>
      <c r="G168" s="884"/>
      <c r="H168" s="884"/>
    </row>
    <row r="169" spans="1:9">
      <c r="A169" s="849" t="s">
        <v>352</v>
      </c>
      <c r="B169" s="865" t="s">
        <v>142</v>
      </c>
      <c r="C169" s="851" t="s">
        <v>1</v>
      </c>
      <c r="D169" s="884">
        <f>+'11,2,1'!H48</f>
        <v>167078</v>
      </c>
      <c r="E169" s="990">
        <v>148231</v>
      </c>
      <c r="F169" s="884">
        <f t="shared" si="12"/>
        <v>133662.39999999999</v>
      </c>
      <c r="G169" s="884">
        <f t="shared" si="11"/>
        <v>118584.8</v>
      </c>
      <c r="H169" s="884">
        <f t="shared" ref="H169:H175" si="15">D169-E169</f>
        <v>18847</v>
      </c>
      <c r="I169" s="813"/>
    </row>
    <row r="170" spans="1:9">
      <c r="A170" s="849" t="s">
        <v>353</v>
      </c>
      <c r="B170" s="865" t="s">
        <v>143</v>
      </c>
      <c r="C170" s="851" t="s">
        <v>1</v>
      </c>
      <c r="D170" s="884">
        <f>+'11,2,2'!H48</f>
        <v>177544</v>
      </c>
      <c r="E170" s="990">
        <v>164212</v>
      </c>
      <c r="F170" s="884">
        <f t="shared" si="12"/>
        <v>142035.20000000001</v>
      </c>
      <c r="G170" s="884">
        <f t="shared" si="11"/>
        <v>131369.60000000001</v>
      </c>
      <c r="H170" s="884">
        <f t="shared" si="15"/>
        <v>13332</v>
      </c>
      <c r="I170" s="813"/>
    </row>
    <row r="171" spans="1:9">
      <c r="A171" s="849" t="s">
        <v>354</v>
      </c>
      <c r="B171" s="865" t="s">
        <v>144</v>
      </c>
      <c r="C171" s="851" t="s">
        <v>1</v>
      </c>
      <c r="D171" s="884">
        <f>+'11,2,3'!H48</f>
        <v>196811</v>
      </c>
      <c r="E171" s="990">
        <v>185239</v>
      </c>
      <c r="F171" s="884">
        <f t="shared" si="12"/>
        <v>157448.79999999999</v>
      </c>
      <c r="G171" s="884">
        <f t="shared" si="11"/>
        <v>148191.20000000001</v>
      </c>
      <c r="H171" s="884">
        <f t="shared" si="15"/>
        <v>11572</v>
      </c>
      <c r="I171" s="813"/>
    </row>
    <row r="172" spans="1:9">
      <c r="A172" s="849" t="s">
        <v>355</v>
      </c>
      <c r="B172" s="865" t="s">
        <v>145</v>
      </c>
      <c r="C172" s="851" t="s">
        <v>1</v>
      </c>
      <c r="D172" s="884">
        <f>+'11,2,4'!H48</f>
        <v>212867</v>
      </c>
      <c r="E172" s="990">
        <v>194714</v>
      </c>
      <c r="F172" s="884">
        <f t="shared" si="12"/>
        <v>170293.6</v>
      </c>
      <c r="G172" s="884">
        <f t="shared" si="11"/>
        <v>155771.20000000001</v>
      </c>
      <c r="H172" s="884">
        <f t="shared" si="15"/>
        <v>18153</v>
      </c>
      <c r="I172" s="813"/>
    </row>
    <row r="173" spans="1:9">
      <c r="A173" s="849" t="s">
        <v>356</v>
      </c>
      <c r="B173" s="865" t="s">
        <v>146</v>
      </c>
      <c r="C173" s="851" t="s">
        <v>1</v>
      </c>
      <c r="D173" s="884">
        <f>+'11,2,5'!H48</f>
        <v>232491</v>
      </c>
      <c r="E173" s="990">
        <v>224213</v>
      </c>
      <c r="F173" s="884">
        <f t="shared" si="12"/>
        <v>185992.8</v>
      </c>
      <c r="G173" s="884">
        <f t="shared" si="11"/>
        <v>179370.4</v>
      </c>
      <c r="H173" s="884">
        <f t="shared" si="15"/>
        <v>8278</v>
      </c>
      <c r="I173" s="813"/>
    </row>
    <row r="174" spans="1:9">
      <c r="A174" s="849" t="s">
        <v>357</v>
      </c>
      <c r="B174" s="865" t="s">
        <v>147</v>
      </c>
      <c r="C174" s="851" t="s">
        <v>1</v>
      </c>
      <c r="D174" s="884">
        <f>+'11,2,6'!H48</f>
        <v>257021</v>
      </c>
      <c r="E174" s="990">
        <v>234984</v>
      </c>
      <c r="F174" s="884">
        <f t="shared" si="12"/>
        <v>205616.8</v>
      </c>
      <c r="G174" s="884">
        <f t="shared" si="11"/>
        <v>187987.20000000001</v>
      </c>
      <c r="H174" s="884">
        <f t="shared" si="15"/>
        <v>22037</v>
      </c>
      <c r="I174" s="813"/>
    </row>
    <row r="175" spans="1:9">
      <c r="A175" s="849" t="s">
        <v>358</v>
      </c>
      <c r="B175" s="865" t="s">
        <v>148</v>
      </c>
      <c r="C175" s="851" t="s">
        <v>1</v>
      </c>
      <c r="D175" s="884">
        <f>+'11,2,7'!H48</f>
        <v>271740</v>
      </c>
      <c r="E175" s="990">
        <v>240890</v>
      </c>
      <c r="F175" s="884">
        <f t="shared" si="12"/>
        <v>217392</v>
      </c>
      <c r="G175" s="884">
        <f t="shared" si="11"/>
        <v>192712</v>
      </c>
      <c r="H175" s="884">
        <f t="shared" si="15"/>
        <v>30850</v>
      </c>
      <c r="I175" s="813"/>
    </row>
    <row r="176" spans="1:9">
      <c r="A176" s="856">
        <v>12</v>
      </c>
      <c r="B176" s="869" t="s">
        <v>1478</v>
      </c>
      <c r="C176" s="851"/>
      <c r="D176" s="884"/>
      <c r="E176" s="884"/>
      <c r="F176" s="884"/>
      <c r="G176" s="884"/>
      <c r="H176" s="884"/>
    </row>
    <row r="177" spans="1:8">
      <c r="A177" s="849">
        <v>12.1</v>
      </c>
      <c r="B177" s="862" t="s">
        <v>46</v>
      </c>
      <c r="C177" s="851"/>
      <c r="D177" s="884"/>
      <c r="E177" s="884"/>
      <c r="F177" s="884"/>
      <c r="G177" s="884"/>
      <c r="H177" s="884"/>
    </row>
    <row r="178" spans="1:8">
      <c r="A178" s="849" t="s">
        <v>359</v>
      </c>
      <c r="B178" s="870" t="s">
        <v>142</v>
      </c>
      <c r="C178" s="851" t="s">
        <v>1</v>
      </c>
      <c r="D178" s="884">
        <f>+'12,1,1'!H47</f>
        <v>524071</v>
      </c>
      <c r="E178" s="990">
        <v>494244</v>
      </c>
      <c r="F178" s="884">
        <f t="shared" si="12"/>
        <v>419256.8</v>
      </c>
      <c r="G178" s="884">
        <f t="shared" si="11"/>
        <v>395395.2</v>
      </c>
      <c r="H178" s="884">
        <f t="shared" ref="H178:H184" si="16">D178-E178</f>
        <v>29827</v>
      </c>
    </row>
    <row r="179" spans="1:8">
      <c r="A179" s="849" t="s">
        <v>360</v>
      </c>
      <c r="B179" s="870" t="s">
        <v>143</v>
      </c>
      <c r="C179" s="851" t="s">
        <v>1</v>
      </c>
      <c r="D179" s="884">
        <f>+'12,1,2'!H47</f>
        <v>650533</v>
      </c>
      <c r="E179" s="990">
        <v>589605</v>
      </c>
      <c r="F179" s="884">
        <f t="shared" si="12"/>
        <v>520426.4</v>
      </c>
      <c r="G179" s="884">
        <f t="shared" si="11"/>
        <v>471684</v>
      </c>
      <c r="H179" s="884">
        <f t="shared" si="16"/>
        <v>60928</v>
      </c>
    </row>
    <row r="180" spans="1:8">
      <c r="A180" s="849" t="s">
        <v>361</v>
      </c>
      <c r="B180" s="870" t="s">
        <v>144</v>
      </c>
      <c r="C180" s="851" t="s">
        <v>1</v>
      </c>
      <c r="D180" s="884">
        <f>+'12,1,3'!H47</f>
        <v>714681</v>
      </c>
      <c r="E180" s="990">
        <v>702471</v>
      </c>
      <c r="F180" s="884">
        <f t="shared" si="12"/>
        <v>571744.80000000005</v>
      </c>
      <c r="G180" s="884">
        <f t="shared" si="11"/>
        <v>561976.80000000005</v>
      </c>
      <c r="H180" s="884">
        <f t="shared" si="16"/>
        <v>12210</v>
      </c>
    </row>
    <row r="181" spans="1:8">
      <c r="A181" s="849" t="s">
        <v>362</v>
      </c>
      <c r="B181" s="870" t="s">
        <v>145</v>
      </c>
      <c r="C181" s="851" t="s">
        <v>1</v>
      </c>
      <c r="D181" s="884">
        <f>+'12,1,4'!H47</f>
        <v>959713</v>
      </c>
      <c r="E181" s="990">
        <v>1072382</v>
      </c>
      <c r="F181" s="884">
        <f t="shared" si="12"/>
        <v>767770.4</v>
      </c>
      <c r="G181" s="884">
        <f t="shared" si="11"/>
        <v>857905.6</v>
      </c>
      <c r="H181" s="884">
        <f t="shared" si="16"/>
        <v>-112669</v>
      </c>
    </row>
    <row r="182" spans="1:8">
      <c r="A182" s="849" t="s">
        <v>363</v>
      </c>
      <c r="B182" s="870" t="s">
        <v>146</v>
      </c>
      <c r="C182" s="851" t="s">
        <v>1</v>
      </c>
      <c r="D182" s="884">
        <f>+'12,1,5'!H47</f>
        <v>1215964</v>
      </c>
      <c r="E182" s="990">
        <v>1230421</v>
      </c>
      <c r="F182" s="884">
        <f t="shared" si="12"/>
        <v>972771.2</v>
      </c>
      <c r="G182" s="884">
        <f t="shared" si="11"/>
        <v>984336.8</v>
      </c>
      <c r="H182" s="884">
        <f t="shared" si="16"/>
        <v>-14457</v>
      </c>
    </row>
    <row r="183" spans="1:8">
      <c r="A183" s="849" t="s">
        <v>364</v>
      </c>
      <c r="B183" s="870" t="s">
        <v>147</v>
      </c>
      <c r="C183" s="851" t="s">
        <v>1</v>
      </c>
      <c r="D183" s="884">
        <f>+'12,1,6'!H47</f>
        <v>1346045</v>
      </c>
      <c r="E183" s="990">
        <v>1455838</v>
      </c>
      <c r="F183" s="884">
        <f t="shared" si="12"/>
        <v>1076836</v>
      </c>
      <c r="G183" s="884">
        <f t="shared" si="11"/>
        <v>1164670.3999999999</v>
      </c>
      <c r="H183" s="884">
        <f t="shared" si="16"/>
        <v>-109793</v>
      </c>
    </row>
    <row r="184" spans="1:8">
      <c r="A184" s="849" t="s">
        <v>365</v>
      </c>
      <c r="B184" s="870" t="s">
        <v>148</v>
      </c>
      <c r="C184" s="851" t="s">
        <v>1</v>
      </c>
      <c r="D184" s="884">
        <f>+'12,1,7'!H47</f>
        <v>1547160</v>
      </c>
      <c r="E184" s="990">
        <v>1661207</v>
      </c>
      <c r="F184" s="884">
        <f t="shared" si="12"/>
        <v>1237728</v>
      </c>
      <c r="G184" s="884">
        <f t="shared" si="11"/>
        <v>1328965.6000000001</v>
      </c>
      <c r="H184" s="884">
        <f t="shared" si="16"/>
        <v>-114047</v>
      </c>
    </row>
    <row r="185" spans="1:8">
      <c r="A185" s="853">
        <v>12.2</v>
      </c>
      <c r="B185" s="862" t="s">
        <v>47</v>
      </c>
      <c r="C185" s="851"/>
      <c r="D185" s="884"/>
      <c r="E185" s="884"/>
      <c r="F185" s="884"/>
      <c r="G185" s="884"/>
      <c r="H185" s="884"/>
    </row>
    <row r="186" spans="1:8">
      <c r="A186" s="849" t="s">
        <v>366</v>
      </c>
      <c r="B186" s="865" t="s">
        <v>142</v>
      </c>
      <c r="C186" s="851" t="s">
        <v>1</v>
      </c>
      <c r="D186" s="884">
        <f>+'12,2,1'!H48</f>
        <v>544513</v>
      </c>
      <c r="E186" s="990">
        <v>504898</v>
      </c>
      <c r="F186" s="884">
        <f t="shared" si="12"/>
        <v>435610.4</v>
      </c>
      <c r="G186" s="884">
        <f t="shared" si="11"/>
        <v>403918.4</v>
      </c>
      <c r="H186" s="884">
        <f>D186-E186</f>
        <v>39615</v>
      </c>
    </row>
    <row r="187" spans="1:8">
      <c r="A187" s="849" t="s">
        <v>367</v>
      </c>
      <c r="B187" s="865" t="s">
        <v>143</v>
      </c>
      <c r="C187" s="851" t="s">
        <v>1</v>
      </c>
      <c r="D187" s="884">
        <f>+'12,2,2'!H48</f>
        <v>665672</v>
      </c>
      <c r="E187" s="990">
        <v>601712</v>
      </c>
      <c r="F187" s="884">
        <f t="shared" si="12"/>
        <v>532537.59999999998</v>
      </c>
      <c r="G187" s="884">
        <f t="shared" si="11"/>
        <v>481369.59999999998</v>
      </c>
      <c r="H187" s="884">
        <f t="shared" ref="H187:H192" si="17">D187-E187</f>
        <v>63960</v>
      </c>
    </row>
    <row r="188" spans="1:8">
      <c r="A188" s="849" t="s">
        <v>368</v>
      </c>
      <c r="B188" s="865" t="s">
        <v>144</v>
      </c>
      <c r="C188" s="851" t="s">
        <v>1</v>
      </c>
      <c r="D188" s="884">
        <f>+'12,2,3'!H48</f>
        <v>728061</v>
      </c>
      <c r="E188" s="990">
        <v>716489</v>
      </c>
      <c r="F188" s="884">
        <f t="shared" si="12"/>
        <v>582448.80000000005</v>
      </c>
      <c r="G188" s="884">
        <f t="shared" si="11"/>
        <v>573191.19999999995</v>
      </c>
      <c r="H188" s="884">
        <f t="shared" si="17"/>
        <v>11572</v>
      </c>
    </row>
    <row r="189" spans="1:8">
      <c r="A189" s="849" t="s">
        <v>369</v>
      </c>
      <c r="B189" s="865" t="s">
        <v>145</v>
      </c>
      <c r="C189" s="851" t="s">
        <v>1</v>
      </c>
      <c r="D189" s="884">
        <f>+'12,2,4'!H48</f>
        <v>979337</v>
      </c>
      <c r="E189" s="990">
        <v>1099016</v>
      </c>
      <c r="F189" s="884">
        <f t="shared" si="12"/>
        <v>783469.6</v>
      </c>
      <c r="G189" s="884">
        <f t="shared" si="11"/>
        <v>879212.8</v>
      </c>
      <c r="H189" s="884">
        <f t="shared" si="17"/>
        <v>-119679</v>
      </c>
    </row>
    <row r="190" spans="1:8">
      <c r="A190" s="849" t="s">
        <v>370</v>
      </c>
      <c r="B190" s="865" t="s">
        <v>146</v>
      </c>
      <c r="C190" s="851" t="s">
        <v>1</v>
      </c>
      <c r="D190" s="884">
        <f>+'12,2,5'!H48</f>
        <v>1191434</v>
      </c>
      <c r="E190" s="990">
        <v>1205046</v>
      </c>
      <c r="F190" s="884">
        <f t="shared" si="12"/>
        <v>953147.2</v>
      </c>
      <c r="G190" s="884">
        <f t="shared" si="11"/>
        <v>964036.8</v>
      </c>
      <c r="H190" s="884">
        <f t="shared" si="17"/>
        <v>-13612</v>
      </c>
    </row>
    <row r="191" spans="1:8">
      <c r="A191" s="849" t="s">
        <v>371</v>
      </c>
      <c r="B191" s="865" t="s">
        <v>147</v>
      </c>
      <c r="C191" s="851" t="s">
        <v>1</v>
      </c>
      <c r="D191" s="884">
        <f>+'12,2,6'!H48</f>
        <v>1331326</v>
      </c>
      <c r="E191" s="990">
        <v>1472484</v>
      </c>
      <c r="F191" s="884">
        <f t="shared" si="12"/>
        <v>1065060.8</v>
      </c>
      <c r="G191" s="884">
        <f t="shared" si="11"/>
        <v>1177987.2</v>
      </c>
      <c r="H191" s="884">
        <f t="shared" si="17"/>
        <v>-141158</v>
      </c>
    </row>
    <row r="192" spans="1:8">
      <c r="A192" s="849" t="s">
        <v>372</v>
      </c>
      <c r="B192" s="865" t="s">
        <v>148</v>
      </c>
      <c r="C192" s="851" t="s">
        <v>1</v>
      </c>
      <c r="D192" s="884">
        <f>+'12,2,7'!H48</f>
        <v>1530340</v>
      </c>
      <c r="E192" s="990">
        <v>1678390</v>
      </c>
      <c r="F192" s="884">
        <f t="shared" si="12"/>
        <v>1224272</v>
      </c>
      <c r="G192" s="884">
        <f t="shared" si="11"/>
        <v>1342712</v>
      </c>
      <c r="H192" s="884">
        <f t="shared" si="17"/>
        <v>-148050</v>
      </c>
    </row>
    <row r="193" spans="1:8" ht="33.75" customHeight="1">
      <c r="A193" s="856">
        <v>13</v>
      </c>
      <c r="B193" s="867" t="s">
        <v>149</v>
      </c>
      <c r="C193" s="880"/>
      <c r="D193" s="867"/>
      <c r="E193" s="867"/>
      <c r="F193" s="884"/>
      <c r="G193" s="884"/>
      <c r="H193" s="867"/>
    </row>
    <row r="194" spans="1:8">
      <c r="A194" s="853">
        <v>13.1</v>
      </c>
      <c r="B194" s="862" t="s">
        <v>46</v>
      </c>
      <c r="C194" s="851"/>
      <c r="D194" s="886"/>
      <c r="E194" s="886"/>
      <c r="F194" s="884"/>
      <c r="G194" s="884"/>
      <c r="H194" s="886"/>
    </row>
    <row r="195" spans="1:8">
      <c r="A195" s="849" t="s">
        <v>287</v>
      </c>
      <c r="B195" s="865" t="s">
        <v>1876</v>
      </c>
      <c r="C195" s="851" t="s">
        <v>1</v>
      </c>
      <c r="D195" s="1104">
        <f>+'13,1,1'!H48</f>
        <v>13748</v>
      </c>
      <c r="E195" s="990">
        <v>11626</v>
      </c>
      <c r="F195" s="884">
        <f t="shared" si="12"/>
        <v>10998.4</v>
      </c>
      <c r="G195" s="884">
        <f t="shared" si="11"/>
        <v>9300.7999999999993</v>
      </c>
      <c r="H195" s="1104">
        <f>D195-E195</f>
        <v>2122</v>
      </c>
    </row>
    <row r="196" spans="1:8">
      <c r="A196" s="849" t="s">
        <v>288</v>
      </c>
      <c r="B196" s="865" t="s">
        <v>286</v>
      </c>
      <c r="C196" s="851" t="s">
        <v>1</v>
      </c>
      <c r="D196" s="884">
        <f>+'13,1,2'!H48</f>
        <v>20623</v>
      </c>
      <c r="E196" s="990">
        <v>17126</v>
      </c>
      <c r="F196" s="884">
        <f t="shared" si="12"/>
        <v>16498.400000000001</v>
      </c>
      <c r="G196" s="884">
        <f t="shared" si="11"/>
        <v>13700.8</v>
      </c>
      <c r="H196" s="1104">
        <f t="shared" ref="H196:H207" si="18">D196-E196</f>
        <v>3497</v>
      </c>
    </row>
    <row r="197" spans="1:8">
      <c r="A197" s="849" t="s">
        <v>289</v>
      </c>
      <c r="B197" s="865" t="s">
        <v>1869</v>
      </c>
      <c r="C197" s="851" t="s">
        <v>1</v>
      </c>
      <c r="D197" s="884">
        <f>+'13,1,3'!H48</f>
        <v>21997</v>
      </c>
      <c r="E197" s="990">
        <v>18226</v>
      </c>
      <c r="F197" s="884">
        <f t="shared" si="12"/>
        <v>17597.599999999999</v>
      </c>
      <c r="G197" s="884">
        <f t="shared" si="11"/>
        <v>14580.8</v>
      </c>
      <c r="H197" s="1104">
        <f t="shared" si="18"/>
        <v>3771</v>
      </c>
    </row>
    <row r="198" spans="1:8">
      <c r="A198" s="849" t="s">
        <v>290</v>
      </c>
      <c r="B198" s="865" t="s">
        <v>1870</v>
      </c>
      <c r="C198" s="851" t="s">
        <v>1</v>
      </c>
      <c r="D198" s="884">
        <f>+'13,1,4'!H48</f>
        <v>25382</v>
      </c>
      <c r="E198" s="990">
        <v>27027</v>
      </c>
      <c r="F198" s="884">
        <f t="shared" si="12"/>
        <v>20305.599999999999</v>
      </c>
      <c r="G198" s="884">
        <f t="shared" si="11"/>
        <v>21621.599999999999</v>
      </c>
      <c r="H198" s="1104">
        <f>D198-E198</f>
        <v>-1645</v>
      </c>
    </row>
    <row r="199" spans="1:8">
      <c r="A199" s="849" t="s">
        <v>1892</v>
      </c>
      <c r="B199" s="860" t="s">
        <v>1867</v>
      </c>
      <c r="C199" s="851" t="s">
        <v>1</v>
      </c>
      <c r="D199" s="884">
        <f>'13,1,5'!H48</f>
        <v>33240</v>
      </c>
      <c r="E199" s="990"/>
      <c r="F199" s="884">
        <f t="shared" si="12"/>
        <v>26592</v>
      </c>
      <c r="G199" s="884">
        <f t="shared" si="11"/>
        <v>0</v>
      </c>
      <c r="H199" s="1104">
        <f>D199-E199</f>
        <v>33240</v>
      </c>
    </row>
    <row r="200" spans="1:8">
      <c r="A200" s="849" t="s">
        <v>1893</v>
      </c>
      <c r="B200" s="860" t="s">
        <v>1871</v>
      </c>
      <c r="C200" s="851" t="s">
        <v>1</v>
      </c>
      <c r="D200" s="884">
        <f>+'13,1,6'!H48</f>
        <v>37955</v>
      </c>
      <c r="E200" s="990">
        <v>35982</v>
      </c>
      <c r="F200" s="884">
        <f t="shared" si="12"/>
        <v>30364</v>
      </c>
      <c r="G200" s="884">
        <f t="shared" si="11"/>
        <v>28785.599999999999</v>
      </c>
      <c r="H200" s="1104">
        <f t="shared" si="18"/>
        <v>1973</v>
      </c>
    </row>
    <row r="201" spans="1:8">
      <c r="A201" s="849" t="s">
        <v>1894</v>
      </c>
      <c r="B201" s="860" t="s">
        <v>1872</v>
      </c>
      <c r="C201" s="851" t="s">
        <v>1</v>
      </c>
      <c r="D201" s="884">
        <f>+'13,1,7'!H48</f>
        <v>41406</v>
      </c>
      <c r="E201" s="990">
        <v>39911</v>
      </c>
      <c r="F201" s="884">
        <f t="shared" si="12"/>
        <v>33124.800000000003</v>
      </c>
      <c r="G201" s="884">
        <f t="shared" si="11"/>
        <v>31928.799999999999</v>
      </c>
      <c r="H201" s="1104">
        <f t="shared" si="18"/>
        <v>1495</v>
      </c>
    </row>
    <row r="202" spans="1:8">
      <c r="A202" s="849" t="s">
        <v>1895</v>
      </c>
      <c r="B202" s="860" t="s">
        <v>1873</v>
      </c>
      <c r="C202" s="851" t="s">
        <v>1</v>
      </c>
      <c r="D202" s="884">
        <f>+'13,1,8'!H48</f>
        <v>45546</v>
      </c>
      <c r="E202" s="990">
        <v>44821</v>
      </c>
      <c r="F202" s="884">
        <f t="shared" si="12"/>
        <v>36436.800000000003</v>
      </c>
      <c r="G202" s="884">
        <f t="shared" si="11"/>
        <v>35856.800000000003</v>
      </c>
      <c r="H202" s="1104">
        <f t="shared" si="18"/>
        <v>725</v>
      </c>
    </row>
    <row r="203" spans="1:8">
      <c r="A203" s="849" t="s">
        <v>1896</v>
      </c>
      <c r="B203" s="860" t="s">
        <v>142</v>
      </c>
      <c r="C203" s="851" t="s">
        <v>1</v>
      </c>
      <c r="D203" s="884">
        <f>+'13,1,9'!H48</f>
        <v>50607</v>
      </c>
      <c r="E203" s="990">
        <v>51135</v>
      </c>
      <c r="F203" s="884">
        <f t="shared" si="12"/>
        <v>40485.599999999999</v>
      </c>
      <c r="G203" s="884">
        <f t="shared" si="11"/>
        <v>40908</v>
      </c>
      <c r="H203" s="1104">
        <f t="shared" si="18"/>
        <v>-528</v>
      </c>
    </row>
    <row r="204" spans="1:8">
      <c r="A204" s="849" t="s">
        <v>1897</v>
      </c>
      <c r="B204" s="860" t="s">
        <v>143</v>
      </c>
      <c r="C204" s="851" t="s">
        <v>1</v>
      </c>
      <c r="D204" s="884">
        <f>+'13,1,10'!H48</f>
        <v>56933</v>
      </c>
      <c r="E204" s="990">
        <v>54196</v>
      </c>
      <c r="F204" s="884">
        <f t="shared" si="12"/>
        <v>45546.400000000001</v>
      </c>
      <c r="G204" s="884">
        <f t="shared" ref="G204:G267" si="19">+E204/1.25</f>
        <v>43356.800000000003</v>
      </c>
      <c r="H204" s="1104">
        <f t="shared" si="18"/>
        <v>2737</v>
      </c>
    </row>
    <row r="205" spans="1:8">
      <c r="A205" s="849" t="s">
        <v>1898</v>
      </c>
      <c r="B205" s="860" t="s">
        <v>144</v>
      </c>
      <c r="C205" s="851" t="s">
        <v>1</v>
      </c>
      <c r="D205" s="884">
        <f>+'13,1,11'!H48</f>
        <v>75941</v>
      </c>
      <c r="E205" s="990">
        <v>66402</v>
      </c>
      <c r="F205" s="884">
        <f t="shared" ref="F205:F268" si="20">+D205/1.25</f>
        <v>60752.800000000003</v>
      </c>
      <c r="G205" s="884">
        <f t="shared" si="19"/>
        <v>53121.599999999999</v>
      </c>
      <c r="H205" s="1104">
        <f t="shared" si="18"/>
        <v>9539</v>
      </c>
    </row>
    <row r="206" spans="1:8">
      <c r="A206" s="849" t="s">
        <v>1899</v>
      </c>
      <c r="B206" s="860" t="s">
        <v>150</v>
      </c>
      <c r="C206" s="851" t="s">
        <v>1</v>
      </c>
      <c r="D206" s="884">
        <f>+'13,1,12'!H48</f>
        <v>86786</v>
      </c>
      <c r="E206" s="990">
        <v>72513</v>
      </c>
      <c r="F206" s="884">
        <f t="shared" si="20"/>
        <v>69428.800000000003</v>
      </c>
      <c r="G206" s="884">
        <f t="shared" si="19"/>
        <v>58010.400000000001</v>
      </c>
      <c r="H206" s="1104">
        <f t="shared" si="18"/>
        <v>14273</v>
      </c>
    </row>
    <row r="207" spans="1:8">
      <c r="A207" s="849" t="s">
        <v>1900</v>
      </c>
      <c r="B207" s="860" t="s">
        <v>145</v>
      </c>
      <c r="C207" s="851" t="s">
        <v>1</v>
      </c>
      <c r="D207" s="884">
        <f>+'13,1,13'!H48</f>
        <v>101968</v>
      </c>
      <c r="E207" s="990">
        <v>80089</v>
      </c>
      <c r="F207" s="884">
        <f t="shared" si="20"/>
        <v>81574.399999999994</v>
      </c>
      <c r="G207" s="884">
        <f t="shared" si="19"/>
        <v>64071.199999999997</v>
      </c>
      <c r="H207" s="1104">
        <f t="shared" si="18"/>
        <v>21879</v>
      </c>
    </row>
    <row r="208" spans="1:8" ht="30" customHeight="1">
      <c r="A208" s="856">
        <v>14</v>
      </c>
      <c r="B208" s="867" t="s">
        <v>149</v>
      </c>
      <c r="C208" s="880"/>
      <c r="D208" s="867"/>
      <c r="E208" s="867"/>
      <c r="F208" s="884"/>
      <c r="G208" s="884"/>
      <c r="H208" s="867"/>
    </row>
    <row r="209" spans="1:9">
      <c r="A209" s="853">
        <v>14.1</v>
      </c>
      <c r="B209" s="862" t="s">
        <v>49</v>
      </c>
      <c r="C209" s="851"/>
      <c r="D209" s="886"/>
      <c r="E209" s="886"/>
      <c r="F209" s="884"/>
      <c r="G209" s="884"/>
      <c r="H209" s="886"/>
    </row>
    <row r="210" spans="1:9">
      <c r="A210" s="849" t="s">
        <v>293</v>
      </c>
      <c r="B210" s="865" t="s">
        <v>286</v>
      </c>
      <c r="C210" s="851" t="s">
        <v>1</v>
      </c>
      <c r="D210" s="884">
        <f>+'14,1,1'!H48</f>
        <v>20623</v>
      </c>
      <c r="E210" s="990">
        <v>18776</v>
      </c>
      <c r="F210" s="884">
        <f t="shared" si="20"/>
        <v>16498.400000000001</v>
      </c>
      <c r="G210" s="884">
        <f t="shared" si="19"/>
        <v>15020.8</v>
      </c>
      <c r="H210" s="884">
        <f>D210-E210</f>
        <v>1847</v>
      </c>
    </row>
    <row r="211" spans="1:9">
      <c r="A211" s="849" t="s">
        <v>294</v>
      </c>
      <c r="B211" s="865" t="s">
        <v>1869</v>
      </c>
      <c r="C211" s="851" t="s">
        <v>1</v>
      </c>
      <c r="D211" s="884">
        <f>+'14,1,2'!H48</f>
        <v>21997</v>
      </c>
      <c r="E211" s="990">
        <v>19986</v>
      </c>
      <c r="F211" s="884">
        <f t="shared" si="20"/>
        <v>17597.599999999999</v>
      </c>
      <c r="G211" s="884">
        <f t="shared" si="19"/>
        <v>15988.8</v>
      </c>
      <c r="H211" s="884">
        <f t="shared" ref="H211:H221" si="21">D211-E211</f>
        <v>2011</v>
      </c>
    </row>
    <row r="212" spans="1:9">
      <c r="A212" s="849" t="s">
        <v>295</v>
      </c>
      <c r="B212" s="865" t="s">
        <v>1870</v>
      </c>
      <c r="C212" s="851" t="s">
        <v>1</v>
      </c>
      <c r="D212" s="884">
        <f>+'14,1,3'!H48</f>
        <v>32996</v>
      </c>
      <c r="E212" s="990">
        <v>29667</v>
      </c>
      <c r="F212" s="884">
        <f t="shared" si="20"/>
        <v>26396.799999999999</v>
      </c>
      <c r="G212" s="884">
        <f t="shared" si="19"/>
        <v>23733.599999999999</v>
      </c>
      <c r="H212" s="884">
        <f t="shared" si="21"/>
        <v>3329</v>
      </c>
    </row>
    <row r="213" spans="1:9">
      <c r="A213" s="849" t="s">
        <v>1902</v>
      </c>
      <c r="B213" s="860" t="s">
        <v>1867</v>
      </c>
      <c r="C213" s="851" t="s">
        <v>1</v>
      </c>
      <c r="D213" s="884">
        <f>'14,1,4'!H48</f>
        <v>39271</v>
      </c>
      <c r="E213" s="990"/>
      <c r="F213" s="884">
        <f t="shared" si="20"/>
        <v>31416.799999999999</v>
      </c>
      <c r="G213" s="884">
        <f t="shared" si="19"/>
        <v>0</v>
      </c>
      <c r="H213" s="884">
        <f t="shared" si="21"/>
        <v>39271</v>
      </c>
    </row>
    <row r="214" spans="1:9">
      <c r="A214" s="849" t="s">
        <v>1904</v>
      </c>
      <c r="B214" s="860" t="s">
        <v>1871</v>
      </c>
      <c r="C214" s="851" t="s">
        <v>1</v>
      </c>
      <c r="D214" s="884">
        <f>+'14,1,5'!H48</f>
        <v>45546</v>
      </c>
      <c r="E214" s="990">
        <v>39518</v>
      </c>
      <c r="F214" s="884">
        <f t="shared" si="20"/>
        <v>36436.800000000003</v>
      </c>
      <c r="G214" s="884">
        <f t="shared" si="19"/>
        <v>31614.400000000001</v>
      </c>
      <c r="H214" s="884">
        <f t="shared" si="21"/>
        <v>6028</v>
      </c>
    </row>
    <row r="215" spans="1:9">
      <c r="A215" s="849" t="s">
        <v>1905</v>
      </c>
      <c r="B215" s="860" t="s">
        <v>1872</v>
      </c>
      <c r="C215" s="851" t="s">
        <v>1</v>
      </c>
      <c r="D215" s="884">
        <f>+'14,1,6'!H48</f>
        <v>50607</v>
      </c>
      <c r="E215" s="990">
        <v>43839</v>
      </c>
      <c r="F215" s="884">
        <f t="shared" si="20"/>
        <v>40485.599999999999</v>
      </c>
      <c r="G215" s="884">
        <f t="shared" si="19"/>
        <v>35071.199999999997</v>
      </c>
      <c r="H215" s="884">
        <f t="shared" si="21"/>
        <v>6768</v>
      </c>
    </row>
    <row r="216" spans="1:9">
      <c r="A216" s="849" t="s">
        <v>1907</v>
      </c>
      <c r="B216" s="860" t="s">
        <v>1873</v>
      </c>
      <c r="C216" s="851" t="s">
        <v>1</v>
      </c>
      <c r="D216" s="884">
        <f>+'14,1,7'!H48</f>
        <v>56933</v>
      </c>
      <c r="E216" s="990">
        <v>49241</v>
      </c>
      <c r="F216" s="884">
        <f t="shared" si="20"/>
        <v>45546.400000000001</v>
      </c>
      <c r="G216" s="884">
        <f t="shared" si="19"/>
        <v>39392.800000000003</v>
      </c>
      <c r="H216" s="884">
        <f t="shared" si="21"/>
        <v>7692</v>
      </c>
    </row>
    <row r="217" spans="1:9">
      <c r="A217" s="849" t="s">
        <v>1909</v>
      </c>
      <c r="B217" s="860" t="s">
        <v>142</v>
      </c>
      <c r="C217" s="851" t="s">
        <v>1</v>
      </c>
      <c r="D217" s="884">
        <f>+'14,1,8'!H48</f>
        <v>65066</v>
      </c>
      <c r="E217" s="990">
        <v>56186</v>
      </c>
      <c r="F217" s="884">
        <f t="shared" si="20"/>
        <v>52052.800000000003</v>
      </c>
      <c r="G217" s="884">
        <f t="shared" si="19"/>
        <v>44948.800000000003</v>
      </c>
      <c r="H217" s="884">
        <f t="shared" si="21"/>
        <v>8880</v>
      </c>
    </row>
    <row r="218" spans="1:9">
      <c r="A218" s="849" t="s">
        <v>1910</v>
      </c>
      <c r="B218" s="860" t="s">
        <v>143</v>
      </c>
      <c r="C218" s="851" t="s">
        <v>1</v>
      </c>
      <c r="D218" s="884">
        <f>+'14,1,9'!H48</f>
        <v>69010</v>
      </c>
      <c r="E218" s="990">
        <v>59553</v>
      </c>
      <c r="F218" s="884">
        <f t="shared" si="20"/>
        <v>55208</v>
      </c>
      <c r="G218" s="884">
        <f t="shared" si="19"/>
        <v>47642.400000000001</v>
      </c>
      <c r="H218" s="884">
        <f t="shared" si="21"/>
        <v>9457</v>
      </c>
    </row>
    <row r="219" spans="1:9">
      <c r="A219" s="849" t="s">
        <v>1911</v>
      </c>
      <c r="B219" s="860" t="s">
        <v>144</v>
      </c>
      <c r="C219" s="851" t="s">
        <v>1</v>
      </c>
      <c r="D219" s="884">
        <f>+'14,1,10'!H48</f>
        <v>84337</v>
      </c>
      <c r="E219" s="990">
        <v>72105</v>
      </c>
      <c r="F219" s="884">
        <f t="shared" si="20"/>
        <v>67469.600000000006</v>
      </c>
      <c r="G219" s="884">
        <f t="shared" si="19"/>
        <v>57684</v>
      </c>
      <c r="H219" s="884">
        <f t="shared" si="21"/>
        <v>12232</v>
      </c>
    </row>
    <row r="220" spans="1:9">
      <c r="A220" s="849" t="s">
        <v>1912</v>
      </c>
      <c r="B220" s="860" t="s">
        <v>150</v>
      </c>
      <c r="C220" s="851" t="s">
        <v>1</v>
      </c>
      <c r="D220" s="884">
        <f>+'14,1,11'!H48</f>
        <v>92208</v>
      </c>
      <c r="E220" s="990">
        <v>78826</v>
      </c>
      <c r="F220" s="884">
        <f t="shared" si="20"/>
        <v>73766.399999999994</v>
      </c>
      <c r="G220" s="884">
        <f t="shared" si="19"/>
        <v>63060.800000000003</v>
      </c>
      <c r="H220" s="884">
        <f t="shared" si="21"/>
        <v>13382</v>
      </c>
    </row>
    <row r="221" spans="1:9">
      <c r="A221" s="849" t="s">
        <v>1913</v>
      </c>
      <c r="B221" s="860" t="s">
        <v>145</v>
      </c>
      <c r="C221" s="851" t="s">
        <v>1</v>
      </c>
      <c r="D221" s="884">
        <f>+'14,1,12'!H48</f>
        <v>101968</v>
      </c>
      <c r="E221" s="990">
        <v>87160</v>
      </c>
      <c r="F221" s="884">
        <f t="shared" si="20"/>
        <v>81574.399999999994</v>
      </c>
      <c r="G221" s="884">
        <f t="shared" si="19"/>
        <v>69728</v>
      </c>
      <c r="H221" s="884">
        <f t="shared" si="21"/>
        <v>14808</v>
      </c>
    </row>
    <row r="222" spans="1:9" ht="30" customHeight="1">
      <c r="A222" s="856">
        <v>15</v>
      </c>
      <c r="B222" s="867" t="s">
        <v>153</v>
      </c>
      <c r="C222" s="880"/>
      <c r="D222" s="867"/>
      <c r="E222" s="867"/>
      <c r="F222" s="884"/>
      <c r="G222" s="884"/>
      <c r="H222" s="867"/>
    </row>
    <row r="223" spans="1:9">
      <c r="A223" s="849">
        <v>15.1</v>
      </c>
      <c r="B223" s="862" t="s">
        <v>48</v>
      </c>
      <c r="C223" s="851"/>
      <c r="D223" s="886"/>
      <c r="E223" s="886"/>
      <c r="F223" s="884"/>
      <c r="G223" s="884"/>
      <c r="H223" s="886"/>
    </row>
    <row r="224" spans="1:9">
      <c r="A224" s="849" t="s">
        <v>296</v>
      </c>
      <c r="B224" s="865" t="s">
        <v>1876</v>
      </c>
      <c r="C224" s="851" t="s">
        <v>1</v>
      </c>
      <c r="D224" s="884">
        <f>+'15,1,1'!H47</f>
        <v>54980</v>
      </c>
      <c r="E224" s="990">
        <v>42344</v>
      </c>
      <c r="F224" s="884">
        <f t="shared" si="20"/>
        <v>43984</v>
      </c>
      <c r="G224" s="884">
        <f t="shared" si="19"/>
        <v>33875.199999999997</v>
      </c>
      <c r="H224" s="884">
        <f>D224-E224</f>
        <v>12636</v>
      </c>
      <c r="I224" s="816"/>
    </row>
    <row r="225" spans="1:9">
      <c r="A225" s="849" t="s">
        <v>297</v>
      </c>
      <c r="B225" s="865" t="s">
        <v>286</v>
      </c>
      <c r="C225" s="851" t="s">
        <v>1</v>
      </c>
      <c r="D225" s="884">
        <f>+'15,1,2'!H47</f>
        <v>76932</v>
      </c>
      <c r="E225" s="990">
        <v>59077</v>
      </c>
      <c r="F225" s="884">
        <f t="shared" si="20"/>
        <v>61545.599999999999</v>
      </c>
      <c r="G225" s="884">
        <f t="shared" si="19"/>
        <v>47261.599999999999</v>
      </c>
      <c r="H225" s="884">
        <f t="shared" ref="H225:H231" si="22">D225-E225</f>
        <v>17855</v>
      </c>
      <c r="I225" s="816"/>
    </row>
    <row r="226" spans="1:9">
      <c r="A226" s="849" t="s">
        <v>298</v>
      </c>
      <c r="B226" s="865" t="s">
        <v>1869</v>
      </c>
      <c r="C226" s="851" t="s">
        <v>1</v>
      </c>
      <c r="D226" s="884">
        <f>+'15,1,3'!H47</f>
        <v>104241</v>
      </c>
      <c r="E226" s="990">
        <v>79497</v>
      </c>
      <c r="F226" s="884">
        <f t="shared" si="20"/>
        <v>83392.800000000003</v>
      </c>
      <c r="G226" s="884">
        <f t="shared" si="19"/>
        <v>63597.599999999999</v>
      </c>
      <c r="H226" s="884">
        <f t="shared" si="22"/>
        <v>24744</v>
      </c>
      <c r="I226" s="816"/>
    </row>
    <row r="227" spans="1:9">
      <c r="A227" s="849" t="s">
        <v>299</v>
      </c>
      <c r="B227" s="865" t="s">
        <v>1870</v>
      </c>
      <c r="C227" s="851" t="s">
        <v>1</v>
      </c>
      <c r="D227" s="884">
        <f>+'15,1,4'!H47</f>
        <v>146982</v>
      </c>
      <c r="E227" s="990">
        <v>117618</v>
      </c>
      <c r="F227" s="884">
        <f t="shared" si="20"/>
        <v>117585.60000000001</v>
      </c>
      <c r="G227" s="884">
        <f t="shared" si="19"/>
        <v>94094.399999999994</v>
      </c>
      <c r="H227" s="884">
        <f t="shared" si="22"/>
        <v>29364</v>
      </c>
      <c r="I227" s="816"/>
    </row>
    <row r="228" spans="1:9">
      <c r="A228" s="849" t="s">
        <v>1915</v>
      </c>
      <c r="B228" s="860" t="s">
        <v>1867</v>
      </c>
      <c r="C228" s="851" t="s">
        <v>1</v>
      </c>
      <c r="D228" s="884">
        <f>'15,1,5'!H47</f>
        <v>174944</v>
      </c>
      <c r="E228" s="990"/>
      <c r="F228" s="884">
        <f t="shared" si="20"/>
        <v>139955.20000000001</v>
      </c>
      <c r="G228" s="884">
        <f t="shared" si="19"/>
        <v>0</v>
      </c>
      <c r="H228" s="884">
        <f t="shared" si="22"/>
        <v>174944</v>
      </c>
      <c r="I228" s="816"/>
    </row>
    <row r="229" spans="1:9">
      <c r="A229" s="849" t="s">
        <v>1916</v>
      </c>
      <c r="B229" s="860" t="s">
        <v>1871</v>
      </c>
      <c r="C229" s="851" t="s">
        <v>1</v>
      </c>
      <c r="D229" s="884">
        <f>+'15,1,6'!H47</f>
        <v>236864</v>
      </c>
      <c r="E229" s="990">
        <v>184167</v>
      </c>
      <c r="F229" s="884">
        <f t="shared" si="20"/>
        <v>189491.20000000001</v>
      </c>
      <c r="G229" s="884">
        <f t="shared" si="19"/>
        <v>147333.6</v>
      </c>
      <c r="H229" s="884">
        <f t="shared" si="22"/>
        <v>52697</v>
      </c>
      <c r="I229" s="816"/>
    </row>
    <row r="230" spans="1:9">
      <c r="A230" s="849" t="s">
        <v>1917</v>
      </c>
      <c r="B230" s="860" t="s">
        <v>1872</v>
      </c>
      <c r="C230" s="851" t="s">
        <v>1</v>
      </c>
      <c r="D230" s="884">
        <f>+'15,1,7'!H47</f>
        <v>305334</v>
      </c>
      <c r="E230" s="990">
        <v>236534</v>
      </c>
      <c r="F230" s="884">
        <f t="shared" si="20"/>
        <v>244267.2</v>
      </c>
      <c r="G230" s="884">
        <f t="shared" si="19"/>
        <v>189227.2</v>
      </c>
      <c r="H230" s="884">
        <f t="shared" si="22"/>
        <v>68800</v>
      </c>
      <c r="I230" s="816"/>
    </row>
    <row r="231" spans="1:9">
      <c r="A231" s="849" t="s">
        <v>1918</v>
      </c>
      <c r="B231" s="860" t="s">
        <v>1873</v>
      </c>
      <c r="C231" s="851" t="s">
        <v>1</v>
      </c>
      <c r="D231" s="884">
        <f>+'15,1,8'!H47</f>
        <v>376049</v>
      </c>
      <c r="E231" s="990">
        <v>293302</v>
      </c>
      <c r="F231" s="884">
        <f t="shared" si="20"/>
        <v>300839.2</v>
      </c>
      <c r="G231" s="884">
        <f t="shared" si="19"/>
        <v>234641.6</v>
      </c>
      <c r="H231" s="884">
        <f t="shared" si="22"/>
        <v>82747</v>
      </c>
      <c r="I231" s="816"/>
    </row>
    <row r="232" spans="1:9" ht="30">
      <c r="A232" s="856">
        <v>16</v>
      </c>
      <c r="B232" s="871" t="s">
        <v>153</v>
      </c>
      <c r="C232" s="880"/>
      <c r="D232" s="867"/>
      <c r="E232" s="867"/>
      <c r="F232" s="884"/>
      <c r="G232" s="884"/>
      <c r="H232" s="867"/>
    </row>
    <row r="233" spans="1:9">
      <c r="A233" s="853">
        <v>16.100000000000001</v>
      </c>
      <c r="B233" s="862" t="s">
        <v>49</v>
      </c>
      <c r="C233" s="851"/>
      <c r="D233" s="886"/>
      <c r="E233" s="886"/>
      <c r="F233" s="884"/>
      <c r="G233" s="884"/>
      <c r="H233" s="886"/>
    </row>
    <row r="234" spans="1:9">
      <c r="A234" s="849" t="s">
        <v>300</v>
      </c>
      <c r="B234" s="865" t="s">
        <v>1868</v>
      </c>
      <c r="C234" s="851" t="s">
        <v>1</v>
      </c>
      <c r="D234" s="884">
        <f>+'16,1,1'!H47</f>
        <v>76932</v>
      </c>
      <c r="E234" s="990">
        <v>60727</v>
      </c>
      <c r="F234" s="884">
        <f t="shared" si="20"/>
        <v>61545.599999999999</v>
      </c>
      <c r="G234" s="884">
        <f t="shared" si="19"/>
        <v>48581.599999999999</v>
      </c>
      <c r="H234" s="884">
        <f>D234-E234</f>
        <v>16205</v>
      </c>
    </row>
    <row r="235" spans="1:9">
      <c r="A235" s="849" t="s">
        <v>301</v>
      </c>
      <c r="B235" s="865" t="s">
        <v>1869</v>
      </c>
      <c r="C235" s="851" t="s">
        <v>1</v>
      </c>
      <c r="D235" s="884">
        <f>+'16,1,2'!H47</f>
        <v>104241</v>
      </c>
      <c r="E235" s="990">
        <v>81257</v>
      </c>
      <c r="F235" s="884">
        <f t="shared" si="20"/>
        <v>83392.800000000003</v>
      </c>
      <c r="G235" s="884">
        <f t="shared" si="19"/>
        <v>65005.599999999999</v>
      </c>
      <c r="H235" s="884">
        <f t="shared" ref="H235:H240" si="23">D235-E235</f>
        <v>22984</v>
      </c>
    </row>
    <row r="236" spans="1:9">
      <c r="A236" s="849" t="s">
        <v>302</v>
      </c>
      <c r="B236" s="865" t="s">
        <v>1870</v>
      </c>
      <c r="C236" s="851" t="s">
        <v>1</v>
      </c>
      <c r="D236" s="884">
        <f>+'16,1,3'!H47</f>
        <v>154597</v>
      </c>
      <c r="E236" s="990">
        <v>120258</v>
      </c>
      <c r="F236" s="884">
        <f t="shared" si="20"/>
        <v>123677.6</v>
      </c>
      <c r="G236" s="884">
        <f t="shared" si="19"/>
        <v>96206.399999999994</v>
      </c>
      <c r="H236" s="884">
        <f t="shared" si="23"/>
        <v>34339</v>
      </c>
    </row>
    <row r="237" spans="1:9">
      <c r="A237" s="849" t="s">
        <v>1919</v>
      </c>
      <c r="B237" s="860" t="s">
        <v>1867</v>
      </c>
      <c r="C237" s="851" t="s">
        <v>1</v>
      </c>
      <c r="D237" s="884">
        <f>'16,1,4'!H47</f>
        <v>160871</v>
      </c>
      <c r="E237" s="990"/>
      <c r="F237" s="884">
        <f t="shared" si="20"/>
        <v>128696.8</v>
      </c>
      <c r="G237" s="884">
        <f t="shared" si="19"/>
        <v>0</v>
      </c>
      <c r="H237" s="884">
        <f t="shared" si="23"/>
        <v>160871</v>
      </c>
    </row>
    <row r="238" spans="1:9">
      <c r="A238" s="849" t="s">
        <v>1920</v>
      </c>
      <c r="B238" s="860" t="s">
        <v>1871</v>
      </c>
      <c r="C238" s="851" t="s">
        <v>1</v>
      </c>
      <c r="D238" s="884">
        <f>+'16,1,5'!H47</f>
        <v>244455</v>
      </c>
      <c r="E238" s="990">
        <v>187703</v>
      </c>
      <c r="F238" s="884">
        <f t="shared" si="20"/>
        <v>195564</v>
      </c>
      <c r="G238" s="884">
        <f t="shared" si="19"/>
        <v>150162.4</v>
      </c>
      <c r="H238" s="884">
        <f t="shared" si="23"/>
        <v>56752</v>
      </c>
    </row>
    <row r="239" spans="1:9">
      <c r="A239" s="849" t="s">
        <v>1921</v>
      </c>
      <c r="B239" s="860" t="s">
        <v>1872</v>
      </c>
      <c r="C239" s="851" t="s">
        <v>1</v>
      </c>
      <c r="D239" s="884">
        <f>+'16,1,6'!H47</f>
        <v>314536</v>
      </c>
      <c r="E239" s="990">
        <v>240463</v>
      </c>
      <c r="F239" s="884">
        <f t="shared" si="20"/>
        <v>251628.79999999999</v>
      </c>
      <c r="G239" s="884">
        <f t="shared" si="19"/>
        <v>192370.4</v>
      </c>
      <c r="H239" s="884">
        <f t="shared" si="23"/>
        <v>74073</v>
      </c>
    </row>
    <row r="240" spans="1:9">
      <c r="A240" s="849" t="s">
        <v>1922</v>
      </c>
      <c r="B240" s="860" t="s">
        <v>1873</v>
      </c>
      <c r="C240" s="851" t="s">
        <v>1</v>
      </c>
      <c r="D240" s="884">
        <f>+'16,1,7'!H47</f>
        <v>387436</v>
      </c>
      <c r="E240" s="990">
        <v>293302</v>
      </c>
      <c r="F240" s="884">
        <f t="shared" si="20"/>
        <v>309948.79999999999</v>
      </c>
      <c r="G240" s="884">
        <f t="shared" si="19"/>
        <v>234641.6</v>
      </c>
      <c r="H240" s="884">
        <f t="shared" si="23"/>
        <v>94134</v>
      </c>
    </row>
    <row r="241" spans="1:8" ht="30">
      <c r="A241" s="856">
        <v>17</v>
      </c>
      <c r="B241" s="871" t="s">
        <v>154</v>
      </c>
      <c r="C241" s="880"/>
      <c r="D241" s="867"/>
      <c r="E241" s="867"/>
      <c r="F241" s="884"/>
      <c r="G241" s="884"/>
      <c r="H241" s="867"/>
    </row>
    <row r="242" spans="1:8">
      <c r="A242" s="853">
        <v>17.100000000000001</v>
      </c>
      <c r="B242" s="862" t="s">
        <v>48</v>
      </c>
      <c r="C242" s="851"/>
      <c r="D242" s="884"/>
      <c r="E242" s="884"/>
      <c r="F242" s="884"/>
      <c r="G242" s="884"/>
      <c r="H242" s="884"/>
    </row>
    <row r="243" spans="1:8">
      <c r="A243" s="849" t="s">
        <v>303</v>
      </c>
      <c r="B243" s="865" t="s">
        <v>142</v>
      </c>
      <c r="C243" s="851" t="s">
        <v>1</v>
      </c>
      <c r="D243" s="884">
        <f>+'17,1,1'!H47</f>
        <v>509693</v>
      </c>
      <c r="E243" s="990">
        <v>383931</v>
      </c>
      <c r="F243" s="884">
        <f t="shared" si="20"/>
        <v>407754.4</v>
      </c>
      <c r="G243" s="884">
        <f t="shared" si="19"/>
        <v>307144.8</v>
      </c>
      <c r="H243" s="884">
        <f>D243-E243</f>
        <v>125762</v>
      </c>
    </row>
    <row r="244" spans="1:8">
      <c r="A244" s="849" t="s">
        <v>304</v>
      </c>
      <c r="B244" s="865" t="s">
        <v>143</v>
      </c>
      <c r="C244" s="851" t="s">
        <v>1</v>
      </c>
      <c r="D244" s="884">
        <f>+'17,1,2'!H47</f>
        <v>583419</v>
      </c>
      <c r="E244" s="990">
        <v>415842</v>
      </c>
      <c r="F244" s="884">
        <f t="shared" si="20"/>
        <v>466735.2</v>
      </c>
      <c r="G244" s="884">
        <f t="shared" si="19"/>
        <v>332673.59999999998</v>
      </c>
      <c r="H244" s="884">
        <f t="shared" ref="H244:H249" si="24">D244-E244</f>
        <v>167577</v>
      </c>
    </row>
    <row r="245" spans="1:8">
      <c r="A245" s="849" t="s">
        <v>305</v>
      </c>
      <c r="B245" s="865" t="s">
        <v>144</v>
      </c>
      <c r="C245" s="851" t="s">
        <v>1</v>
      </c>
      <c r="D245" s="884">
        <f>+'17,1,3'!H48</f>
        <v>761753</v>
      </c>
      <c r="E245" s="990">
        <v>517937</v>
      </c>
      <c r="F245" s="884">
        <f t="shared" si="20"/>
        <v>609402.4</v>
      </c>
      <c r="G245" s="884">
        <f t="shared" si="19"/>
        <v>414349.6</v>
      </c>
      <c r="H245" s="884">
        <f t="shared" si="24"/>
        <v>243816</v>
      </c>
    </row>
    <row r="246" spans="1:8">
      <c r="A246" s="849" t="s">
        <v>306</v>
      </c>
      <c r="B246" s="865" t="s">
        <v>150</v>
      </c>
      <c r="C246" s="851" t="s">
        <v>1</v>
      </c>
      <c r="D246" s="884">
        <f>+'17,1,4'!H48</f>
        <v>932733</v>
      </c>
      <c r="E246" s="990">
        <v>678044</v>
      </c>
      <c r="F246" s="884">
        <f t="shared" si="20"/>
        <v>746186.4</v>
      </c>
      <c r="G246" s="884">
        <f t="shared" si="19"/>
        <v>542435.19999999995</v>
      </c>
      <c r="H246" s="884">
        <f t="shared" si="24"/>
        <v>254689</v>
      </c>
    </row>
    <row r="247" spans="1:8">
      <c r="A247" s="849" t="s">
        <v>307</v>
      </c>
      <c r="B247" s="865" t="s">
        <v>145</v>
      </c>
      <c r="C247" s="851" t="s">
        <v>1</v>
      </c>
      <c r="D247" s="884">
        <f>+'17,1,5'!H48</f>
        <v>1333678</v>
      </c>
      <c r="E247" s="990">
        <v>954228</v>
      </c>
      <c r="F247" s="884">
        <f t="shared" si="20"/>
        <v>1066942.3999999999</v>
      </c>
      <c r="G247" s="884">
        <f t="shared" si="19"/>
        <v>763382.4</v>
      </c>
      <c r="H247" s="884">
        <f t="shared" si="24"/>
        <v>379450</v>
      </c>
    </row>
    <row r="248" spans="1:8">
      <c r="A248" s="849" t="s">
        <v>308</v>
      </c>
      <c r="B248" s="865" t="s">
        <v>151</v>
      </c>
      <c r="C248" s="851" t="s">
        <v>1</v>
      </c>
      <c r="D248" s="884">
        <f>+'17,1,6'!H48</f>
        <v>1809647</v>
      </c>
      <c r="E248" s="990">
        <v>1243858</v>
      </c>
      <c r="F248" s="884">
        <f t="shared" si="20"/>
        <v>1447717.6</v>
      </c>
      <c r="G248" s="884">
        <f t="shared" si="19"/>
        <v>995086.4</v>
      </c>
      <c r="H248" s="884">
        <f t="shared" si="24"/>
        <v>565789</v>
      </c>
    </row>
    <row r="249" spans="1:8">
      <c r="A249" s="849" t="s">
        <v>309</v>
      </c>
      <c r="B249" s="865" t="s">
        <v>152</v>
      </c>
      <c r="C249" s="851" t="s">
        <v>1</v>
      </c>
      <c r="D249" s="884">
        <f>+'17,1,7'!H48</f>
        <v>2063582</v>
      </c>
      <c r="E249" s="990">
        <v>1362019</v>
      </c>
      <c r="F249" s="884">
        <f t="shared" si="20"/>
        <v>1650865.6</v>
      </c>
      <c r="G249" s="884">
        <f t="shared" si="19"/>
        <v>1089615.2</v>
      </c>
      <c r="H249" s="884">
        <f t="shared" si="24"/>
        <v>701563</v>
      </c>
    </row>
    <row r="250" spans="1:8" ht="30">
      <c r="A250" s="856">
        <v>18</v>
      </c>
      <c r="B250" s="871" t="s">
        <v>154</v>
      </c>
      <c r="C250" s="880"/>
      <c r="D250" s="867"/>
      <c r="E250" s="867"/>
      <c r="F250" s="884"/>
      <c r="G250" s="884"/>
      <c r="H250" s="867"/>
    </row>
    <row r="251" spans="1:8">
      <c r="A251" s="853">
        <v>18.100000000000001</v>
      </c>
      <c r="B251" s="862" t="s">
        <v>49</v>
      </c>
      <c r="C251" s="851"/>
      <c r="D251" s="886"/>
      <c r="E251" s="886"/>
      <c r="F251" s="884"/>
      <c r="G251" s="884"/>
      <c r="H251" s="886"/>
    </row>
    <row r="252" spans="1:8">
      <c r="A252" s="849" t="s">
        <v>310</v>
      </c>
      <c r="B252" s="865" t="s">
        <v>142</v>
      </c>
      <c r="C252" s="851" t="s">
        <v>1</v>
      </c>
      <c r="D252" s="884">
        <f>+'18,1,1'!H48</f>
        <v>523962</v>
      </c>
      <c r="E252" s="990">
        <v>388982</v>
      </c>
      <c r="F252" s="884">
        <f t="shared" si="20"/>
        <v>419169.6</v>
      </c>
      <c r="G252" s="884">
        <f t="shared" si="19"/>
        <v>311185.59999999998</v>
      </c>
      <c r="H252" s="884">
        <f>D252-E252</f>
        <v>134980</v>
      </c>
    </row>
    <row r="253" spans="1:8">
      <c r="A253" s="849" t="s">
        <v>311</v>
      </c>
      <c r="B253" s="865" t="s">
        <v>143</v>
      </c>
      <c r="C253" s="851" t="s">
        <v>1</v>
      </c>
      <c r="D253" s="884">
        <f>+'18,1,2'!H48</f>
        <v>595282</v>
      </c>
      <c r="E253" s="990">
        <v>421200</v>
      </c>
      <c r="F253" s="884">
        <f t="shared" si="20"/>
        <v>476225.6</v>
      </c>
      <c r="G253" s="884">
        <f t="shared" si="19"/>
        <v>336960</v>
      </c>
      <c r="H253" s="884">
        <f t="shared" ref="H253:H258" si="25">D253-E253</f>
        <v>174082</v>
      </c>
    </row>
    <row r="254" spans="1:8">
      <c r="A254" s="849" t="s">
        <v>312</v>
      </c>
      <c r="B254" s="865" t="s">
        <v>144</v>
      </c>
      <c r="C254" s="851" t="s">
        <v>1</v>
      </c>
      <c r="D254" s="884">
        <f>+'18,1,3'!H48</f>
        <v>769911</v>
      </c>
      <c r="E254" s="990">
        <v>523640</v>
      </c>
      <c r="F254" s="884">
        <f t="shared" si="20"/>
        <v>615928.80000000005</v>
      </c>
      <c r="G254" s="884">
        <f t="shared" si="19"/>
        <v>418912</v>
      </c>
      <c r="H254" s="884">
        <f t="shared" si="25"/>
        <v>246271</v>
      </c>
    </row>
    <row r="255" spans="1:8">
      <c r="A255" s="849" t="s">
        <v>313</v>
      </c>
      <c r="B255" s="865" t="s">
        <v>150</v>
      </c>
      <c r="C255" s="851" t="s">
        <v>1</v>
      </c>
      <c r="D255" s="884">
        <f>+'18,1,4'!H48</f>
        <v>937918</v>
      </c>
      <c r="E255" s="990">
        <v>684358</v>
      </c>
      <c r="F255" s="884">
        <f t="shared" si="20"/>
        <v>750334.4</v>
      </c>
      <c r="G255" s="884">
        <f t="shared" si="19"/>
        <v>547486.4</v>
      </c>
      <c r="H255" s="884">
        <f t="shared" si="25"/>
        <v>253560</v>
      </c>
    </row>
    <row r="256" spans="1:8">
      <c r="A256" s="849" t="s">
        <v>314</v>
      </c>
      <c r="B256" s="865" t="s">
        <v>145</v>
      </c>
      <c r="C256" s="851" t="s">
        <v>1</v>
      </c>
      <c r="D256" s="884">
        <f>+'18,1,5'!H48</f>
        <v>1333381</v>
      </c>
      <c r="E256" s="990">
        <v>961299</v>
      </c>
      <c r="F256" s="884">
        <f t="shared" si="20"/>
        <v>1066704.8</v>
      </c>
      <c r="G256" s="884">
        <f t="shared" si="19"/>
        <v>769039.2</v>
      </c>
      <c r="H256" s="884">
        <f t="shared" si="25"/>
        <v>372082</v>
      </c>
    </row>
    <row r="257" spans="1:9">
      <c r="A257" s="849" t="s">
        <v>315</v>
      </c>
      <c r="B257" s="865" t="s">
        <v>151</v>
      </c>
      <c r="C257" s="851" t="s">
        <v>1</v>
      </c>
      <c r="D257" s="884">
        <f>+'18,1,6'!H48</f>
        <v>1819701</v>
      </c>
      <c r="E257" s="990">
        <v>1251894</v>
      </c>
      <c r="F257" s="884">
        <f t="shared" si="20"/>
        <v>1455760.8</v>
      </c>
      <c r="G257" s="884">
        <f t="shared" si="19"/>
        <v>1001515.2</v>
      </c>
      <c r="H257" s="884">
        <f t="shared" si="25"/>
        <v>567807</v>
      </c>
    </row>
    <row r="258" spans="1:9">
      <c r="A258" s="849" t="s">
        <v>316</v>
      </c>
      <c r="B258" s="865" t="s">
        <v>152</v>
      </c>
      <c r="C258" s="851" t="s">
        <v>1</v>
      </c>
      <c r="D258" s="884">
        <f>+'18,1,7'!H48</f>
        <v>2075878</v>
      </c>
      <c r="E258" s="990">
        <v>1370858</v>
      </c>
      <c r="F258" s="884">
        <f t="shared" si="20"/>
        <v>1660702.4</v>
      </c>
      <c r="G258" s="884">
        <f t="shared" si="19"/>
        <v>1096686.3999999999</v>
      </c>
      <c r="H258" s="884">
        <f t="shared" si="25"/>
        <v>705020</v>
      </c>
    </row>
    <row r="259" spans="1:9">
      <c r="A259" s="852">
        <v>19</v>
      </c>
      <c r="B259" s="862" t="s">
        <v>155</v>
      </c>
      <c r="C259" s="851"/>
      <c r="D259" s="886"/>
      <c r="E259" s="886"/>
      <c r="F259" s="884"/>
      <c r="G259" s="884"/>
      <c r="H259" s="886"/>
    </row>
    <row r="260" spans="1:9">
      <c r="A260" s="853">
        <v>19.100000000000001</v>
      </c>
      <c r="B260" s="862" t="s">
        <v>50</v>
      </c>
      <c r="C260" s="851"/>
      <c r="D260" s="886"/>
      <c r="E260" s="886"/>
      <c r="F260" s="884"/>
      <c r="G260" s="884"/>
      <c r="H260" s="886"/>
    </row>
    <row r="261" spans="1:9">
      <c r="A261" s="849" t="s">
        <v>317</v>
      </c>
      <c r="B261" s="865" t="s">
        <v>51</v>
      </c>
      <c r="C261" s="851" t="s">
        <v>61</v>
      </c>
      <c r="D261" s="884">
        <f>+'19,1,1'!H49</f>
        <v>477916</v>
      </c>
      <c r="E261" s="990">
        <v>474075</v>
      </c>
      <c r="F261" s="884">
        <f t="shared" si="20"/>
        <v>382332.8</v>
      </c>
      <c r="G261" s="884">
        <f t="shared" si="19"/>
        <v>379260</v>
      </c>
      <c r="H261" s="884">
        <f>D261-E261</f>
        <v>3841</v>
      </c>
    </row>
    <row r="262" spans="1:9">
      <c r="A262" s="849" t="s">
        <v>318</v>
      </c>
      <c r="B262" s="865" t="s">
        <v>156</v>
      </c>
      <c r="C262" s="851" t="s">
        <v>1</v>
      </c>
      <c r="D262" s="884">
        <f>+'19,1,2'!H48</f>
        <v>101249</v>
      </c>
      <c r="E262" s="990">
        <v>91389</v>
      </c>
      <c r="F262" s="884">
        <f t="shared" si="20"/>
        <v>80999.199999999997</v>
      </c>
      <c r="G262" s="884">
        <f t="shared" si="19"/>
        <v>73111.199999999997</v>
      </c>
      <c r="H262" s="884">
        <f t="shared" ref="H262:H275" si="26">D262-E262</f>
        <v>9860</v>
      </c>
    </row>
    <row r="263" spans="1:9">
      <c r="A263" s="849" t="s">
        <v>319</v>
      </c>
      <c r="B263" s="865" t="s">
        <v>52</v>
      </c>
      <c r="C263" s="851" t="s">
        <v>1</v>
      </c>
      <c r="D263" s="884">
        <f>+'19,1,3'!H48</f>
        <v>485345</v>
      </c>
      <c r="E263" s="990">
        <v>393828</v>
      </c>
      <c r="F263" s="884">
        <f t="shared" si="20"/>
        <v>388276</v>
      </c>
      <c r="G263" s="884">
        <f t="shared" si="19"/>
        <v>315062.40000000002</v>
      </c>
      <c r="H263" s="884">
        <f t="shared" si="26"/>
        <v>91517</v>
      </c>
    </row>
    <row r="264" spans="1:9">
      <c r="A264" s="849" t="s">
        <v>320</v>
      </c>
      <c r="B264" s="865" t="s">
        <v>53</v>
      </c>
      <c r="C264" s="851" t="s">
        <v>61</v>
      </c>
      <c r="D264" s="884">
        <f>+'19,1,4'!H48</f>
        <v>434360</v>
      </c>
      <c r="E264" s="990">
        <v>340176</v>
      </c>
      <c r="F264" s="884">
        <f t="shared" si="20"/>
        <v>347488</v>
      </c>
      <c r="G264" s="884">
        <f t="shared" si="19"/>
        <v>272140.79999999999</v>
      </c>
      <c r="H264" s="884">
        <f t="shared" si="26"/>
        <v>94184</v>
      </c>
    </row>
    <row r="265" spans="1:9">
      <c r="A265" s="849" t="s">
        <v>321</v>
      </c>
      <c r="B265" s="865" t="s">
        <v>157</v>
      </c>
      <c r="C265" s="851" t="s">
        <v>61</v>
      </c>
      <c r="D265" s="884">
        <f>+'19,1,5'!H48</f>
        <v>16846</v>
      </c>
      <c r="E265" s="990">
        <v>17643</v>
      </c>
      <c r="F265" s="884">
        <f t="shared" si="20"/>
        <v>13476.8</v>
      </c>
      <c r="G265" s="884">
        <f t="shared" si="19"/>
        <v>14114.4</v>
      </c>
      <c r="H265" s="884">
        <f t="shared" si="26"/>
        <v>-797</v>
      </c>
      <c r="I265" s="554"/>
    </row>
    <row r="266" spans="1:9">
      <c r="A266" s="849" t="s">
        <v>322</v>
      </c>
      <c r="B266" s="865" t="s">
        <v>1863</v>
      </c>
      <c r="C266" s="851" t="s">
        <v>61</v>
      </c>
      <c r="D266" s="884">
        <f>+'19,1,6'!H48</f>
        <v>550357</v>
      </c>
      <c r="E266" s="990">
        <v>358964</v>
      </c>
      <c r="F266" s="884">
        <f t="shared" si="20"/>
        <v>440285.6</v>
      </c>
      <c r="G266" s="884">
        <f t="shared" si="19"/>
        <v>287171.20000000001</v>
      </c>
      <c r="H266" s="884">
        <f t="shared" si="26"/>
        <v>191393</v>
      </c>
      <c r="I266" s="1106"/>
    </row>
    <row r="267" spans="1:9">
      <c r="A267" s="849" t="s">
        <v>323</v>
      </c>
      <c r="B267" s="865" t="s">
        <v>233</v>
      </c>
      <c r="C267" s="851" t="s">
        <v>61</v>
      </c>
      <c r="D267" s="884">
        <f>+'19,1,7'!H48</f>
        <v>403956</v>
      </c>
      <c r="E267" s="990">
        <v>483331</v>
      </c>
      <c r="F267" s="884">
        <f t="shared" si="20"/>
        <v>323164.79999999999</v>
      </c>
      <c r="G267" s="884">
        <f t="shared" si="19"/>
        <v>386664.8</v>
      </c>
      <c r="H267" s="884">
        <f t="shared" si="26"/>
        <v>-79375</v>
      </c>
      <c r="I267" s="1107"/>
    </row>
    <row r="268" spans="1:9" ht="30">
      <c r="A268" s="851" t="s">
        <v>324</v>
      </c>
      <c r="B268" s="866" t="s">
        <v>1829</v>
      </c>
      <c r="C268" s="851" t="s">
        <v>61</v>
      </c>
      <c r="D268" s="885">
        <f>+'19,1,8'!H49</f>
        <v>339293</v>
      </c>
      <c r="E268" s="990">
        <v>332388</v>
      </c>
      <c r="F268" s="884">
        <f t="shared" si="20"/>
        <v>271434.40000000002</v>
      </c>
      <c r="G268" s="884">
        <f t="shared" ref="G268:G331" si="27">+E268/1.25</f>
        <v>265910.40000000002</v>
      </c>
      <c r="H268" s="884">
        <f t="shared" si="26"/>
        <v>6905</v>
      </c>
    </row>
    <row r="269" spans="1:9" ht="30">
      <c r="A269" s="851" t="s">
        <v>325</v>
      </c>
      <c r="B269" s="866" t="s">
        <v>1830</v>
      </c>
      <c r="C269" s="851" t="s">
        <v>61</v>
      </c>
      <c r="D269" s="885">
        <f>+'19,1,9'!H50</f>
        <v>421446</v>
      </c>
      <c r="E269" s="990">
        <v>418784</v>
      </c>
      <c r="F269" s="884">
        <f t="shared" ref="F269:F332" si="28">+D269/1.25</f>
        <v>337156.8</v>
      </c>
      <c r="G269" s="884">
        <f t="shared" si="27"/>
        <v>335027.20000000001</v>
      </c>
      <c r="H269" s="884">
        <f t="shared" si="26"/>
        <v>2662</v>
      </c>
    </row>
    <row r="270" spans="1:9">
      <c r="A270" s="849" t="s">
        <v>326</v>
      </c>
      <c r="B270" s="865" t="s">
        <v>54</v>
      </c>
      <c r="C270" s="851" t="s">
        <v>61</v>
      </c>
      <c r="D270" s="884">
        <f>+'19,1,10'!H50</f>
        <v>524734</v>
      </c>
      <c r="E270" s="990">
        <v>549145</v>
      </c>
      <c r="F270" s="884">
        <f t="shared" si="28"/>
        <v>419787.2</v>
      </c>
      <c r="G270" s="884">
        <f t="shared" si="27"/>
        <v>439316</v>
      </c>
      <c r="H270" s="884">
        <f t="shared" si="26"/>
        <v>-24411</v>
      </c>
    </row>
    <row r="271" spans="1:9">
      <c r="A271" s="849" t="s">
        <v>327</v>
      </c>
      <c r="B271" s="865" t="s">
        <v>158</v>
      </c>
      <c r="C271" s="851" t="s">
        <v>61</v>
      </c>
      <c r="D271" s="884">
        <f>+'19,1,11'!H48</f>
        <v>595753</v>
      </c>
      <c r="E271" s="990">
        <v>598870</v>
      </c>
      <c r="F271" s="884">
        <f t="shared" si="28"/>
        <v>476602.4</v>
      </c>
      <c r="G271" s="884">
        <f t="shared" si="27"/>
        <v>479096</v>
      </c>
      <c r="H271" s="884">
        <f t="shared" si="26"/>
        <v>-3117</v>
      </c>
      <c r="I271" s="552"/>
    </row>
    <row r="272" spans="1:9">
      <c r="A272" s="849" t="s">
        <v>328</v>
      </c>
      <c r="B272" s="865" t="s">
        <v>159</v>
      </c>
      <c r="C272" s="851" t="s">
        <v>1</v>
      </c>
      <c r="D272" s="884">
        <f>+'19,1,12'!H48</f>
        <v>202363</v>
      </c>
      <c r="E272" s="990">
        <v>153337</v>
      </c>
      <c r="F272" s="884">
        <f t="shared" si="28"/>
        <v>161890.4</v>
      </c>
      <c r="G272" s="884">
        <f t="shared" si="27"/>
        <v>122669.6</v>
      </c>
      <c r="H272" s="884">
        <f t="shared" si="26"/>
        <v>49026</v>
      </c>
    </row>
    <row r="273" spans="1:10">
      <c r="A273" s="849" t="s">
        <v>329</v>
      </c>
      <c r="B273" s="865" t="s">
        <v>160</v>
      </c>
      <c r="C273" s="851" t="s">
        <v>1</v>
      </c>
      <c r="D273" s="884">
        <f>+'19,1,13'!H48</f>
        <v>267654</v>
      </c>
      <c r="E273" s="990">
        <v>201977</v>
      </c>
      <c r="F273" s="884">
        <f t="shared" si="28"/>
        <v>214123.2</v>
      </c>
      <c r="G273" s="884">
        <f t="shared" si="27"/>
        <v>161581.6</v>
      </c>
      <c r="H273" s="884">
        <f t="shared" si="26"/>
        <v>65677</v>
      </c>
    </row>
    <row r="274" spans="1:10" ht="17.25">
      <c r="A274" s="849" t="s">
        <v>330</v>
      </c>
      <c r="B274" s="865" t="s">
        <v>161</v>
      </c>
      <c r="C274" s="851" t="s">
        <v>1492</v>
      </c>
      <c r="D274" s="884">
        <f>+'19,1,14'!H48</f>
        <v>575390</v>
      </c>
      <c r="E274" s="990">
        <v>489942</v>
      </c>
      <c r="F274" s="884">
        <f t="shared" si="28"/>
        <v>460312</v>
      </c>
      <c r="G274" s="884">
        <f t="shared" si="27"/>
        <v>391953.6</v>
      </c>
      <c r="H274" s="884">
        <f t="shared" si="26"/>
        <v>85448</v>
      </c>
    </row>
    <row r="275" spans="1:10" ht="30">
      <c r="A275" s="851" t="s">
        <v>331</v>
      </c>
      <c r="B275" s="866" t="s">
        <v>238</v>
      </c>
      <c r="C275" s="851" t="s">
        <v>1</v>
      </c>
      <c r="D275" s="885">
        <f>+'19,1,15'!H48</f>
        <v>129646</v>
      </c>
      <c r="E275" s="1172">
        <v>97298</v>
      </c>
      <c r="F275" s="884">
        <f t="shared" si="28"/>
        <v>103716.8</v>
      </c>
      <c r="G275" s="884">
        <f t="shared" si="27"/>
        <v>77838.399999999994</v>
      </c>
      <c r="H275" s="885">
        <f t="shared" si="26"/>
        <v>32348</v>
      </c>
    </row>
    <row r="276" spans="1:10">
      <c r="A276" s="853">
        <v>19.2</v>
      </c>
      <c r="B276" s="862" t="s">
        <v>55</v>
      </c>
      <c r="C276" s="851"/>
      <c r="D276" s="886"/>
      <c r="E276" s="886"/>
      <c r="F276" s="884"/>
      <c r="G276" s="884"/>
      <c r="H276" s="886"/>
    </row>
    <row r="277" spans="1:10">
      <c r="A277" s="849" t="s">
        <v>332</v>
      </c>
      <c r="B277" s="865" t="s">
        <v>51</v>
      </c>
      <c r="C277" s="851" t="s">
        <v>61</v>
      </c>
      <c r="D277" s="884">
        <f>+'19,2,1'!H47</f>
        <v>710544</v>
      </c>
      <c r="E277" s="990">
        <v>530244</v>
      </c>
      <c r="F277" s="884">
        <f t="shared" si="28"/>
        <v>568435.19999999995</v>
      </c>
      <c r="G277" s="884">
        <f t="shared" si="27"/>
        <v>424195.2</v>
      </c>
      <c r="H277" s="884">
        <f>D277-E277</f>
        <v>180300</v>
      </c>
      <c r="J277" s="551"/>
    </row>
    <row r="278" spans="1:10">
      <c r="A278" s="849" t="s">
        <v>333</v>
      </c>
      <c r="B278" s="865" t="s">
        <v>156</v>
      </c>
      <c r="C278" s="851" t="s">
        <v>1</v>
      </c>
      <c r="D278" s="884">
        <f>+'19,2,2'!H48</f>
        <v>133960</v>
      </c>
      <c r="E278" s="990">
        <v>131855</v>
      </c>
      <c r="F278" s="884">
        <f t="shared" si="28"/>
        <v>107168</v>
      </c>
      <c r="G278" s="884">
        <f t="shared" si="27"/>
        <v>105484</v>
      </c>
      <c r="H278" s="884">
        <f>D278-E278</f>
        <v>2105</v>
      </c>
      <c r="J278" s="551"/>
    </row>
    <row r="279" spans="1:10">
      <c r="A279" s="849" t="s">
        <v>334</v>
      </c>
      <c r="B279" s="865" t="s">
        <v>52</v>
      </c>
      <c r="C279" s="851" t="s">
        <v>1</v>
      </c>
      <c r="D279" s="884">
        <f>+'19,2,3'!H48</f>
        <v>481366</v>
      </c>
      <c r="E279" s="990">
        <v>507830</v>
      </c>
      <c r="F279" s="884">
        <f t="shared" si="28"/>
        <v>385092.8</v>
      </c>
      <c r="G279" s="884">
        <f t="shared" si="27"/>
        <v>406264</v>
      </c>
      <c r="H279" s="884">
        <f>D279-E279</f>
        <v>-26464</v>
      </c>
      <c r="J279" s="551"/>
    </row>
    <row r="280" spans="1:10">
      <c r="A280" s="849" t="s">
        <v>335</v>
      </c>
      <c r="B280" s="865" t="s">
        <v>56</v>
      </c>
      <c r="C280" s="851" t="s">
        <v>61</v>
      </c>
      <c r="D280" s="884">
        <f>+'19,2,4'!H48</f>
        <v>472696</v>
      </c>
      <c r="E280" s="990">
        <v>403340</v>
      </c>
      <c r="F280" s="884">
        <f t="shared" si="28"/>
        <v>378156.79999999999</v>
      </c>
      <c r="G280" s="884">
        <f t="shared" si="27"/>
        <v>322672</v>
      </c>
      <c r="H280" s="884">
        <f>D280-E280</f>
        <v>69356</v>
      </c>
      <c r="J280" s="551"/>
    </row>
    <row r="281" spans="1:10">
      <c r="A281" s="852">
        <v>20</v>
      </c>
      <c r="B281" s="862" t="s">
        <v>57</v>
      </c>
      <c r="C281" s="851"/>
      <c r="D281" s="886"/>
      <c r="E281" s="886"/>
      <c r="F281" s="884"/>
      <c r="G281" s="884"/>
      <c r="H281" s="886"/>
    </row>
    <row r="282" spans="1:10" ht="15" customHeight="1">
      <c r="A282" s="849">
        <v>20.100000000000001</v>
      </c>
      <c r="B282" s="861" t="s">
        <v>1375</v>
      </c>
      <c r="C282" s="851" t="s">
        <v>1</v>
      </c>
      <c r="D282" s="884">
        <f>+'20,1'!H48</f>
        <v>13948</v>
      </c>
      <c r="E282" s="990">
        <v>13854</v>
      </c>
      <c r="F282" s="884">
        <f t="shared" si="28"/>
        <v>11158.4</v>
      </c>
      <c r="G282" s="884">
        <f t="shared" si="27"/>
        <v>11083.2</v>
      </c>
      <c r="H282" s="884">
        <f>D282-E282</f>
        <v>94</v>
      </c>
    </row>
    <row r="283" spans="1:10" ht="17.25">
      <c r="A283" s="849">
        <v>20.399999999999999</v>
      </c>
      <c r="B283" s="875" t="s">
        <v>1376</v>
      </c>
      <c r="C283" s="851" t="s">
        <v>1492</v>
      </c>
      <c r="D283" s="884">
        <f>+'20,4'!H48</f>
        <v>51057</v>
      </c>
      <c r="E283" s="990">
        <v>54470</v>
      </c>
      <c r="F283" s="884">
        <f t="shared" si="28"/>
        <v>40845.599999999999</v>
      </c>
      <c r="G283" s="884">
        <f t="shared" si="27"/>
        <v>43576</v>
      </c>
      <c r="H283" s="884">
        <f t="shared" ref="H283:H292" si="29">D283-E283</f>
        <v>-3413</v>
      </c>
      <c r="I283" s="552"/>
    </row>
    <row r="284" spans="1:10" ht="17.25">
      <c r="A284" s="1100">
        <v>20.5</v>
      </c>
      <c r="B284" s="866" t="s">
        <v>1858</v>
      </c>
      <c r="C284" s="851" t="s">
        <v>1492</v>
      </c>
      <c r="D284" s="884">
        <f>+'20,5'!H48</f>
        <v>100723</v>
      </c>
      <c r="E284" s="990">
        <v>97902</v>
      </c>
      <c r="F284" s="884">
        <f t="shared" si="28"/>
        <v>80578.399999999994</v>
      </c>
      <c r="G284" s="884">
        <f t="shared" si="27"/>
        <v>78321.600000000006</v>
      </c>
      <c r="H284" s="884">
        <f t="shared" si="29"/>
        <v>2821</v>
      </c>
      <c r="I284" s="554"/>
    </row>
    <row r="285" spans="1:10" ht="30">
      <c r="A285" s="851">
        <v>20.6</v>
      </c>
      <c r="B285" s="872" t="s">
        <v>1377</v>
      </c>
      <c r="C285" s="851" t="s">
        <v>61</v>
      </c>
      <c r="D285" s="885">
        <f>+'20,6'!H48</f>
        <v>176480</v>
      </c>
      <c r="E285" s="1173">
        <v>117003</v>
      </c>
      <c r="F285" s="884">
        <f t="shared" si="28"/>
        <v>141184</v>
      </c>
      <c r="G285" s="884">
        <f t="shared" si="27"/>
        <v>93602.4</v>
      </c>
      <c r="H285" s="884">
        <f t="shared" si="29"/>
        <v>59477</v>
      </c>
      <c r="I285" s="554"/>
    </row>
    <row r="286" spans="1:10" ht="30">
      <c r="A286" s="851">
        <v>20.7</v>
      </c>
      <c r="B286" s="873" t="s">
        <v>1378</v>
      </c>
      <c r="C286" s="851" t="s">
        <v>61</v>
      </c>
      <c r="D286" s="885">
        <f>+'20,7'!H48</f>
        <v>251796</v>
      </c>
      <c r="E286" s="990">
        <v>234178</v>
      </c>
      <c r="F286" s="884">
        <f t="shared" si="28"/>
        <v>201436.79999999999</v>
      </c>
      <c r="G286" s="884">
        <f t="shared" si="27"/>
        <v>187342.4</v>
      </c>
      <c r="H286" s="884">
        <f t="shared" si="29"/>
        <v>17618</v>
      </c>
      <c r="I286" s="554"/>
    </row>
    <row r="287" spans="1:10" ht="30">
      <c r="A287" s="851">
        <v>20.8</v>
      </c>
      <c r="B287" s="873" t="s">
        <v>1379</v>
      </c>
      <c r="C287" s="851" t="s">
        <v>61</v>
      </c>
      <c r="D287" s="885">
        <f>+'20,8'!H48</f>
        <v>316251</v>
      </c>
      <c r="E287" s="1172">
        <v>332625</v>
      </c>
      <c r="F287" s="884">
        <f t="shared" si="28"/>
        <v>253000.8</v>
      </c>
      <c r="G287" s="884">
        <f t="shared" si="27"/>
        <v>266100</v>
      </c>
      <c r="H287" s="884">
        <f t="shared" si="29"/>
        <v>-16374</v>
      </c>
      <c r="I287" s="554"/>
    </row>
    <row r="288" spans="1:10" ht="30">
      <c r="A288" s="851">
        <v>20.9</v>
      </c>
      <c r="B288" s="877" t="s">
        <v>1380</v>
      </c>
      <c r="C288" s="851" t="s">
        <v>61</v>
      </c>
      <c r="D288" s="885">
        <f>+'20,9'!H48</f>
        <v>406612</v>
      </c>
      <c r="E288" s="1172">
        <v>368450.8</v>
      </c>
      <c r="F288" s="884">
        <f t="shared" si="28"/>
        <v>325289.59999999998</v>
      </c>
      <c r="G288" s="884">
        <f t="shared" si="27"/>
        <v>294760.64</v>
      </c>
      <c r="H288" s="884">
        <f t="shared" si="29"/>
        <v>38161.200000000012</v>
      </c>
      <c r="I288" s="554"/>
    </row>
    <row r="289" spans="1:9" ht="30">
      <c r="A289" s="1101">
        <v>20.100000000000001</v>
      </c>
      <c r="B289" s="877" t="s">
        <v>1381</v>
      </c>
      <c r="C289" s="851" t="s">
        <v>61</v>
      </c>
      <c r="D289" s="885">
        <f>+'20,10'!H48</f>
        <v>371986</v>
      </c>
      <c r="E289" s="990">
        <v>350599</v>
      </c>
      <c r="F289" s="884">
        <f t="shared" si="28"/>
        <v>297588.8</v>
      </c>
      <c r="G289" s="884">
        <f t="shared" si="27"/>
        <v>280479.2</v>
      </c>
      <c r="H289" s="884">
        <f t="shared" si="29"/>
        <v>21387</v>
      </c>
      <c r="I289" s="554"/>
    </row>
    <row r="290" spans="1:9" ht="30">
      <c r="A290" s="851">
        <v>20.11</v>
      </c>
      <c r="B290" s="877" t="s">
        <v>1382</v>
      </c>
      <c r="C290" s="851" t="s">
        <v>61</v>
      </c>
      <c r="D290" s="885">
        <f>+'20,11'!H48</f>
        <v>378236</v>
      </c>
      <c r="E290" s="990">
        <v>356849</v>
      </c>
      <c r="F290" s="884">
        <f t="shared" si="28"/>
        <v>302588.79999999999</v>
      </c>
      <c r="G290" s="884">
        <f t="shared" si="27"/>
        <v>285479.2</v>
      </c>
      <c r="H290" s="884">
        <f t="shared" si="29"/>
        <v>21387</v>
      </c>
      <c r="I290" s="554"/>
    </row>
    <row r="291" spans="1:9" ht="30">
      <c r="A291" s="851">
        <v>20.12</v>
      </c>
      <c r="B291" s="877" t="s">
        <v>1383</v>
      </c>
      <c r="C291" s="851" t="s">
        <v>61</v>
      </c>
      <c r="D291" s="885">
        <f>+'20,12'!H48</f>
        <v>403695</v>
      </c>
      <c r="E291" s="990">
        <v>389196</v>
      </c>
      <c r="F291" s="884">
        <f t="shared" si="28"/>
        <v>322956</v>
      </c>
      <c r="G291" s="884">
        <f t="shared" si="27"/>
        <v>311356.79999999999</v>
      </c>
      <c r="H291" s="884">
        <f t="shared" si="29"/>
        <v>14499</v>
      </c>
      <c r="I291" s="554"/>
    </row>
    <row r="292" spans="1:9" ht="30">
      <c r="A292" s="1101">
        <v>20.13</v>
      </c>
      <c r="B292" s="877" t="s">
        <v>1384</v>
      </c>
      <c r="C292" s="851" t="s">
        <v>61</v>
      </c>
      <c r="D292" s="885">
        <f>+'20,13'!H48</f>
        <v>418695</v>
      </c>
      <c r="E292" s="1173">
        <v>404196</v>
      </c>
      <c r="F292" s="884">
        <f t="shared" si="28"/>
        <v>334956</v>
      </c>
      <c r="G292" s="884">
        <f t="shared" si="27"/>
        <v>323356.79999999999</v>
      </c>
      <c r="H292" s="884">
        <f t="shared" si="29"/>
        <v>14499</v>
      </c>
      <c r="I292" s="554"/>
    </row>
    <row r="293" spans="1:9">
      <c r="A293" s="849">
        <v>20.14</v>
      </c>
      <c r="B293" s="875" t="s">
        <v>1385</v>
      </c>
      <c r="C293" s="851" t="s">
        <v>61</v>
      </c>
      <c r="D293" s="884">
        <f>+'20,14'!H48</f>
        <v>139630</v>
      </c>
      <c r="E293" s="990">
        <v>90196</v>
      </c>
      <c r="F293" s="884">
        <f t="shared" si="28"/>
        <v>111704</v>
      </c>
      <c r="G293" s="884">
        <f t="shared" si="27"/>
        <v>72156.800000000003</v>
      </c>
      <c r="H293" s="884">
        <f>D293-E293</f>
        <v>49434</v>
      </c>
      <c r="I293" s="554"/>
    </row>
    <row r="294" spans="1:9">
      <c r="A294" s="849">
        <v>20.149999999999999</v>
      </c>
      <c r="B294" s="875" t="s">
        <v>1386</v>
      </c>
      <c r="C294" s="851" t="s">
        <v>61</v>
      </c>
      <c r="D294" s="884">
        <f>+'20,15'!H48</f>
        <v>200761</v>
      </c>
      <c r="E294" s="990">
        <v>134672</v>
      </c>
      <c r="F294" s="884">
        <f t="shared" si="28"/>
        <v>160608.79999999999</v>
      </c>
      <c r="G294" s="884">
        <f t="shared" si="27"/>
        <v>107737.60000000001</v>
      </c>
      <c r="H294" s="884">
        <f t="shared" ref="H294:H304" si="30">D294-E294</f>
        <v>66089</v>
      </c>
      <c r="I294" s="554"/>
    </row>
    <row r="295" spans="1:9">
      <c r="A295" s="850">
        <v>20.16</v>
      </c>
      <c r="B295" s="875" t="s">
        <v>1388</v>
      </c>
      <c r="C295" s="851" t="s">
        <v>61</v>
      </c>
      <c r="D295" s="884">
        <f>+'20,16'!H48</f>
        <v>277762</v>
      </c>
      <c r="E295" s="990">
        <v>200694</v>
      </c>
      <c r="F295" s="884">
        <f t="shared" si="28"/>
        <v>222209.6</v>
      </c>
      <c r="G295" s="884">
        <f t="shared" si="27"/>
        <v>160555.20000000001</v>
      </c>
      <c r="H295" s="884">
        <f t="shared" si="30"/>
        <v>77068</v>
      </c>
      <c r="I295" s="554"/>
    </row>
    <row r="296" spans="1:9">
      <c r="A296" s="849">
        <v>20.170000000000002</v>
      </c>
      <c r="B296" s="875" t="s">
        <v>1389</v>
      </c>
      <c r="C296" s="851" t="s">
        <v>61</v>
      </c>
      <c r="D296" s="884">
        <f>+'20,17'!H48</f>
        <v>303354</v>
      </c>
      <c r="E296" s="990">
        <v>210694</v>
      </c>
      <c r="F296" s="884">
        <f t="shared" si="28"/>
        <v>242683.2</v>
      </c>
      <c r="G296" s="884">
        <f t="shared" si="27"/>
        <v>168555.2</v>
      </c>
      <c r="H296" s="884">
        <f t="shared" si="30"/>
        <v>92660</v>
      </c>
      <c r="I296" s="554"/>
    </row>
    <row r="297" spans="1:9">
      <c r="A297" s="849">
        <v>20.18</v>
      </c>
      <c r="B297" s="875" t="s">
        <v>1390</v>
      </c>
      <c r="C297" s="851" t="s">
        <v>61</v>
      </c>
      <c r="D297" s="884">
        <f>+'20,18'!H48</f>
        <v>359034</v>
      </c>
      <c r="E297" s="990">
        <v>248194</v>
      </c>
      <c r="F297" s="884">
        <f t="shared" si="28"/>
        <v>287227.2</v>
      </c>
      <c r="G297" s="884">
        <f t="shared" si="27"/>
        <v>198555.2</v>
      </c>
      <c r="H297" s="884">
        <f t="shared" si="30"/>
        <v>110840</v>
      </c>
      <c r="I297" s="554"/>
    </row>
    <row r="298" spans="1:9">
      <c r="A298" s="850">
        <v>20.190000000000001</v>
      </c>
      <c r="B298" s="875" t="s">
        <v>1391</v>
      </c>
      <c r="C298" s="851" t="s">
        <v>61</v>
      </c>
      <c r="D298" s="884">
        <f>+'20,19'!H48</f>
        <v>425787</v>
      </c>
      <c r="E298" s="990">
        <v>306922</v>
      </c>
      <c r="F298" s="884">
        <f t="shared" si="28"/>
        <v>340629.6</v>
      </c>
      <c r="G298" s="884">
        <f t="shared" si="27"/>
        <v>245537.6</v>
      </c>
      <c r="H298" s="884">
        <f t="shared" si="30"/>
        <v>118865</v>
      </c>
      <c r="I298" s="554"/>
    </row>
    <row r="299" spans="1:9">
      <c r="A299" s="850">
        <v>20.2</v>
      </c>
      <c r="B299" s="875" t="s">
        <v>1392</v>
      </c>
      <c r="C299" s="851" t="s">
        <v>61</v>
      </c>
      <c r="D299" s="884">
        <f>+'20,20'!H48</f>
        <v>522067</v>
      </c>
      <c r="E299" s="990">
        <v>370672</v>
      </c>
      <c r="F299" s="884">
        <f t="shared" si="28"/>
        <v>417653.6</v>
      </c>
      <c r="G299" s="884">
        <f t="shared" si="27"/>
        <v>296537.59999999998</v>
      </c>
      <c r="H299" s="884">
        <f t="shared" si="30"/>
        <v>151395</v>
      </c>
      <c r="I299" s="554"/>
    </row>
    <row r="300" spans="1:9">
      <c r="A300" s="849">
        <v>20.21</v>
      </c>
      <c r="B300" s="875" t="s">
        <v>1393</v>
      </c>
      <c r="C300" s="851" t="s">
        <v>61</v>
      </c>
      <c r="D300" s="884">
        <f>+'20,21'!H48</f>
        <v>706217</v>
      </c>
      <c r="E300" s="990">
        <v>411922</v>
      </c>
      <c r="F300" s="884">
        <f t="shared" si="28"/>
        <v>564973.6</v>
      </c>
      <c r="G300" s="884">
        <f t="shared" si="27"/>
        <v>329537.59999999998</v>
      </c>
      <c r="H300" s="884">
        <f t="shared" si="30"/>
        <v>294295</v>
      </c>
      <c r="I300" s="554"/>
    </row>
    <row r="301" spans="1:9">
      <c r="A301" s="849">
        <v>20.22</v>
      </c>
      <c r="B301" s="875" t="s">
        <v>1394</v>
      </c>
      <c r="C301" s="851" t="s">
        <v>61</v>
      </c>
      <c r="D301" s="884">
        <f>+'20,22'!H48</f>
        <v>96288</v>
      </c>
      <c r="E301" s="990">
        <v>42321</v>
      </c>
      <c r="F301" s="884">
        <f t="shared" si="28"/>
        <v>77030.399999999994</v>
      </c>
      <c r="G301" s="884">
        <f t="shared" si="27"/>
        <v>33856.800000000003</v>
      </c>
      <c r="H301" s="884">
        <f t="shared" si="30"/>
        <v>53967</v>
      </c>
      <c r="I301" s="554"/>
    </row>
    <row r="302" spans="1:9">
      <c r="A302" s="850">
        <v>20.23</v>
      </c>
      <c r="B302" s="875" t="s">
        <v>1395</v>
      </c>
      <c r="C302" s="851" t="s">
        <v>61</v>
      </c>
      <c r="D302" s="884">
        <f>+'20,23'!H48</f>
        <v>126133</v>
      </c>
      <c r="E302" s="990">
        <v>56786</v>
      </c>
      <c r="F302" s="884">
        <f t="shared" si="28"/>
        <v>100906.4</v>
      </c>
      <c r="G302" s="884">
        <f t="shared" si="27"/>
        <v>45428.800000000003</v>
      </c>
      <c r="H302" s="884">
        <f t="shared" si="30"/>
        <v>69347</v>
      </c>
      <c r="I302" s="554"/>
    </row>
    <row r="303" spans="1:9">
      <c r="A303" s="849">
        <v>20.239999999999998</v>
      </c>
      <c r="B303" s="875" t="s">
        <v>1396</v>
      </c>
      <c r="C303" s="851" t="s">
        <v>61</v>
      </c>
      <c r="D303" s="884">
        <f>+'20,24'!H48</f>
        <v>179133</v>
      </c>
      <c r="E303" s="990">
        <v>77143</v>
      </c>
      <c r="F303" s="884">
        <f t="shared" si="28"/>
        <v>143306.4</v>
      </c>
      <c r="G303" s="884">
        <f t="shared" si="27"/>
        <v>61714.400000000001</v>
      </c>
      <c r="H303" s="884">
        <f t="shared" si="30"/>
        <v>101990</v>
      </c>
      <c r="I303" s="554"/>
    </row>
    <row r="304" spans="1:9">
      <c r="A304" s="849">
        <v>20.25</v>
      </c>
      <c r="B304" s="875" t="s">
        <v>1397</v>
      </c>
      <c r="C304" s="851" t="s">
        <v>61</v>
      </c>
      <c r="D304" s="884">
        <f>+'20,25'!H48</f>
        <v>215323</v>
      </c>
      <c r="E304" s="990">
        <v>104821</v>
      </c>
      <c r="F304" s="884">
        <f t="shared" si="28"/>
        <v>172258.4</v>
      </c>
      <c r="G304" s="884">
        <f t="shared" si="27"/>
        <v>83856.800000000003</v>
      </c>
      <c r="H304" s="884">
        <f t="shared" si="30"/>
        <v>110502</v>
      </c>
      <c r="I304" s="554"/>
    </row>
    <row r="305" spans="1:11">
      <c r="A305" s="849">
        <v>20.260000000000002</v>
      </c>
      <c r="B305" s="875" t="s">
        <v>1865</v>
      </c>
      <c r="C305" s="851" t="s">
        <v>1387</v>
      </c>
      <c r="D305" s="884">
        <f>+'20,26'!H48</f>
        <v>1624463</v>
      </c>
      <c r="E305" s="990">
        <v>1296094</v>
      </c>
      <c r="F305" s="884">
        <f t="shared" si="28"/>
        <v>1299570.3999999999</v>
      </c>
      <c r="G305" s="884">
        <f t="shared" si="27"/>
        <v>1036875.2</v>
      </c>
      <c r="H305" s="884">
        <f>D305-E305</f>
        <v>328369</v>
      </c>
      <c r="I305" s="554"/>
    </row>
    <row r="306" spans="1:11">
      <c r="A306" s="849">
        <v>20.27</v>
      </c>
      <c r="B306" s="875" t="s">
        <v>1398</v>
      </c>
      <c r="C306" s="851" t="s">
        <v>28</v>
      </c>
      <c r="D306" s="884">
        <f>+'20,27'!H48</f>
        <v>11387</v>
      </c>
      <c r="E306" s="990">
        <v>8610</v>
      </c>
      <c r="F306" s="884">
        <f t="shared" si="28"/>
        <v>9109.6</v>
      </c>
      <c r="G306" s="884">
        <f t="shared" si="27"/>
        <v>6888</v>
      </c>
      <c r="H306" s="884">
        <f t="shared" ref="H306:H319" si="31">D306-E306</f>
        <v>2777</v>
      </c>
      <c r="I306" s="554"/>
    </row>
    <row r="307" spans="1:11">
      <c r="A307" s="849">
        <v>20.28</v>
      </c>
      <c r="B307" s="875" t="s">
        <v>1399</v>
      </c>
      <c r="C307" s="851" t="s">
        <v>1387</v>
      </c>
      <c r="D307" s="884">
        <f>+'20,28'!H48</f>
        <v>2628277</v>
      </c>
      <c r="E307" s="990">
        <v>2225098</v>
      </c>
      <c r="F307" s="884">
        <f t="shared" si="28"/>
        <v>2102621.6</v>
      </c>
      <c r="G307" s="884">
        <f t="shared" si="27"/>
        <v>1780078.4</v>
      </c>
      <c r="H307" s="884">
        <f t="shared" si="31"/>
        <v>403179</v>
      </c>
      <c r="I307" s="554"/>
    </row>
    <row r="308" spans="1:11">
      <c r="A308" s="849">
        <v>20.29</v>
      </c>
      <c r="B308" s="875" t="s">
        <v>1400</v>
      </c>
      <c r="C308" s="851" t="s">
        <v>1</v>
      </c>
      <c r="D308" s="884">
        <f>+'20,29'!H50</f>
        <v>57916</v>
      </c>
      <c r="E308" s="990">
        <v>11885</v>
      </c>
      <c r="F308" s="884">
        <f t="shared" si="28"/>
        <v>46332.800000000003</v>
      </c>
      <c r="G308" s="884">
        <f t="shared" si="27"/>
        <v>9508</v>
      </c>
      <c r="H308" s="884">
        <f t="shared" si="31"/>
        <v>46031</v>
      </c>
      <c r="I308" s="554"/>
    </row>
    <row r="309" spans="1:11">
      <c r="A309" s="850">
        <v>20.3</v>
      </c>
      <c r="B309" s="875" t="s">
        <v>1401</v>
      </c>
      <c r="C309" s="851" t="s">
        <v>61</v>
      </c>
      <c r="D309" s="884">
        <f>+'20,30'!H48</f>
        <v>28868</v>
      </c>
      <c r="E309" s="990">
        <v>13453</v>
      </c>
      <c r="F309" s="884">
        <f t="shared" si="28"/>
        <v>23094.400000000001</v>
      </c>
      <c r="G309" s="884">
        <f t="shared" si="27"/>
        <v>10762.4</v>
      </c>
      <c r="H309" s="884">
        <f t="shared" si="31"/>
        <v>15415</v>
      </c>
      <c r="I309" s="554"/>
    </row>
    <row r="310" spans="1:11">
      <c r="A310" s="849">
        <v>20.309999999999999</v>
      </c>
      <c r="B310" s="865" t="s">
        <v>168</v>
      </c>
      <c r="C310" s="851" t="s">
        <v>1</v>
      </c>
      <c r="D310" s="884">
        <f>+'20,31'!H48</f>
        <v>49606</v>
      </c>
      <c r="E310" s="990">
        <v>67508</v>
      </c>
      <c r="F310" s="884">
        <f t="shared" si="28"/>
        <v>39684.800000000003</v>
      </c>
      <c r="G310" s="884">
        <f t="shared" si="27"/>
        <v>54006.400000000001</v>
      </c>
      <c r="H310" s="884">
        <f t="shared" si="31"/>
        <v>-17902</v>
      </c>
    </row>
    <row r="311" spans="1:11">
      <c r="A311" s="849">
        <v>20.32</v>
      </c>
      <c r="B311" s="865" t="s">
        <v>169</v>
      </c>
      <c r="C311" s="851" t="s">
        <v>1</v>
      </c>
      <c r="D311" s="884">
        <f>+'20,32'!H48</f>
        <v>26257</v>
      </c>
      <c r="E311" s="990">
        <v>20033</v>
      </c>
      <c r="F311" s="884">
        <f t="shared" si="28"/>
        <v>21005.599999999999</v>
      </c>
      <c r="G311" s="884">
        <f t="shared" si="27"/>
        <v>16026.4</v>
      </c>
      <c r="H311" s="884">
        <f t="shared" si="31"/>
        <v>6224</v>
      </c>
    </row>
    <row r="312" spans="1:11" ht="17.25">
      <c r="A312" s="849">
        <v>20.329999999999998</v>
      </c>
      <c r="B312" s="865" t="s">
        <v>170</v>
      </c>
      <c r="C312" s="851" t="s">
        <v>1492</v>
      </c>
      <c r="D312" s="884">
        <f>+'20,33'!H49</f>
        <v>294957</v>
      </c>
      <c r="E312" s="990">
        <v>203867</v>
      </c>
      <c r="F312" s="884">
        <f t="shared" si="28"/>
        <v>235965.6</v>
      </c>
      <c r="G312" s="884">
        <f t="shared" si="27"/>
        <v>163093.6</v>
      </c>
      <c r="H312" s="884">
        <f t="shared" si="31"/>
        <v>91090</v>
      </c>
    </row>
    <row r="313" spans="1:11">
      <c r="A313" s="849">
        <v>20.34</v>
      </c>
      <c r="B313" s="865" t="s">
        <v>171</v>
      </c>
      <c r="C313" s="851" t="s">
        <v>172</v>
      </c>
      <c r="D313" s="884">
        <f>+'20,34'!H48</f>
        <v>6418</v>
      </c>
      <c r="E313" s="990">
        <v>5415</v>
      </c>
      <c r="F313" s="884">
        <f t="shared" si="28"/>
        <v>5134.3999999999996</v>
      </c>
      <c r="G313" s="884">
        <f t="shared" si="27"/>
        <v>4332</v>
      </c>
      <c r="H313" s="884">
        <f t="shared" si="31"/>
        <v>1003</v>
      </c>
    </row>
    <row r="314" spans="1:11" ht="17.25">
      <c r="A314" s="849">
        <v>20.350000000000001</v>
      </c>
      <c r="B314" s="865" t="s">
        <v>173</v>
      </c>
      <c r="C314" s="851" t="s">
        <v>1626</v>
      </c>
      <c r="D314" s="884">
        <f>+'20,35'!H47</f>
        <v>15379</v>
      </c>
      <c r="E314" s="990">
        <v>11040</v>
      </c>
      <c r="F314" s="884">
        <f t="shared" si="28"/>
        <v>12303.2</v>
      </c>
      <c r="G314" s="884">
        <f t="shared" si="27"/>
        <v>8832</v>
      </c>
      <c r="H314" s="884">
        <f t="shared" si="31"/>
        <v>4339</v>
      </c>
    </row>
    <row r="315" spans="1:11">
      <c r="A315" s="849">
        <v>20.36</v>
      </c>
      <c r="B315" s="865" t="s">
        <v>174</v>
      </c>
      <c r="C315" s="851" t="s">
        <v>60</v>
      </c>
      <c r="D315" s="884">
        <f>+'20,36'!H48</f>
        <v>57363</v>
      </c>
      <c r="E315" s="990">
        <v>62438</v>
      </c>
      <c r="F315" s="884">
        <f t="shared" si="28"/>
        <v>45890.400000000001</v>
      </c>
      <c r="G315" s="884">
        <f t="shared" si="27"/>
        <v>49950.400000000001</v>
      </c>
      <c r="H315" s="884">
        <f t="shared" si="31"/>
        <v>-5075</v>
      </c>
    </row>
    <row r="316" spans="1:11">
      <c r="A316" s="849">
        <v>20.37</v>
      </c>
      <c r="B316" s="865" t="s">
        <v>74</v>
      </c>
      <c r="C316" s="851" t="s">
        <v>2</v>
      </c>
      <c r="D316" s="884">
        <f>+'20,37'!H48</f>
        <v>625740</v>
      </c>
      <c r="E316" s="990">
        <v>623295</v>
      </c>
      <c r="F316" s="884">
        <f t="shared" si="28"/>
        <v>500592</v>
      </c>
      <c r="G316" s="884">
        <f t="shared" si="27"/>
        <v>498636</v>
      </c>
      <c r="H316" s="884">
        <f t="shared" si="31"/>
        <v>2445</v>
      </c>
    </row>
    <row r="317" spans="1:11">
      <c r="A317" s="849">
        <v>20.38</v>
      </c>
      <c r="B317" s="865" t="s">
        <v>75</v>
      </c>
      <c r="C317" s="851" t="s">
        <v>2</v>
      </c>
      <c r="D317" s="884">
        <f>+'20,38'!H48</f>
        <v>1061387</v>
      </c>
      <c r="E317" s="990">
        <v>1048186</v>
      </c>
      <c r="F317" s="884">
        <f t="shared" si="28"/>
        <v>849109.6</v>
      </c>
      <c r="G317" s="884">
        <f t="shared" si="27"/>
        <v>838548.8</v>
      </c>
      <c r="H317" s="884">
        <f t="shared" si="31"/>
        <v>13201</v>
      </c>
    </row>
    <row r="318" spans="1:11">
      <c r="A318" s="849">
        <v>20.39</v>
      </c>
      <c r="B318" s="865" t="s">
        <v>76</v>
      </c>
      <c r="C318" s="851" t="s">
        <v>2</v>
      </c>
      <c r="D318" s="884">
        <f>+'20,39'!H48</f>
        <v>1251826</v>
      </c>
      <c r="E318" s="990">
        <v>1238400</v>
      </c>
      <c r="F318" s="884">
        <f t="shared" si="28"/>
        <v>1001460.8</v>
      </c>
      <c r="G318" s="884">
        <f t="shared" si="27"/>
        <v>990720</v>
      </c>
      <c r="H318" s="884">
        <f t="shared" si="31"/>
        <v>13426</v>
      </c>
    </row>
    <row r="319" spans="1:11">
      <c r="A319" s="850">
        <v>20.399999999999999</v>
      </c>
      <c r="B319" s="865" t="s">
        <v>77</v>
      </c>
      <c r="C319" s="851" t="s">
        <v>2</v>
      </c>
      <c r="D319" s="884">
        <f>+'20,40'!H48</f>
        <v>2557669</v>
      </c>
      <c r="E319" s="990">
        <v>2516544</v>
      </c>
      <c r="F319" s="884">
        <f t="shared" si="28"/>
        <v>2046135.2</v>
      </c>
      <c r="G319" s="884">
        <f t="shared" si="27"/>
        <v>2013235.2</v>
      </c>
      <c r="H319" s="884">
        <f t="shared" si="31"/>
        <v>41125</v>
      </c>
      <c r="K319" s="847"/>
    </row>
    <row r="320" spans="1:11" ht="17.25">
      <c r="A320" s="850">
        <v>20.41</v>
      </c>
      <c r="B320" s="860" t="s">
        <v>1981</v>
      </c>
      <c r="C320" s="851" t="s">
        <v>1626</v>
      </c>
      <c r="D320" s="884">
        <f>'20,41'!H48</f>
        <v>16609</v>
      </c>
      <c r="E320" s="990"/>
      <c r="F320" s="884">
        <f t="shared" si="28"/>
        <v>13287.2</v>
      </c>
      <c r="G320" s="884">
        <f t="shared" si="27"/>
        <v>0</v>
      </c>
      <c r="H320" s="884"/>
    </row>
    <row r="321" spans="1:11" ht="17.25">
      <c r="A321" s="850">
        <v>20.420000000000002</v>
      </c>
      <c r="B321" s="860" t="s">
        <v>1982</v>
      </c>
      <c r="C321" s="851" t="s">
        <v>1626</v>
      </c>
      <c r="D321" s="884">
        <f>+'20,42'!H48</f>
        <v>24524</v>
      </c>
      <c r="E321" s="990"/>
      <c r="F321" s="884">
        <f t="shared" si="28"/>
        <v>19619.2</v>
      </c>
      <c r="G321" s="884">
        <f t="shared" si="27"/>
        <v>0</v>
      </c>
      <c r="H321" s="884"/>
    </row>
    <row r="322" spans="1:11" ht="17.25">
      <c r="A322" s="850">
        <v>20.43</v>
      </c>
      <c r="B322" s="860" t="s">
        <v>1983</v>
      </c>
      <c r="C322" s="851" t="s">
        <v>1626</v>
      </c>
      <c r="D322" s="884">
        <f>+'20,43'!H48</f>
        <v>27428</v>
      </c>
      <c r="E322" s="990"/>
      <c r="F322" s="884">
        <f t="shared" si="28"/>
        <v>21942.400000000001</v>
      </c>
      <c r="G322" s="884">
        <f t="shared" si="27"/>
        <v>0</v>
      </c>
      <c r="H322" s="884"/>
    </row>
    <row r="323" spans="1:11" ht="17.25">
      <c r="A323" s="850">
        <v>20.440000000000001</v>
      </c>
      <c r="B323" s="860" t="s">
        <v>1984</v>
      </c>
      <c r="C323" s="851" t="s">
        <v>1626</v>
      </c>
      <c r="D323" s="884">
        <f>+'20,44'!H48</f>
        <v>41325</v>
      </c>
      <c r="E323" s="990"/>
      <c r="F323" s="884">
        <f t="shared" si="28"/>
        <v>33060</v>
      </c>
      <c r="G323" s="884">
        <f t="shared" si="27"/>
        <v>0</v>
      </c>
      <c r="H323" s="884"/>
    </row>
    <row r="324" spans="1:11">
      <c r="A324" s="1102">
        <v>8</v>
      </c>
      <c r="B324" s="1102" t="s">
        <v>1060</v>
      </c>
      <c r="C324" s="881"/>
      <c r="D324" s="884"/>
      <c r="E324" s="884"/>
      <c r="F324" s="884"/>
      <c r="G324" s="884"/>
      <c r="H324" s="884"/>
      <c r="K324" s="845"/>
    </row>
    <row r="325" spans="1:11">
      <c r="A325" s="857" t="s">
        <v>1061</v>
      </c>
      <c r="B325" s="874" t="s">
        <v>1333</v>
      </c>
      <c r="C325" s="881" t="s">
        <v>61</v>
      </c>
      <c r="D325" s="884">
        <f>+'8,1'!H47</f>
        <v>10644</v>
      </c>
      <c r="E325" s="990">
        <v>5864</v>
      </c>
      <c r="F325" s="884">
        <f t="shared" si="28"/>
        <v>8515.2000000000007</v>
      </c>
      <c r="G325" s="884">
        <f t="shared" si="27"/>
        <v>4691.2</v>
      </c>
      <c r="H325" s="884">
        <f>D325-E325</f>
        <v>4780</v>
      </c>
    </row>
    <row r="326" spans="1:11">
      <c r="A326" s="857" t="s">
        <v>1062</v>
      </c>
      <c r="B326" s="865" t="s">
        <v>1334</v>
      </c>
      <c r="C326" s="881" t="s">
        <v>61</v>
      </c>
      <c r="D326" s="884">
        <f>+'8,2'!H47</f>
        <v>10644</v>
      </c>
      <c r="E326" s="990">
        <v>5864</v>
      </c>
      <c r="F326" s="884">
        <f t="shared" si="28"/>
        <v>8515.2000000000007</v>
      </c>
      <c r="G326" s="884">
        <f t="shared" si="27"/>
        <v>4691.2</v>
      </c>
      <c r="H326" s="884">
        <f t="shared" ref="H326:H340" si="32">D326-E326</f>
        <v>4780</v>
      </c>
    </row>
    <row r="327" spans="1:11">
      <c r="A327" s="857" t="s">
        <v>1063</v>
      </c>
      <c r="B327" s="865" t="s">
        <v>1335</v>
      </c>
      <c r="C327" s="881" t="s">
        <v>61</v>
      </c>
      <c r="D327" s="884">
        <f>+'8,3'!H48</f>
        <v>12272</v>
      </c>
      <c r="E327" s="990">
        <v>11728</v>
      </c>
      <c r="F327" s="884">
        <f t="shared" si="28"/>
        <v>9817.6</v>
      </c>
      <c r="G327" s="884">
        <f t="shared" si="27"/>
        <v>9382.4</v>
      </c>
      <c r="H327" s="884">
        <f t="shared" si="32"/>
        <v>544</v>
      </c>
    </row>
    <row r="328" spans="1:11">
      <c r="A328" s="857" t="s">
        <v>1064</v>
      </c>
      <c r="B328" s="865" t="s">
        <v>1336</v>
      </c>
      <c r="C328" s="881" t="s">
        <v>61</v>
      </c>
      <c r="D328" s="884">
        <f>+'8,4'!H48</f>
        <v>28202</v>
      </c>
      <c r="E328" s="990">
        <v>24440</v>
      </c>
      <c r="F328" s="884">
        <f t="shared" si="28"/>
        <v>22561.599999999999</v>
      </c>
      <c r="G328" s="884">
        <f t="shared" si="27"/>
        <v>19552</v>
      </c>
      <c r="H328" s="884">
        <f t="shared" si="32"/>
        <v>3762</v>
      </c>
    </row>
    <row r="329" spans="1:11">
      <c r="A329" s="857" t="s">
        <v>1065</v>
      </c>
      <c r="B329" s="865" t="s">
        <v>1338</v>
      </c>
      <c r="C329" s="881" t="s">
        <v>61</v>
      </c>
      <c r="D329" s="884">
        <f>+'8,5'!H48</f>
        <v>70505</v>
      </c>
      <c r="E329" s="990">
        <v>59539</v>
      </c>
      <c r="F329" s="884">
        <f t="shared" si="28"/>
        <v>56404</v>
      </c>
      <c r="G329" s="884">
        <f t="shared" si="27"/>
        <v>47631.199999999997</v>
      </c>
      <c r="H329" s="884">
        <f t="shared" si="32"/>
        <v>10966</v>
      </c>
    </row>
    <row r="330" spans="1:11">
      <c r="A330" s="857" t="s">
        <v>1066</v>
      </c>
      <c r="B330" s="865" t="s">
        <v>1337</v>
      </c>
      <c r="C330" s="881" t="s">
        <v>61</v>
      </c>
      <c r="D330" s="884">
        <f>+'8,6'!H48</f>
        <v>149982</v>
      </c>
      <c r="E330" s="990">
        <v>120069</v>
      </c>
      <c r="F330" s="884">
        <f t="shared" si="28"/>
        <v>119985.60000000001</v>
      </c>
      <c r="G330" s="884">
        <f t="shared" si="27"/>
        <v>96055.2</v>
      </c>
      <c r="H330" s="884">
        <f t="shared" si="32"/>
        <v>29913</v>
      </c>
    </row>
    <row r="331" spans="1:11">
      <c r="A331" s="857" t="s">
        <v>1067</v>
      </c>
      <c r="B331" s="875" t="s">
        <v>1339</v>
      </c>
      <c r="C331" s="881" t="s">
        <v>61</v>
      </c>
      <c r="D331" s="884">
        <f>+'8,7'!H48</f>
        <v>64953</v>
      </c>
      <c r="E331" s="990">
        <v>54471</v>
      </c>
      <c r="F331" s="884">
        <f t="shared" si="28"/>
        <v>51962.400000000001</v>
      </c>
      <c r="G331" s="884">
        <f t="shared" si="27"/>
        <v>43576.800000000003</v>
      </c>
      <c r="H331" s="884">
        <f t="shared" si="32"/>
        <v>10482</v>
      </c>
    </row>
    <row r="332" spans="1:11">
      <c r="A332" s="857" t="s">
        <v>1068</v>
      </c>
      <c r="B332" s="875" t="s">
        <v>1340</v>
      </c>
      <c r="C332" s="881" t="s">
        <v>61</v>
      </c>
      <c r="D332" s="884">
        <f>+'8,8'!H48</f>
        <v>160175</v>
      </c>
      <c r="E332" s="990">
        <v>131288</v>
      </c>
      <c r="F332" s="884">
        <f t="shared" si="28"/>
        <v>128140</v>
      </c>
      <c r="G332" s="884">
        <f t="shared" ref="G332:G395" si="33">+E332/1.25</f>
        <v>105030.39999999999</v>
      </c>
      <c r="H332" s="884">
        <f t="shared" si="32"/>
        <v>28887</v>
      </c>
    </row>
    <row r="333" spans="1:11">
      <c r="A333" s="857" t="s">
        <v>1069</v>
      </c>
      <c r="B333" s="875" t="s">
        <v>1341</v>
      </c>
      <c r="C333" s="881" t="s">
        <v>61</v>
      </c>
      <c r="D333" s="884">
        <f>+'8,9'!H48</f>
        <v>274968</v>
      </c>
      <c r="E333" s="990">
        <v>223513</v>
      </c>
      <c r="F333" s="884">
        <f t="shared" ref="F333:F396" si="34">+D333/1.25</f>
        <v>219974.39999999999</v>
      </c>
      <c r="G333" s="884">
        <f t="shared" si="33"/>
        <v>178810.4</v>
      </c>
      <c r="H333" s="884">
        <f t="shared" si="32"/>
        <v>51455</v>
      </c>
    </row>
    <row r="334" spans="1:11">
      <c r="A334" s="857" t="s">
        <v>1070</v>
      </c>
      <c r="B334" s="875" t="s">
        <v>1342</v>
      </c>
      <c r="C334" s="881" t="s">
        <v>61</v>
      </c>
      <c r="D334" s="884">
        <f>+'8,10'!H48</f>
        <v>343710</v>
      </c>
      <c r="E334" s="990">
        <v>281076</v>
      </c>
      <c r="F334" s="884">
        <f t="shared" si="34"/>
        <v>274968</v>
      </c>
      <c r="G334" s="884">
        <f t="shared" si="33"/>
        <v>224860.79999999999</v>
      </c>
      <c r="H334" s="884">
        <f t="shared" si="32"/>
        <v>62634</v>
      </c>
    </row>
    <row r="335" spans="1:11">
      <c r="A335" s="857" t="s">
        <v>1071</v>
      </c>
      <c r="B335" s="875" t="s">
        <v>1343</v>
      </c>
      <c r="C335" s="881" t="s">
        <v>61</v>
      </c>
      <c r="D335" s="884">
        <f>+'8,11'!H48</f>
        <v>104418</v>
      </c>
      <c r="E335" s="990">
        <v>86049</v>
      </c>
      <c r="F335" s="884">
        <f t="shared" si="34"/>
        <v>83534.399999999994</v>
      </c>
      <c r="G335" s="884">
        <f t="shared" si="33"/>
        <v>68839.199999999997</v>
      </c>
      <c r="H335" s="884">
        <f t="shared" si="32"/>
        <v>18369</v>
      </c>
    </row>
    <row r="336" spans="1:11">
      <c r="A336" s="857" t="s">
        <v>1072</v>
      </c>
      <c r="B336" s="875" t="s">
        <v>1344</v>
      </c>
      <c r="C336" s="881" t="s">
        <v>61</v>
      </c>
      <c r="D336" s="884">
        <f>+'8,12'!H48</f>
        <v>154188</v>
      </c>
      <c r="E336" s="990">
        <v>126496</v>
      </c>
      <c r="F336" s="884">
        <f t="shared" si="34"/>
        <v>123350.39999999999</v>
      </c>
      <c r="G336" s="884">
        <f t="shared" si="33"/>
        <v>101196.8</v>
      </c>
      <c r="H336" s="884">
        <f t="shared" si="32"/>
        <v>27692</v>
      </c>
    </row>
    <row r="337" spans="1:8">
      <c r="A337" s="857" t="s">
        <v>1073</v>
      </c>
      <c r="B337" s="875" t="s">
        <v>1345</v>
      </c>
      <c r="C337" s="881" t="s">
        <v>61</v>
      </c>
      <c r="D337" s="884">
        <f>+'8,13'!H48</f>
        <v>99988</v>
      </c>
      <c r="E337" s="990">
        <v>82505</v>
      </c>
      <c r="F337" s="884">
        <f t="shared" si="34"/>
        <v>79990.399999999994</v>
      </c>
      <c r="G337" s="884">
        <f t="shared" si="33"/>
        <v>66004</v>
      </c>
      <c r="H337" s="884">
        <f t="shared" si="32"/>
        <v>17483</v>
      </c>
    </row>
    <row r="338" spans="1:8">
      <c r="A338" s="857" t="s">
        <v>1074</v>
      </c>
      <c r="B338" s="875" t="s">
        <v>1346</v>
      </c>
      <c r="C338" s="881" t="s">
        <v>61</v>
      </c>
      <c r="D338" s="884">
        <f>+'8,14'!H48</f>
        <v>187478</v>
      </c>
      <c r="E338" s="990">
        <v>153475</v>
      </c>
      <c r="F338" s="884">
        <f t="shared" si="34"/>
        <v>149982.39999999999</v>
      </c>
      <c r="G338" s="884">
        <f t="shared" si="33"/>
        <v>122780</v>
      </c>
      <c r="H338" s="884">
        <f t="shared" si="32"/>
        <v>34003</v>
      </c>
    </row>
    <row r="339" spans="1:8">
      <c r="A339" s="857" t="s">
        <v>1075</v>
      </c>
      <c r="B339" s="875" t="s">
        <v>1347</v>
      </c>
      <c r="C339" s="881" t="s">
        <v>61</v>
      </c>
      <c r="D339" s="884">
        <f>+'8,15'!H48</f>
        <v>351023</v>
      </c>
      <c r="E339" s="990">
        <v>285818</v>
      </c>
      <c r="F339" s="884">
        <f t="shared" si="34"/>
        <v>280818.40000000002</v>
      </c>
      <c r="G339" s="884">
        <f t="shared" si="33"/>
        <v>228654.4</v>
      </c>
      <c r="H339" s="884">
        <f t="shared" si="32"/>
        <v>65205</v>
      </c>
    </row>
    <row r="340" spans="1:8">
      <c r="A340" s="857" t="s">
        <v>1076</v>
      </c>
      <c r="B340" s="875" t="s">
        <v>1348</v>
      </c>
      <c r="C340" s="881" t="s">
        <v>61</v>
      </c>
      <c r="D340" s="884">
        <f>+'8,16'!H48</f>
        <v>485237</v>
      </c>
      <c r="E340" s="990">
        <v>397255</v>
      </c>
      <c r="F340" s="884">
        <f t="shared" si="34"/>
        <v>388189.6</v>
      </c>
      <c r="G340" s="884">
        <f t="shared" si="33"/>
        <v>317804</v>
      </c>
      <c r="H340" s="884">
        <f t="shared" si="32"/>
        <v>87982</v>
      </c>
    </row>
    <row r="341" spans="1:8">
      <c r="A341" s="853">
        <v>9</v>
      </c>
      <c r="B341" s="862" t="s">
        <v>1077</v>
      </c>
      <c r="C341" s="851"/>
      <c r="D341" s="884"/>
      <c r="E341" s="990"/>
      <c r="F341" s="884"/>
      <c r="G341" s="884"/>
      <c r="H341" s="884"/>
    </row>
    <row r="342" spans="1:8">
      <c r="A342" s="849" t="s">
        <v>1078</v>
      </c>
      <c r="B342" s="875" t="s">
        <v>1700</v>
      </c>
      <c r="C342" s="881" t="s">
        <v>61</v>
      </c>
      <c r="D342" s="884">
        <f>+'9,1'!H47</f>
        <v>29858</v>
      </c>
      <c r="E342" s="990">
        <v>32292</v>
      </c>
      <c r="F342" s="884">
        <f t="shared" si="34"/>
        <v>23886.400000000001</v>
      </c>
      <c r="G342" s="884">
        <f t="shared" si="33"/>
        <v>25833.599999999999</v>
      </c>
      <c r="H342" s="884">
        <f>D342-E342</f>
        <v>-2434</v>
      </c>
    </row>
    <row r="343" spans="1:8">
      <c r="A343" s="849">
        <v>9.1999999999999993</v>
      </c>
      <c r="B343" s="876" t="s">
        <v>1703</v>
      </c>
      <c r="C343" s="881" t="s">
        <v>61</v>
      </c>
      <c r="D343" s="884">
        <f>'9,2'!H47</f>
        <v>35677</v>
      </c>
      <c r="E343" s="990"/>
      <c r="F343" s="884">
        <f t="shared" si="34"/>
        <v>28541.599999999999</v>
      </c>
      <c r="G343" s="884">
        <f t="shared" si="33"/>
        <v>0</v>
      </c>
      <c r="H343" s="884">
        <f t="shared" ref="H343:H376" si="35">D343-E343</f>
        <v>35677</v>
      </c>
    </row>
    <row r="344" spans="1:8">
      <c r="A344" s="849">
        <v>9.3000000000000007</v>
      </c>
      <c r="B344" s="860" t="s">
        <v>1702</v>
      </c>
      <c r="C344" s="881" t="s">
        <v>61</v>
      </c>
      <c r="D344" s="884">
        <f>'9,3'!H47</f>
        <v>25772</v>
      </c>
      <c r="E344" s="990"/>
      <c r="F344" s="884">
        <f t="shared" si="34"/>
        <v>20617.599999999999</v>
      </c>
      <c r="G344" s="884">
        <f t="shared" si="33"/>
        <v>0</v>
      </c>
      <c r="H344" s="884">
        <f t="shared" si="35"/>
        <v>25772</v>
      </c>
    </row>
    <row r="345" spans="1:8">
      <c r="A345" s="849">
        <v>9.4</v>
      </c>
      <c r="B345" s="876" t="s">
        <v>1706</v>
      </c>
      <c r="C345" s="881" t="s">
        <v>61</v>
      </c>
      <c r="D345" s="884">
        <f>+'9,4'!H47</f>
        <v>61788</v>
      </c>
      <c r="E345" s="990">
        <v>40224</v>
      </c>
      <c r="F345" s="884">
        <f t="shared" si="34"/>
        <v>49430.400000000001</v>
      </c>
      <c r="G345" s="884">
        <f t="shared" si="33"/>
        <v>32179.200000000001</v>
      </c>
      <c r="H345" s="884">
        <f t="shared" si="35"/>
        <v>21564</v>
      </c>
    </row>
    <row r="346" spans="1:8">
      <c r="A346" s="849">
        <v>9.5</v>
      </c>
      <c r="B346" s="876" t="s">
        <v>1712</v>
      </c>
      <c r="C346" s="881" t="s">
        <v>61</v>
      </c>
      <c r="D346" s="884">
        <f>+'9,5'!H47</f>
        <v>11699</v>
      </c>
      <c r="E346" s="990">
        <v>7005</v>
      </c>
      <c r="F346" s="884">
        <f t="shared" si="34"/>
        <v>9359.2000000000007</v>
      </c>
      <c r="G346" s="884">
        <f t="shared" si="33"/>
        <v>5604</v>
      </c>
      <c r="H346" s="884">
        <f t="shared" si="35"/>
        <v>4694</v>
      </c>
    </row>
    <row r="347" spans="1:8">
      <c r="A347" s="849">
        <v>9.6</v>
      </c>
      <c r="B347" s="876" t="s">
        <v>1713</v>
      </c>
      <c r="C347" s="881" t="s">
        <v>61</v>
      </c>
      <c r="D347" s="884">
        <f>+'9,6'!H47</f>
        <v>35409</v>
      </c>
      <c r="E347" s="990">
        <v>7228</v>
      </c>
      <c r="F347" s="884">
        <f t="shared" si="34"/>
        <v>28327.200000000001</v>
      </c>
      <c r="G347" s="884">
        <f t="shared" si="33"/>
        <v>5782.4</v>
      </c>
      <c r="H347" s="884">
        <f t="shared" si="35"/>
        <v>28181</v>
      </c>
    </row>
    <row r="348" spans="1:8">
      <c r="A348" s="849">
        <v>9.6999999999999993</v>
      </c>
      <c r="B348" s="876" t="s">
        <v>1079</v>
      </c>
      <c r="C348" s="881" t="s">
        <v>61</v>
      </c>
      <c r="D348" s="884">
        <f>+'9,7,'!H48</f>
        <v>9328</v>
      </c>
      <c r="E348" s="990">
        <v>11490</v>
      </c>
      <c r="F348" s="884">
        <f t="shared" si="34"/>
        <v>7462.4</v>
      </c>
      <c r="G348" s="884">
        <f t="shared" si="33"/>
        <v>9192</v>
      </c>
      <c r="H348" s="884">
        <f t="shared" si="35"/>
        <v>-2162</v>
      </c>
    </row>
    <row r="349" spans="1:8">
      <c r="A349" s="849">
        <v>9.8000000000000007</v>
      </c>
      <c r="B349" s="876" t="s">
        <v>1349</v>
      </c>
      <c r="C349" s="881" t="s">
        <v>61</v>
      </c>
      <c r="D349" s="884">
        <f>+'9,8'!H49</f>
        <v>54722</v>
      </c>
      <c r="E349" s="990">
        <v>31728</v>
      </c>
      <c r="F349" s="884">
        <f t="shared" si="34"/>
        <v>43777.599999999999</v>
      </c>
      <c r="G349" s="884">
        <f t="shared" si="33"/>
        <v>25382.400000000001</v>
      </c>
      <c r="H349" s="884">
        <f t="shared" si="35"/>
        <v>22994</v>
      </c>
    </row>
    <row r="350" spans="1:8">
      <c r="A350" s="849">
        <v>9.9</v>
      </c>
      <c r="B350" s="876" t="s">
        <v>1350</v>
      </c>
      <c r="C350" s="881" t="s">
        <v>61</v>
      </c>
      <c r="D350" s="884">
        <f>+'9,9'!H49</f>
        <v>68832</v>
      </c>
      <c r="E350" s="990">
        <v>38401</v>
      </c>
      <c r="F350" s="884">
        <f t="shared" si="34"/>
        <v>55065.599999999999</v>
      </c>
      <c r="G350" s="884">
        <f t="shared" si="33"/>
        <v>30720.799999999999</v>
      </c>
      <c r="H350" s="884">
        <f t="shared" si="35"/>
        <v>30431</v>
      </c>
    </row>
    <row r="351" spans="1:8">
      <c r="A351" s="850">
        <v>9.1</v>
      </c>
      <c r="B351" s="860" t="s">
        <v>1351</v>
      </c>
      <c r="C351" s="881" t="s">
        <v>61</v>
      </c>
      <c r="D351" s="884">
        <f>+'9,10'!H49</f>
        <v>107251</v>
      </c>
      <c r="E351" s="990">
        <v>50076</v>
      </c>
      <c r="F351" s="884">
        <f t="shared" si="34"/>
        <v>85800.8</v>
      </c>
      <c r="G351" s="884">
        <f t="shared" si="33"/>
        <v>40060.800000000003</v>
      </c>
      <c r="H351" s="884">
        <f t="shared" si="35"/>
        <v>57175</v>
      </c>
    </row>
    <row r="352" spans="1:8">
      <c r="A352" s="849">
        <v>9.11</v>
      </c>
      <c r="B352" s="860" t="s">
        <v>1352</v>
      </c>
      <c r="C352" s="881" t="s">
        <v>61</v>
      </c>
      <c r="D352" s="884">
        <f>+'9,11'!H49</f>
        <v>244711</v>
      </c>
      <c r="E352" s="990">
        <v>110821</v>
      </c>
      <c r="F352" s="884">
        <f t="shared" si="34"/>
        <v>195768.8</v>
      </c>
      <c r="G352" s="884">
        <f t="shared" si="33"/>
        <v>88656.8</v>
      </c>
      <c r="H352" s="884">
        <f t="shared" si="35"/>
        <v>133890</v>
      </c>
    </row>
    <row r="353" spans="1:8">
      <c r="A353" s="849">
        <v>9.1199999999999992</v>
      </c>
      <c r="B353" s="860" t="s">
        <v>1353</v>
      </c>
      <c r="C353" s="881" t="s">
        <v>61</v>
      </c>
      <c r="D353" s="884">
        <f>+'9,12'!H48</f>
        <v>26197</v>
      </c>
      <c r="E353" s="990">
        <v>159486</v>
      </c>
      <c r="F353" s="884">
        <f t="shared" si="34"/>
        <v>20957.599999999999</v>
      </c>
      <c r="G353" s="884">
        <f t="shared" si="33"/>
        <v>127588.8</v>
      </c>
      <c r="H353" s="884">
        <f t="shared" si="35"/>
        <v>-133289</v>
      </c>
    </row>
    <row r="354" spans="1:8">
      <c r="A354" s="849">
        <v>9.1300000000000008</v>
      </c>
      <c r="B354" s="860" t="s">
        <v>1354</v>
      </c>
      <c r="C354" s="881" t="s">
        <v>61</v>
      </c>
      <c r="D354" s="884">
        <f>+'9,13'!H48</f>
        <v>25658</v>
      </c>
      <c r="E354" s="990">
        <v>288726</v>
      </c>
      <c r="F354" s="884">
        <f t="shared" si="34"/>
        <v>20526.400000000001</v>
      </c>
      <c r="G354" s="884">
        <f t="shared" si="33"/>
        <v>230980.8</v>
      </c>
      <c r="H354" s="884">
        <f t="shared" si="35"/>
        <v>-263068</v>
      </c>
    </row>
    <row r="355" spans="1:8">
      <c r="A355" s="849">
        <v>9.14</v>
      </c>
      <c r="B355" s="876" t="s">
        <v>1733</v>
      </c>
      <c r="C355" s="881" t="s">
        <v>1</v>
      </c>
      <c r="D355" s="884">
        <f>+'9,14'!H47</f>
        <v>6232</v>
      </c>
      <c r="E355" s="990">
        <v>6694</v>
      </c>
      <c r="F355" s="884">
        <f t="shared" si="34"/>
        <v>4985.6000000000004</v>
      </c>
      <c r="G355" s="884">
        <f t="shared" si="33"/>
        <v>5355.2</v>
      </c>
      <c r="H355" s="884">
        <f t="shared" si="35"/>
        <v>-462</v>
      </c>
    </row>
    <row r="356" spans="1:8">
      <c r="A356" s="849">
        <v>9.15</v>
      </c>
      <c r="B356" s="876" t="s">
        <v>1734</v>
      </c>
      <c r="C356" s="881" t="s">
        <v>1</v>
      </c>
      <c r="D356" s="884">
        <f>+'9,15'!H47</f>
        <v>10276</v>
      </c>
      <c r="E356" s="990">
        <v>8014</v>
      </c>
      <c r="F356" s="884">
        <f t="shared" si="34"/>
        <v>8220.7999999999993</v>
      </c>
      <c r="G356" s="884">
        <f t="shared" si="33"/>
        <v>6411.2</v>
      </c>
      <c r="H356" s="884">
        <f t="shared" si="35"/>
        <v>2262</v>
      </c>
    </row>
    <row r="357" spans="1:8">
      <c r="A357" s="849">
        <v>9.16</v>
      </c>
      <c r="B357" s="876" t="s">
        <v>1355</v>
      </c>
      <c r="C357" s="881" t="s">
        <v>61</v>
      </c>
      <c r="D357" s="884">
        <f>+'9,16'!H48</f>
        <v>37997</v>
      </c>
      <c r="E357" s="990">
        <v>31434</v>
      </c>
      <c r="F357" s="884">
        <f t="shared" si="34"/>
        <v>30397.599999999999</v>
      </c>
      <c r="G357" s="884">
        <f t="shared" si="33"/>
        <v>25147.200000000001</v>
      </c>
      <c r="H357" s="884">
        <f t="shared" si="35"/>
        <v>6563</v>
      </c>
    </row>
    <row r="358" spans="1:8">
      <c r="A358" s="849">
        <v>9.17</v>
      </c>
      <c r="B358" s="876" t="s">
        <v>1356</v>
      </c>
      <c r="C358" s="881" t="s">
        <v>61</v>
      </c>
      <c r="D358" s="884">
        <f>+'9,17'!H48</f>
        <v>35416</v>
      </c>
      <c r="E358" s="990">
        <v>37238</v>
      </c>
      <c r="F358" s="884">
        <f t="shared" si="34"/>
        <v>28332.799999999999</v>
      </c>
      <c r="G358" s="884">
        <f t="shared" si="33"/>
        <v>29790.400000000001</v>
      </c>
      <c r="H358" s="884">
        <f t="shared" si="35"/>
        <v>-1822</v>
      </c>
    </row>
    <row r="359" spans="1:8">
      <c r="A359" s="849">
        <v>9.18</v>
      </c>
      <c r="B359" s="860" t="s">
        <v>1357</v>
      </c>
      <c r="C359" s="881" t="s">
        <v>61</v>
      </c>
      <c r="D359" s="884">
        <f>+'9,18'!H48</f>
        <v>62318</v>
      </c>
      <c r="E359" s="990">
        <v>39934</v>
      </c>
      <c r="F359" s="884">
        <f t="shared" si="34"/>
        <v>49854.400000000001</v>
      </c>
      <c r="G359" s="884">
        <f t="shared" si="33"/>
        <v>31947.200000000001</v>
      </c>
      <c r="H359" s="884">
        <f t="shared" si="35"/>
        <v>22384</v>
      </c>
    </row>
    <row r="360" spans="1:8">
      <c r="A360" s="855">
        <v>9.19</v>
      </c>
      <c r="B360" s="876" t="s">
        <v>1358</v>
      </c>
      <c r="C360" s="881" t="s">
        <v>61</v>
      </c>
      <c r="D360" s="884">
        <f>+'9,19'!H47</f>
        <v>32663</v>
      </c>
      <c r="E360" s="990">
        <v>33505</v>
      </c>
      <c r="F360" s="884">
        <f t="shared" si="34"/>
        <v>26130.400000000001</v>
      </c>
      <c r="G360" s="884">
        <f t="shared" si="33"/>
        <v>26804</v>
      </c>
      <c r="H360" s="884">
        <f t="shared" si="35"/>
        <v>-842</v>
      </c>
    </row>
    <row r="361" spans="1:8">
      <c r="A361" s="850">
        <v>9.1999999999999993</v>
      </c>
      <c r="B361" s="876" t="s">
        <v>1359</v>
      </c>
      <c r="C361" s="881" t="s">
        <v>61</v>
      </c>
      <c r="D361" s="884">
        <f>+'9,20'!H48</f>
        <v>39709</v>
      </c>
      <c r="E361" s="990">
        <v>39934</v>
      </c>
      <c r="F361" s="884">
        <f t="shared" si="34"/>
        <v>31767.200000000001</v>
      </c>
      <c r="G361" s="884">
        <f t="shared" si="33"/>
        <v>31947.200000000001</v>
      </c>
      <c r="H361" s="884">
        <f t="shared" si="35"/>
        <v>-225</v>
      </c>
    </row>
    <row r="362" spans="1:8">
      <c r="A362" s="849">
        <v>9.2100000000000009</v>
      </c>
      <c r="B362" s="876" t="s">
        <v>1360</v>
      </c>
      <c r="C362" s="881" t="s">
        <v>61</v>
      </c>
      <c r="D362" s="884">
        <f>+'9,21'!H48</f>
        <v>67466</v>
      </c>
      <c r="E362" s="990">
        <v>42630</v>
      </c>
      <c r="F362" s="884">
        <f t="shared" si="34"/>
        <v>53972.800000000003</v>
      </c>
      <c r="G362" s="884">
        <f t="shared" si="33"/>
        <v>34104</v>
      </c>
      <c r="H362" s="884">
        <f t="shared" si="35"/>
        <v>24836</v>
      </c>
    </row>
    <row r="363" spans="1:8">
      <c r="A363" s="850">
        <v>9.2200000000000006</v>
      </c>
      <c r="B363" s="876" t="s">
        <v>1361</v>
      </c>
      <c r="C363" s="881" t="s">
        <v>61</v>
      </c>
      <c r="D363" s="884">
        <f>+'9,22'!H48</f>
        <v>62318</v>
      </c>
      <c r="E363" s="990">
        <v>45113</v>
      </c>
      <c r="F363" s="884">
        <f t="shared" si="34"/>
        <v>49854.400000000001</v>
      </c>
      <c r="G363" s="884">
        <f t="shared" si="33"/>
        <v>36090.400000000001</v>
      </c>
      <c r="H363" s="884">
        <f t="shared" si="35"/>
        <v>17205</v>
      </c>
    </row>
    <row r="364" spans="1:8">
      <c r="A364" s="849">
        <v>9.23</v>
      </c>
      <c r="B364" s="876" t="s">
        <v>1362</v>
      </c>
      <c r="C364" s="881" t="s">
        <v>61</v>
      </c>
      <c r="D364" s="884">
        <f>+'9,23'!H48</f>
        <v>67466</v>
      </c>
      <c r="E364" s="990">
        <v>51165</v>
      </c>
      <c r="F364" s="884">
        <f t="shared" si="34"/>
        <v>53972.800000000003</v>
      </c>
      <c r="G364" s="884">
        <f t="shared" si="33"/>
        <v>40932</v>
      </c>
      <c r="H364" s="884">
        <f t="shared" si="35"/>
        <v>16301</v>
      </c>
    </row>
    <row r="365" spans="1:8">
      <c r="A365" s="850">
        <v>9.2400000000000109</v>
      </c>
      <c r="B365" s="876" t="s">
        <v>1363</v>
      </c>
      <c r="C365" s="881" t="s">
        <v>61</v>
      </c>
      <c r="D365" s="884">
        <f>+'9,24'!H48</f>
        <v>60821</v>
      </c>
      <c r="E365" s="990">
        <v>54238</v>
      </c>
      <c r="F365" s="884">
        <f t="shared" si="34"/>
        <v>48656.800000000003</v>
      </c>
      <c r="G365" s="884">
        <f t="shared" si="33"/>
        <v>43390.400000000001</v>
      </c>
      <c r="H365" s="884">
        <f t="shared" si="35"/>
        <v>6583</v>
      </c>
    </row>
    <row r="366" spans="1:8" ht="30">
      <c r="A366" s="851">
        <v>9.2500000000000107</v>
      </c>
      <c r="B366" s="1108" t="s">
        <v>1364</v>
      </c>
      <c r="C366" s="881" t="s">
        <v>61</v>
      </c>
      <c r="D366" s="885">
        <f>+'9,25'!H48</f>
        <v>636106</v>
      </c>
      <c r="E366" s="1173">
        <v>595551</v>
      </c>
      <c r="F366" s="884">
        <f t="shared" si="34"/>
        <v>508884.8</v>
      </c>
      <c r="G366" s="884">
        <f t="shared" si="33"/>
        <v>476440.8</v>
      </c>
      <c r="H366" s="885">
        <f t="shared" si="35"/>
        <v>40555</v>
      </c>
    </row>
    <row r="367" spans="1:8" ht="30">
      <c r="A367" s="1101">
        <v>9.2600000000000104</v>
      </c>
      <c r="B367" s="1108" t="s">
        <v>1365</v>
      </c>
      <c r="C367" s="881" t="s">
        <v>61</v>
      </c>
      <c r="D367" s="885">
        <f>+'9,26'!H48</f>
        <v>1029862</v>
      </c>
      <c r="E367" s="1173">
        <v>785501</v>
      </c>
      <c r="F367" s="884">
        <f t="shared" si="34"/>
        <v>823889.6</v>
      </c>
      <c r="G367" s="884">
        <f t="shared" si="33"/>
        <v>628400.80000000005</v>
      </c>
      <c r="H367" s="885">
        <f t="shared" si="35"/>
        <v>244361</v>
      </c>
    </row>
    <row r="368" spans="1:8" ht="30">
      <c r="A368" s="851">
        <v>9.2700000000000102</v>
      </c>
      <c r="B368" s="1108" t="s">
        <v>1366</v>
      </c>
      <c r="C368" s="881" t="s">
        <v>61</v>
      </c>
      <c r="D368" s="885">
        <f>+'9,27'!H48</f>
        <v>1191822</v>
      </c>
      <c r="E368" s="1173">
        <v>1033451</v>
      </c>
      <c r="F368" s="884">
        <f t="shared" si="34"/>
        <v>953457.6</v>
      </c>
      <c r="G368" s="884">
        <f t="shared" si="33"/>
        <v>826760.8</v>
      </c>
      <c r="H368" s="885">
        <f t="shared" si="35"/>
        <v>158371</v>
      </c>
    </row>
    <row r="369" spans="1:8" ht="30">
      <c r="A369" s="1101">
        <v>9.28000000000001</v>
      </c>
      <c r="B369" s="1108" t="s">
        <v>1367</v>
      </c>
      <c r="C369" s="881" t="s">
        <v>61</v>
      </c>
      <c r="D369" s="885">
        <f>+'9,28'!H48</f>
        <v>2286909</v>
      </c>
      <c r="E369" s="1173">
        <v>2115151</v>
      </c>
      <c r="F369" s="884">
        <f t="shared" si="34"/>
        <v>1829527.2</v>
      </c>
      <c r="G369" s="884">
        <f t="shared" si="33"/>
        <v>1692120.8</v>
      </c>
      <c r="H369" s="885">
        <f t="shared" si="35"/>
        <v>171758</v>
      </c>
    </row>
    <row r="370" spans="1:8" ht="30">
      <c r="A370" s="851">
        <v>9.2900000000000098</v>
      </c>
      <c r="B370" s="1108" t="s">
        <v>1368</v>
      </c>
      <c r="C370" s="881" t="s">
        <v>61</v>
      </c>
      <c r="D370" s="885">
        <f>+'9,29'!H48</f>
        <v>3948112</v>
      </c>
      <c r="E370" s="1173">
        <v>2876401</v>
      </c>
      <c r="F370" s="884">
        <f t="shared" si="34"/>
        <v>3158489.6</v>
      </c>
      <c r="G370" s="884">
        <f t="shared" si="33"/>
        <v>2301120.7999999998</v>
      </c>
      <c r="H370" s="885">
        <f t="shared" si="35"/>
        <v>1071711</v>
      </c>
    </row>
    <row r="371" spans="1:8">
      <c r="A371" s="850">
        <v>9.3000000000000096</v>
      </c>
      <c r="B371" s="1108" t="s">
        <v>1369</v>
      </c>
      <c r="C371" s="881" t="s">
        <v>61</v>
      </c>
      <c r="D371" s="884">
        <f>+'9,30'!H48</f>
        <v>324373</v>
      </c>
      <c r="E371" s="990">
        <v>321154</v>
      </c>
      <c r="F371" s="884">
        <f t="shared" si="34"/>
        <v>259498.4</v>
      </c>
      <c r="G371" s="884">
        <f t="shared" si="33"/>
        <v>256923.2</v>
      </c>
      <c r="H371" s="884">
        <f t="shared" si="35"/>
        <v>3219</v>
      </c>
    </row>
    <row r="372" spans="1:8">
      <c r="A372" s="849">
        <v>9.31000000000002</v>
      </c>
      <c r="B372" s="1108" t="s">
        <v>1370</v>
      </c>
      <c r="C372" s="881" t="s">
        <v>61</v>
      </c>
      <c r="D372" s="884">
        <f>+'9,31'!H48</f>
        <v>602773</v>
      </c>
      <c r="E372" s="990">
        <v>599554</v>
      </c>
      <c r="F372" s="884">
        <f t="shared" si="34"/>
        <v>482218.4</v>
      </c>
      <c r="G372" s="884">
        <f t="shared" si="33"/>
        <v>479643.2</v>
      </c>
      <c r="H372" s="884">
        <f t="shared" si="35"/>
        <v>3219</v>
      </c>
    </row>
    <row r="373" spans="1:8">
      <c r="A373" s="850">
        <v>9.3200000000000198</v>
      </c>
      <c r="B373" s="1108" t="s">
        <v>1371</v>
      </c>
      <c r="C373" s="881" t="s">
        <v>61</v>
      </c>
      <c r="D373" s="884">
        <f>+'9,32'!H48</f>
        <v>944973</v>
      </c>
      <c r="E373" s="990">
        <v>941754</v>
      </c>
      <c r="F373" s="884">
        <f t="shared" si="34"/>
        <v>755978.4</v>
      </c>
      <c r="G373" s="884">
        <f t="shared" si="33"/>
        <v>753403.2</v>
      </c>
      <c r="H373" s="884">
        <f t="shared" si="35"/>
        <v>3219</v>
      </c>
    </row>
    <row r="374" spans="1:8">
      <c r="A374" s="849">
        <v>9.3300000000000196</v>
      </c>
      <c r="B374" s="1108" t="s">
        <v>1372</v>
      </c>
      <c r="C374" s="881" t="s">
        <v>61</v>
      </c>
      <c r="D374" s="884">
        <f>+'9,33'!H48</f>
        <v>1323423</v>
      </c>
      <c r="E374" s="990">
        <v>1320204</v>
      </c>
      <c r="F374" s="884">
        <f t="shared" si="34"/>
        <v>1058738.3999999999</v>
      </c>
      <c r="G374" s="884">
        <f t="shared" si="33"/>
        <v>1056163.2</v>
      </c>
      <c r="H374" s="884">
        <f t="shared" si="35"/>
        <v>3219</v>
      </c>
    </row>
    <row r="375" spans="1:8">
      <c r="A375" s="850">
        <v>9.3400000000000194</v>
      </c>
      <c r="B375" s="1108" t="s">
        <v>1373</v>
      </c>
      <c r="C375" s="881" t="s">
        <v>61</v>
      </c>
      <c r="D375" s="884">
        <f>+'9,34'!H48</f>
        <v>1594062</v>
      </c>
      <c r="E375" s="990">
        <v>1591354</v>
      </c>
      <c r="F375" s="884">
        <f t="shared" si="34"/>
        <v>1275249.6000000001</v>
      </c>
      <c r="G375" s="884">
        <f t="shared" si="33"/>
        <v>1273083.2</v>
      </c>
      <c r="H375" s="884">
        <f t="shared" si="35"/>
        <v>2708</v>
      </c>
    </row>
    <row r="376" spans="1:8">
      <c r="A376" s="849">
        <v>9.3500000000000192</v>
      </c>
      <c r="B376" s="1108" t="s">
        <v>1374</v>
      </c>
      <c r="C376" s="881" t="s">
        <v>61</v>
      </c>
      <c r="D376" s="884">
        <f>+'9,35'!H48</f>
        <v>2598912</v>
      </c>
      <c r="E376" s="990">
        <v>2596204</v>
      </c>
      <c r="F376" s="884">
        <f t="shared" si="34"/>
        <v>2079129.6000000001</v>
      </c>
      <c r="G376" s="884">
        <f t="shared" si="33"/>
        <v>2076963.2</v>
      </c>
      <c r="H376" s="884">
        <f t="shared" si="35"/>
        <v>2708</v>
      </c>
    </row>
    <row r="377" spans="1:8">
      <c r="A377" s="858">
        <v>10</v>
      </c>
      <c r="B377" s="867" t="s">
        <v>1765</v>
      </c>
      <c r="C377" s="880"/>
      <c r="D377" s="867"/>
      <c r="E377" s="867"/>
      <c r="F377" s="884"/>
      <c r="G377" s="884"/>
      <c r="H377" s="867"/>
    </row>
    <row r="378" spans="1:8">
      <c r="A378" s="853" t="s">
        <v>1080</v>
      </c>
      <c r="B378" s="862" t="s">
        <v>1081</v>
      </c>
      <c r="C378" s="851"/>
      <c r="D378" s="886"/>
      <c r="E378" s="886"/>
      <c r="F378" s="884"/>
      <c r="G378" s="884"/>
      <c r="H378" s="886"/>
    </row>
    <row r="379" spans="1:8">
      <c r="A379" s="849" t="s">
        <v>1277</v>
      </c>
      <c r="B379" s="865" t="s">
        <v>1082</v>
      </c>
      <c r="C379" s="851" t="s">
        <v>1</v>
      </c>
      <c r="D379" s="884">
        <f>+'10,1,1,1'!H47</f>
        <v>9295</v>
      </c>
      <c r="E379" s="990">
        <v>7341</v>
      </c>
      <c r="F379" s="884">
        <f t="shared" si="34"/>
        <v>7436</v>
      </c>
      <c r="G379" s="884">
        <f t="shared" si="33"/>
        <v>5872.8</v>
      </c>
      <c r="H379" s="884">
        <f>D379-E379</f>
        <v>1954</v>
      </c>
    </row>
    <row r="380" spans="1:8">
      <c r="A380" s="849" t="s">
        <v>1278</v>
      </c>
      <c r="B380" s="865" t="s">
        <v>1083</v>
      </c>
      <c r="C380" s="851" t="s">
        <v>1</v>
      </c>
      <c r="D380" s="884">
        <f>+'10,1,1,2'!H48</f>
        <v>14413</v>
      </c>
      <c r="E380" s="990">
        <v>11301</v>
      </c>
      <c r="F380" s="884">
        <f t="shared" si="34"/>
        <v>11530.4</v>
      </c>
      <c r="G380" s="884">
        <f t="shared" si="33"/>
        <v>9040.7999999999993</v>
      </c>
      <c r="H380" s="884">
        <f t="shared" ref="H380:H389" si="36">D380-E380</f>
        <v>3112</v>
      </c>
    </row>
    <row r="381" spans="1:8">
      <c r="A381" s="849" t="s">
        <v>1279</v>
      </c>
      <c r="B381" s="865" t="s">
        <v>1084</v>
      </c>
      <c r="C381" s="851" t="s">
        <v>1</v>
      </c>
      <c r="D381" s="884">
        <f>+'10,1,1,3'!H47</f>
        <v>18440</v>
      </c>
      <c r="E381" s="990">
        <v>14440</v>
      </c>
      <c r="F381" s="884">
        <f t="shared" si="34"/>
        <v>14752</v>
      </c>
      <c r="G381" s="884">
        <f t="shared" si="33"/>
        <v>11552</v>
      </c>
      <c r="H381" s="884">
        <f t="shared" si="36"/>
        <v>4000</v>
      </c>
    </row>
    <row r="382" spans="1:8">
      <c r="A382" s="849" t="s">
        <v>1280</v>
      </c>
      <c r="B382" s="865" t="s">
        <v>134</v>
      </c>
      <c r="C382" s="851" t="s">
        <v>1</v>
      </c>
      <c r="D382" s="884">
        <f>+'10,1,1,4'!H48</f>
        <v>27404</v>
      </c>
      <c r="E382" s="990">
        <v>21028</v>
      </c>
      <c r="F382" s="884">
        <f t="shared" si="34"/>
        <v>21923.200000000001</v>
      </c>
      <c r="G382" s="884">
        <f t="shared" si="33"/>
        <v>16822.400000000001</v>
      </c>
      <c r="H382" s="884">
        <f t="shared" si="36"/>
        <v>6376</v>
      </c>
    </row>
    <row r="383" spans="1:8">
      <c r="A383" s="849" t="s">
        <v>1281</v>
      </c>
      <c r="B383" s="865" t="s">
        <v>1085</v>
      </c>
      <c r="C383" s="851" t="s">
        <v>1</v>
      </c>
      <c r="D383" s="884">
        <f>+'10,1,1,5'!H48</f>
        <v>36310</v>
      </c>
      <c r="E383" s="990">
        <v>27820</v>
      </c>
      <c r="F383" s="884">
        <f t="shared" si="34"/>
        <v>29048</v>
      </c>
      <c r="G383" s="884">
        <f t="shared" si="33"/>
        <v>22256</v>
      </c>
      <c r="H383" s="884">
        <f t="shared" si="36"/>
        <v>8490</v>
      </c>
    </row>
    <row r="384" spans="1:8">
      <c r="A384" s="849" t="s">
        <v>1282</v>
      </c>
      <c r="B384" s="865" t="s">
        <v>136</v>
      </c>
      <c r="C384" s="851" t="s">
        <v>1</v>
      </c>
      <c r="D384" s="884">
        <f>+'10,1,1,6'!H48</f>
        <v>45579</v>
      </c>
      <c r="E384" s="990">
        <v>34491</v>
      </c>
      <c r="F384" s="884">
        <f t="shared" si="34"/>
        <v>36463.199999999997</v>
      </c>
      <c r="G384" s="884">
        <f t="shared" si="33"/>
        <v>27592.799999999999</v>
      </c>
      <c r="H384" s="884">
        <f t="shared" si="36"/>
        <v>11088</v>
      </c>
    </row>
    <row r="385" spans="1:8">
      <c r="A385" s="849" t="s">
        <v>1283</v>
      </c>
      <c r="B385" s="865" t="s">
        <v>137</v>
      </c>
      <c r="C385" s="851" t="s">
        <v>1</v>
      </c>
      <c r="D385" s="884">
        <f>+'10,1,1,7'!H48</f>
        <v>66648</v>
      </c>
      <c r="E385" s="990">
        <v>50378</v>
      </c>
      <c r="F385" s="884">
        <f t="shared" si="34"/>
        <v>53318.400000000001</v>
      </c>
      <c r="G385" s="884">
        <f t="shared" si="33"/>
        <v>40302.400000000001</v>
      </c>
      <c r="H385" s="884">
        <f t="shared" si="36"/>
        <v>16270</v>
      </c>
    </row>
    <row r="386" spans="1:8">
      <c r="A386" s="849" t="s">
        <v>1284</v>
      </c>
      <c r="B386" s="865" t="s">
        <v>138</v>
      </c>
      <c r="C386" s="851" t="s">
        <v>1</v>
      </c>
      <c r="D386" s="884">
        <f>+'10,1,1,8'!H48</f>
        <v>63078</v>
      </c>
      <c r="E386" s="990">
        <v>47686</v>
      </c>
      <c r="F386" s="884">
        <f t="shared" si="34"/>
        <v>50462.400000000001</v>
      </c>
      <c r="G386" s="884">
        <f t="shared" si="33"/>
        <v>38148.800000000003</v>
      </c>
      <c r="H386" s="884">
        <f t="shared" si="36"/>
        <v>15392</v>
      </c>
    </row>
    <row r="387" spans="1:8">
      <c r="A387" s="849" t="s">
        <v>1285</v>
      </c>
      <c r="B387" s="865" t="s">
        <v>139</v>
      </c>
      <c r="C387" s="851" t="s">
        <v>1</v>
      </c>
      <c r="D387" s="884">
        <f>+'10,1,1,9'!H48</f>
        <v>80193</v>
      </c>
      <c r="E387" s="990">
        <v>66741</v>
      </c>
      <c r="F387" s="884">
        <f t="shared" si="34"/>
        <v>64154.400000000001</v>
      </c>
      <c r="G387" s="884">
        <f t="shared" si="33"/>
        <v>53392.800000000003</v>
      </c>
      <c r="H387" s="884">
        <f t="shared" si="36"/>
        <v>13452</v>
      </c>
    </row>
    <row r="388" spans="1:8">
      <c r="A388" s="849" t="s">
        <v>1286</v>
      </c>
      <c r="B388" s="865" t="s">
        <v>140</v>
      </c>
      <c r="C388" s="851" t="s">
        <v>1</v>
      </c>
      <c r="D388" s="884">
        <f>+'10,1,1,10'!H48</f>
        <v>89224</v>
      </c>
      <c r="E388" s="990">
        <v>73550</v>
      </c>
      <c r="F388" s="884">
        <f t="shared" si="34"/>
        <v>71379.199999999997</v>
      </c>
      <c r="G388" s="884">
        <f t="shared" si="33"/>
        <v>58840</v>
      </c>
      <c r="H388" s="884">
        <f t="shared" si="36"/>
        <v>15674</v>
      </c>
    </row>
    <row r="389" spans="1:8">
      <c r="A389" s="849" t="s">
        <v>1287</v>
      </c>
      <c r="B389" s="865" t="s">
        <v>141</v>
      </c>
      <c r="C389" s="851" t="s">
        <v>1</v>
      </c>
      <c r="D389" s="884">
        <f>+'10,1,11'!H48</f>
        <v>103497</v>
      </c>
      <c r="E389" s="990">
        <v>88478</v>
      </c>
      <c r="F389" s="884">
        <f t="shared" si="34"/>
        <v>82797.600000000006</v>
      </c>
      <c r="G389" s="884">
        <f t="shared" si="33"/>
        <v>70782.399999999994</v>
      </c>
      <c r="H389" s="884">
        <f t="shared" si="36"/>
        <v>15019</v>
      </c>
    </row>
    <row r="390" spans="1:8">
      <c r="A390" s="858" t="s">
        <v>337</v>
      </c>
      <c r="B390" s="867" t="s">
        <v>1086</v>
      </c>
      <c r="C390" s="880"/>
      <c r="D390" s="867"/>
      <c r="E390" s="990"/>
      <c r="F390" s="884"/>
      <c r="G390" s="884"/>
      <c r="H390" s="867"/>
    </row>
    <row r="391" spans="1:8">
      <c r="A391" s="849" t="s">
        <v>1087</v>
      </c>
      <c r="B391" s="865" t="s">
        <v>1082</v>
      </c>
      <c r="C391" s="851" t="s">
        <v>1</v>
      </c>
      <c r="D391" s="884">
        <f>+'10,1,2,1'!H48</f>
        <v>9295</v>
      </c>
      <c r="E391" s="990">
        <v>8063</v>
      </c>
      <c r="F391" s="884">
        <f t="shared" si="34"/>
        <v>7436</v>
      </c>
      <c r="G391" s="884">
        <f t="shared" si="33"/>
        <v>6450.4</v>
      </c>
      <c r="H391" s="884">
        <f t="shared" ref="H391:H400" si="37">D391-E391</f>
        <v>1232</v>
      </c>
    </row>
    <row r="392" spans="1:8">
      <c r="A392" s="849" t="s">
        <v>1288</v>
      </c>
      <c r="B392" s="865" t="s">
        <v>1083</v>
      </c>
      <c r="C392" s="851" t="s">
        <v>1</v>
      </c>
      <c r="D392" s="884">
        <f>+'10,1,2,2'!H48</f>
        <v>14413</v>
      </c>
      <c r="E392" s="990">
        <v>12433</v>
      </c>
      <c r="F392" s="884">
        <f t="shared" si="34"/>
        <v>11530.4</v>
      </c>
      <c r="G392" s="884">
        <f t="shared" si="33"/>
        <v>9946.4</v>
      </c>
      <c r="H392" s="884">
        <f t="shared" si="37"/>
        <v>1980</v>
      </c>
    </row>
    <row r="393" spans="1:8">
      <c r="A393" s="849" t="s">
        <v>1088</v>
      </c>
      <c r="B393" s="865" t="s">
        <v>1084</v>
      </c>
      <c r="C393" s="851" t="s">
        <v>1</v>
      </c>
      <c r="D393" s="884">
        <f>+'10,1,2,3'!H48</f>
        <v>18440</v>
      </c>
      <c r="E393" s="990">
        <v>15871</v>
      </c>
      <c r="F393" s="884">
        <f t="shared" si="34"/>
        <v>14752</v>
      </c>
      <c r="G393" s="884">
        <f t="shared" si="33"/>
        <v>12696.8</v>
      </c>
      <c r="H393" s="884">
        <f t="shared" si="37"/>
        <v>2569</v>
      </c>
    </row>
    <row r="394" spans="1:8">
      <c r="A394" s="849" t="s">
        <v>1089</v>
      </c>
      <c r="B394" s="865" t="s">
        <v>134</v>
      </c>
      <c r="C394" s="851" t="s">
        <v>1</v>
      </c>
      <c r="D394" s="884">
        <f>+'10,1,2,4'!H48</f>
        <v>27404</v>
      </c>
      <c r="E394" s="990">
        <v>23118</v>
      </c>
      <c r="F394" s="884">
        <f t="shared" si="34"/>
        <v>21923.200000000001</v>
      </c>
      <c r="G394" s="884">
        <f t="shared" si="33"/>
        <v>18494.400000000001</v>
      </c>
      <c r="H394" s="884">
        <f t="shared" si="37"/>
        <v>4286</v>
      </c>
    </row>
    <row r="395" spans="1:8">
      <c r="A395" s="849" t="s">
        <v>1090</v>
      </c>
      <c r="B395" s="865" t="s">
        <v>1085</v>
      </c>
      <c r="C395" s="851" t="s">
        <v>1</v>
      </c>
      <c r="D395" s="884">
        <f>+'10,1,2,5'!H48</f>
        <v>36310</v>
      </c>
      <c r="E395" s="990">
        <v>30590</v>
      </c>
      <c r="F395" s="884">
        <f t="shared" si="34"/>
        <v>29048</v>
      </c>
      <c r="G395" s="884">
        <f t="shared" si="33"/>
        <v>24472</v>
      </c>
      <c r="H395" s="884">
        <f t="shared" si="37"/>
        <v>5720</v>
      </c>
    </row>
    <row r="396" spans="1:8">
      <c r="A396" s="849" t="s">
        <v>1091</v>
      </c>
      <c r="B396" s="865" t="s">
        <v>136</v>
      </c>
      <c r="C396" s="851" t="s">
        <v>1</v>
      </c>
      <c r="D396" s="884">
        <f>+'10,1,2,6'!H48</f>
        <v>45579</v>
      </c>
      <c r="E396" s="990">
        <v>37928</v>
      </c>
      <c r="F396" s="884">
        <f t="shared" si="34"/>
        <v>36463.199999999997</v>
      </c>
      <c r="G396" s="884">
        <f t="shared" ref="G396:G427" si="38">+E396/1.25</f>
        <v>30342.400000000001</v>
      </c>
      <c r="H396" s="884">
        <f t="shared" si="37"/>
        <v>7651</v>
      </c>
    </row>
    <row r="397" spans="1:8">
      <c r="A397" s="849" t="s">
        <v>1092</v>
      </c>
      <c r="B397" s="865" t="s">
        <v>137</v>
      </c>
      <c r="C397" s="851" t="s">
        <v>1</v>
      </c>
      <c r="D397" s="884">
        <f>+'10,1,2,7'!H48</f>
        <v>66648</v>
      </c>
      <c r="E397" s="990">
        <v>55403</v>
      </c>
      <c r="F397" s="884">
        <f t="shared" ref="F397:F427" si="39">+D397/1.25</f>
        <v>53318.400000000001</v>
      </c>
      <c r="G397" s="884">
        <f t="shared" si="38"/>
        <v>44322.400000000001</v>
      </c>
      <c r="H397" s="884">
        <f t="shared" si="37"/>
        <v>11245</v>
      </c>
    </row>
    <row r="398" spans="1:8">
      <c r="A398" s="849" t="s">
        <v>1093</v>
      </c>
      <c r="B398" s="865" t="s">
        <v>138</v>
      </c>
      <c r="C398" s="851" t="s">
        <v>1</v>
      </c>
      <c r="D398" s="884">
        <f>+'10,1,2,8'!H48</f>
        <v>63078</v>
      </c>
      <c r="E398" s="990">
        <v>52443</v>
      </c>
      <c r="F398" s="884">
        <f t="shared" si="39"/>
        <v>50462.400000000001</v>
      </c>
      <c r="G398" s="884">
        <f t="shared" si="38"/>
        <v>41954.400000000001</v>
      </c>
      <c r="H398" s="884">
        <f t="shared" si="37"/>
        <v>10635</v>
      </c>
    </row>
    <row r="399" spans="1:8">
      <c r="A399" s="849" t="s">
        <v>1094</v>
      </c>
      <c r="B399" s="865" t="s">
        <v>139</v>
      </c>
      <c r="C399" s="851" t="s">
        <v>1</v>
      </c>
      <c r="D399" s="884">
        <f>+'10,1,2,9'!H48</f>
        <v>80193</v>
      </c>
      <c r="E399" s="990">
        <v>70903</v>
      </c>
      <c r="F399" s="884">
        <f t="shared" si="39"/>
        <v>64154.400000000001</v>
      </c>
      <c r="G399" s="884">
        <f t="shared" si="38"/>
        <v>56722.400000000001</v>
      </c>
      <c r="H399" s="884">
        <f t="shared" si="37"/>
        <v>9290</v>
      </c>
    </row>
    <row r="400" spans="1:8">
      <c r="A400" s="849" t="s">
        <v>1095</v>
      </c>
      <c r="B400" s="865" t="s">
        <v>140</v>
      </c>
      <c r="C400" s="851" t="s">
        <v>1</v>
      </c>
      <c r="D400" s="884">
        <f>+'10,1,2,10'!H48</f>
        <v>89224</v>
      </c>
      <c r="E400" s="990">
        <v>78393</v>
      </c>
      <c r="F400" s="884">
        <f t="shared" si="39"/>
        <v>71379.199999999997</v>
      </c>
      <c r="G400" s="884">
        <f t="shared" si="38"/>
        <v>62714.400000000001</v>
      </c>
      <c r="H400" s="884">
        <f t="shared" si="37"/>
        <v>10831</v>
      </c>
    </row>
    <row r="401" spans="1:8">
      <c r="A401" s="849" t="s">
        <v>1096</v>
      </c>
      <c r="B401" s="865" t="s">
        <v>141</v>
      </c>
      <c r="C401" s="851" t="s">
        <v>1</v>
      </c>
      <c r="D401" s="884">
        <f>+'10,1,2,11'!H48</f>
        <v>103497</v>
      </c>
      <c r="E401" s="990">
        <v>90230</v>
      </c>
      <c r="F401" s="884">
        <f t="shared" si="39"/>
        <v>82797.600000000006</v>
      </c>
      <c r="G401" s="884">
        <f t="shared" si="38"/>
        <v>72184</v>
      </c>
      <c r="H401" s="884"/>
    </row>
    <row r="402" spans="1:8">
      <c r="A402" s="858" t="s">
        <v>1097</v>
      </c>
      <c r="B402" s="867" t="s">
        <v>1735</v>
      </c>
      <c r="C402" s="880"/>
      <c r="D402" s="867"/>
      <c r="E402" s="990"/>
      <c r="F402" s="884"/>
      <c r="G402" s="884"/>
      <c r="H402" s="867"/>
    </row>
    <row r="403" spans="1:8">
      <c r="A403" s="849" t="s">
        <v>1098</v>
      </c>
      <c r="B403" s="862" t="s">
        <v>48</v>
      </c>
      <c r="C403" s="851"/>
      <c r="D403" s="886"/>
      <c r="E403" s="990"/>
      <c r="F403" s="884"/>
      <c r="G403" s="884"/>
      <c r="H403" s="886"/>
    </row>
    <row r="404" spans="1:8">
      <c r="A404" s="849" t="s">
        <v>1099</v>
      </c>
      <c r="B404" s="870" t="s">
        <v>1082</v>
      </c>
      <c r="C404" s="851" t="s">
        <v>1</v>
      </c>
      <c r="D404" s="884">
        <f>+'10,2,2'!H48</f>
        <v>25534</v>
      </c>
      <c r="E404" s="990">
        <v>17190</v>
      </c>
      <c r="F404" s="884">
        <f t="shared" si="39"/>
        <v>20427.2</v>
      </c>
      <c r="G404" s="884">
        <f t="shared" si="38"/>
        <v>13752</v>
      </c>
      <c r="H404" s="884">
        <f>D404-E404</f>
        <v>8344</v>
      </c>
    </row>
    <row r="405" spans="1:8">
      <c r="A405" s="849" t="s">
        <v>1100</v>
      </c>
      <c r="B405" s="870" t="s">
        <v>1083</v>
      </c>
      <c r="C405" s="851" t="s">
        <v>1</v>
      </c>
      <c r="D405" s="884">
        <f>+'10,2,3'!H48</f>
        <v>43426</v>
      </c>
      <c r="E405" s="990">
        <v>32113</v>
      </c>
      <c r="F405" s="884">
        <f t="shared" si="39"/>
        <v>34740.800000000003</v>
      </c>
      <c r="G405" s="884">
        <f t="shared" si="38"/>
        <v>25690.400000000001</v>
      </c>
      <c r="H405" s="884">
        <f>D405-E405</f>
        <v>11313</v>
      </c>
    </row>
    <row r="406" spans="1:8">
      <c r="A406" s="849" t="s">
        <v>1101</v>
      </c>
      <c r="B406" s="870" t="s">
        <v>1084</v>
      </c>
      <c r="C406" s="851" t="s">
        <v>1</v>
      </c>
      <c r="D406" s="884">
        <f>+'10,2,4'!H48</f>
        <v>65943</v>
      </c>
      <c r="E406" s="990">
        <v>48870</v>
      </c>
      <c r="F406" s="884">
        <f t="shared" si="39"/>
        <v>52754.400000000001</v>
      </c>
      <c r="G406" s="884">
        <f t="shared" si="38"/>
        <v>39096</v>
      </c>
      <c r="H406" s="884">
        <f>D406-E406</f>
        <v>17073</v>
      </c>
    </row>
    <row r="407" spans="1:8">
      <c r="A407" s="849" t="s">
        <v>1102</v>
      </c>
      <c r="B407" s="870" t="s">
        <v>134</v>
      </c>
      <c r="C407" s="851" t="s">
        <v>1</v>
      </c>
      <c r="D407" s="884">
        <f>+'10,2,5'!H47</f>
        <v>130462</v>
      </c>
      <c r="E407" s="990">
        <v>94875</v>
      </c>
      <c r="F407" s="884">
        <f t="shared" si="39"/>
        <v>104369.60000000001</v>
      </c>
      <c r="G407" s="884">
        <f t="shared" si="38"/>
        <v>75900</v>
      </c>
      <c r="H407" s="884">
        <f t="shared" ref="H407:H414" si="40">D407-E407</f>
        <v>35587</v>
      </c>
    </row>
    <row r="408" spans="1:8">
      <c r="A408" s="849" t="s">
        <v>1103</v>
      </c>
      <c r="B408" s="870" t="s">
        <v>1085</v>
      </c>
      <c r="C408" s="851" t="s">
        <v>1</v>
      </c>
      <c r="D408" s="884">
        <f>+'10,2,6'!H47</f>
        <v>210487</v>
      </c>
      <c r="E408" s="990">
        <v>151629</v>
      </c>
      <c r="F408" s="884">
        <f t="shared" si="39"/>
        <v>168389.6</v>
      </c>
      <c r="G408" s="884">
        <f t="shared" si="38"/>
        <v>121303.2</v>
      </c>
      <c r="H408" s="884">
        <f t="shared" si="40"/>
        <v>58858</v>
      </c>
    </row>
    <row r="409" spans="1:8">
      <c r="A409" s="849" t="s">
        <v>1104</v>
      </c>
      <c r="B409" s="870" t="s">
        <v>136</v>
      </c>
      <c r="C409" s="851" t="s">
        <v>1</v>
      </c>
      <c r="D409" s="884">
        <f>+'10,2,7'!H47</f>
        <v>356737</v>
      </c>
      <c r="E409" s="990">
        <v>229033</v>
      </c>
      <c r="F409" s="884">
        <f t="shared" si="39"/>
        <v>285389.59999999998</v>
      </c>
      <c r="G409" s="884">
        <f t="shared" si="38"/>
        <v>183226.4</v>
      </c>
      <c r="H409" s="884">
        <f t="shared" si="40"/>
        <v>127704</v>
      </c>
    </row>
    <row r="410" spans="1:8">
      <c r="A410" s="849" t="s">
        <v>1105</v>
      </c>
      <c r="B410" s="865" t="s">
        <v>137</v>
      </c>
      <c r="C410" s="851" t="s">
        <v>1</v>
      </c>
      <c r="D410" s="884">
        <f>+'10,2,8'!H47</f>
        <v>449615</v>
      </c>
      <c r="E410" s="990">
        <v>322829</v>
      </c>
      <c r="F410" s="884">
        <f t="shared" si="39"/>
        <v>359692</v>
      </c>
      <c r="G410" s="884">
        <f t="shared" si="38"/>
        <v>258263.2</v>
      </c>
      <c r="H410" s="884">
        <f t="shared" si="40"/>
        <v>126786</v>
      </c>
    </row>
    <row r="411" spans="1:8">
      <c r="A411" s="849" t="s">
        <v>1106</v>
      </c>
      <c r="B411" s="865" t="s">
        <v>138</v>
      </c>
      <c r="C411" s="851" t="s">
        <v>1</v>
      </c>
      <c r="D411" s="884">
        <f>+'10,2,9'!H47</f>
        <v>537868</v>
      </c>
      <c r="E411" s="990">
        <v>384789</v>
      </c>
      <c r="F411" s="884">
        <f t="shared" si="39"/>
        <v>430294.4</v>
      </c>
      <c r="G411" s="884">
        <f t="shared" si="38"/>
        <v>307831.2</v>
      </c>
      <c r="H411" s="884">
        <f t="shared" si="40"/>
        <v>153079</v>
      </c>
    </row>
    <row r="412" spans="1:8">
      <c r="A412" s="849" t="s">
        <v>1107</v>
      </c>
      <c r="B412" s="865" t="s">
        <v>139</v>
      </c>
      <c r="C412" s="851" t="s">
        <v>1</v>
      </c>
      <c r="D412" s="884">
        <f>+'10,2,10'!H47</f>
        <v>703186</v>
      </c>
      <c r="E412" s="990">
        <v>509499</v>
      </c>
      <c r="F412" s="884">
        <f t="shared" si="39"/>
        <v>562548.80000000005</v>
      </c>
      <c r="G412" s="884">
        <f t="shared" si="38"/>
        <v>407599.2</v>
      </c>
      <c r="H412" s="884">
        <f t="shared" si="40"/>
        <v>193687</v>
      </c>
    </row>
    <row r="413" spans="1:8">
      <c r="A413" s="849" t="s">
        <v>1108</v>
      </c>
      <c r="B413" s="865" t="s">
        <v>140</v>
      </c>
      <c r="C413" s="851" t="s">
        <v>1</v>
      </c>
      <c r="D413" s="884">
        <f>+'10,2,11'!H47</f>
        <v>888666</v>
      </c>
      <c r="E413" s="990">
        <v>644753</v>
      </c>
      <c r="F413" s="884">
        <f t="shared" si="39"/>
        <v>710932.8</v>
      </c>
      <c r="G413" s="884">
        <f t="shared" si="38"/>
        <v>515802.4</v>
      </c>
      <c r="H413" s="884">
        <f t="shared" si="40"/>
        <v>243913</v>
      </c>
    </row>
    <row r="414" spans="1:8">
      <c r="A414" s="849" t="s">
        <v>1109</v>
      </c>
      <c r="B414" s="860" t="s">
        <v>141</v>
      </c>
      <c r="C414" s="851" t="s">
        <v>1</v>
      </c>
      <c r="D414" s="884">
        <f>+'10,2,12'!H47</f>
        <v>1099154</v>
      </c>
      <c r="E414" s="990">
        <v>795151</v>
      </c>
      <c r="F414" s="884">
        <f t="shared" si="39"/>
        <v>879323.2</v>
      </c>
      <c r="G414" s="884">
        <f t="shared" si="38"/>
        <v>636120.80000000005</v>
      </c>
      <c r="H414" s="884">
        <f t="shared" si="40"/>
        <v>304003</v>
      </c>
    </row>
    <row r="415" spans="1:8">
      <c r="A415" s="858" t="s">
        <v>1110</v>
      </c>
      <c r="B415" s="867" t="s">
        <v>1751</v>
      </c>
      <c r="C415" s="880"/>
      <c r="D415" s="867"/>
      <c r="E415" s="990"/>
      <c r="F415" s="884"/>
      <c r="G415" s="884"/>
      <c r="H415" s="867"/>
    </row>
    <row r="416" spans="1:8">
      <c r="A416" s="858"/>
      <c r="B416" s="862" t="s">
        <v>1111</v>
      </c>
      <c r="C416" s="880"/>
      <c r="D416" s="867"/>
      <c r="E416" s="990"/>
      <c r="F416" s="884"/>
      <c r="G416" s="884"/>
      <c r="H416" s="867"/>
    </row>
    <row r="417" spans="1:8">
      <c r="A417" s="849" t="s">
        <v>1112</v>
      </c>
      <c r="B417" s="865" t="s">
        <v>1082</v>
      </c>
      <c r="C417" s="851" t="s">
        <v>1</v>
      </c>
      <c r="D417" s="884">
        <f>+'10,3,1'!H48</f>
        <v>22899</v>
      </c>
      <c r="E417" s="990">
        <v>16840</v>
      </c>
      <c r="F417" s="884">
        <f t="shared" si="39"/>
        <v>18319.2</v>
      </c>
      <c r="G417" s="884">
        <f t="shared" si="38"/>
        <v>13472</v>
      </c>
      <c r="H417" s="884">
        <f t="shared" ref="H417:H427" si="41">D417-E417</f>
        <v>6059</v>
      </c>
    </row>
    <row r="418" spans="1:8">
      <c r="A418" s="849" t="s">
        <v>1113</v>
      </c>
      <c r="B418" s="865" t="s">
        <v>1083</v>
      </c>
      <c r="C418" s="851" t="s">
        <v>1</v>
      </c>
      <c r="D418" s="884">
        <f>+'10,3,2'!H47</f>
        <v>38703</v>
      </c>
      <c r="E418" s="990">
        <v>30393</v>
      </c>
      <c r="F418" s="884">
        <f t="shared" si="39"/>
        <v>30962.400000000001</v>
      </c>
      <c r="G418" s="884">
        <f t="shared" si="38"/>
        <v>24314.400000000001</v>
      </c>
      <c r="H418" s="884">
        <f t="shared" si="41"/>
        <v>8310</v>
      </c>
    </row>
    <row r="419" spans="1:8">
      <c r="A419" s="849" t="s">
        <v>1114</v>
      </c>
      <c r="B419" s="865" t="s">
        <v>1084</v>
      </c>
      <c r="C419" s="851" t="s">
        <v>1</v>
      </c>
      <c r="D419" s="884">
        <f>+'10,3,3'!H47</f>
        <v>58191</v>
      </c>
      <c r="E419" s="990">
        <v>44301</v>
      </c>
      <c r="F419" s="884">
        <f t="shared" si="39"/>
        <v>46552.800000000003</v>
      </c>
      <c r="G419" s="884">
        <f t="shared" si="38"/>
        <v>35440.800000000003</v>
      </c>
      <c r="H419" s="884">
        <f t="shared" si="41"/>
        <v>13890</v>
      </c>
    </row>
    <row r="420" spans="1:8">
      <c r="A420" s="849" t="s">
        <v>1115</v>
      </c>
      <c r="B420" s="865" t="s">
        <v>134</v>
      </c>
      <c r="C420" s="851" t="s">
        <v>1</v>
      </c>
      <c r="D420" s="884">
        <f>+'10,3,4'!H47</f>
        <v>105995</v>
      </c>
      <c r="E420" s="990">
        <v>83806</v>
      </c>
      <c r="F420" s="884">
        <f t="shared" si="39"/>
        <v>84796</v>
      </c>
      <c r="G420" s="884">
        <f t="shared" si="38"/>
        <v>67044.800000000003</v>
      </c>
      <c r="H420" s="884">
        <f t="shared" si="41"/>
        <v>22189</v>
      </c>
    </row>
    <row r="421" spans="1:8">
      <c r="A421" s="849" t="s">
        <v>1116</v>
      </c>
      <c r="B421" s="865" t="s">
        <v>1085</v>
      </c>
      <c r="C421" s="851" t="s">
        <v>1</v>
      </c>
      <c r="D421" s="884">
        <f>+'10,3,5'!H47</f>
        <v>179686</v>
      </c>
      <c r="E421" s="990">
        <v>133045</v>
      </c>
      <c r="F421" s="884">
        <f t="shared" si="39"/>
        <v>143748.79999999999</v>
      </c>
      <c r="G421" s="884">
        <f t="shared" si="38"/>
        <v>106436</v>
      </c>
      <c r="H421" s="884">
        <f t="shared" si="41"/>
        <v>46641</v>
      </c>
    </row>
    <row r="422" spans="1:8">
      <c r="A422" s="849" t="s">
        <v>1117</v>
      </c>
      <c r="B422" s="865" t="s">
        <v>136</v>
      </c>
      <c r="C422" s="851" t="s">
        <v>1</v>
      </c>
      <c r="D422" s="884">
        <f>+'10,3,6'!H47</f>
        <v>268433</v>
      </c>
      <c r="E422" s="990">
        <v>196774</v>
      </c>
      <c r="F422" s="884">
        <f t="shared" si="39"/>
        <v>214746.4</v>
      </c>
      <c r="G422" s="884">
        <f t="shared" si="38"/>
        <v>157419.20000000001</v>
      </c>
      <c r="H422" s="884">
        <f t="shared" si="41"/>
        <v>71659</v>
      </c>
    </row>
    <row r="423" spans="1:8">
      <c r="A423" s="849" t="s">
        <v>1118</v>
      </c>
      <c r="B423" s="865" t="s">
        <v>137</v>
      </c>
      <c r="C423" s="851" t="s">
        <v>1</v>
      </c>
      <c r="D423" s="884">
        <f>+'10,3,7'!H47</f>
        <v>380565</v>
      </c>
      <c r="E423" s="990">
        <v>278861</v>
      </c>
      <c r="F423" s="884">
        <f t="shared" si="39"/>
        <v>304452</v>
      </c>
      <c r="G423" s="884">
        <f t="shared" si="38"/>
        <v>223088.8</v>
      </c>
      <c r="H423" s="884">
        <f t="shared" si="41"/>
        <v>101704</v>
      </c>
    </row>
    <row r="424" spans="1:8">
      <c r="A424" s="849" t="s">
        <v>1119</v>
      </c>
      <c r="B424" s="865" t="s">
        <v>138</v>
      </c>
      <c r="C424" s="851" t="s">
        <v>1</v>
      </c>
      <c r="D424" s="884">
        <f>+'10,3,8'!H47</f>
        <v>453532</v>
      </c>
      <c r="E424" s="990">
        <v>330206</v>
      </c>
      <c r="F424" s="884">
        <f t="shared" si="39"/>
        <v>362825.6</v>
      </c>
      <c r="G424" s="884">
        <f t="shared" si="38"/>
        <v>264164.8</v>
      </c>
      <c r="H424" s="884">
        <f t="shared" si="41"/>
        <v>123326</v>
      </c>
    </row>
    <row r="425" spans="1:8">
      <c r="A425" s="849" t="s">
        <v>1120</v>
      </c>
      <c r="B425" s="865" t="s">
        <v>139</v>
      </c>
      <c r="C425" s="851" t="s">
        <v>1</v>
      </c>
      <c r="D425" s="884">
        <f>+'10,3,9'!H47</f>
        <v>598059</v>
      </c>
      <c r="E425" s="990">
        <v>438614</v>
      </c>
      <c r="F425" s="884">
        <f t="shared" si="39"/>
        <v>478447.2</v>
      </c>
      <c r="G425" s="884">
        <f t="shared" si="38"/>
        <v>350891.2</v>
      </c>
      <c r="H425" s="884">
        <f t="shared" si="41"/>
        <v>159445</v>
      </c>
    </row>
    <row r="426" spans="1:8">
      <c r="A426" s="849" t="s">
        <v>1121</v>
      </c>
      <c r="B426" s="865" t="s">
        <v>140</v>
      </c>
      <c r="C426" s="851" t="s">
        <v>1</v>
      </c>
      <c r="D426" s="884">
        <f>+'10,3,10'!H47</f>
        <v>752864</v>
      </c>
      <c r="E426" s="990">
        <v>549489</v>
      </c>
      <c r="F426" s="884">
        <f t="shared" si="39"/>
        <v>602291.19999999995</v>
      </c>
      <c r="G426" s="884">
        <f t="shared" si="38"/>
        <v>439591.2</v>
      </c>
      <c r="H426" s="884">
        <f t="shared" si="41"/>
        <v>203375</v>
      </c>
    </row>
    <row r="427" spans="1:8" ht="15.75" thickBot="1">
      <c r="A427" s="1103" t="s">
        <v>1122</v>
      </c>
      <c r="B427" s="878" t="s">
        <v>141</v>
      </c>
      <c r="C427" s="882" t="s">
        <v>1</v>
      </c>
      <c r="D427" s="887">
        <f>+'10,3,11'!H47</f>
        <v>958378</v>
      </c>
      <c r="E427" s="1174">
        <v>697019</v>
      </c>
      <c r="F427" s="887">
        <f t="shared" si="39"/>
        <v>766702.4</v>
      </c>
      <c r="G427" s="887">
        <f t="shared" si="38"/>
        <v>557615.19999999995</v>
      </c>
      <c r="H427" s="887">
        <f t="shared" si="41"/>
        <v>261359</v>
      </c>
    </row>
    <row r="431" spans="1:8">
      <c r="F431" s="1175"/>
    </row>
    <row r="432" spans="1:8">
      <c r="F432" s="1175"/>
    </row>
  </sheetData>
  <mergeCells count="6">
    <mergeCell ref="B3:D3"/>
    <mergeCell ref="A8:B8"/>
    <mergeCell ref="E7:E8"/>
    <mergeCell ref="H7:H8"/>
    <mergeCell ref="F7:F8"/>
    <mergeCell ref="G7:G8"/>
  </mergeCells>
  <hyperlinks>
    <hyperlink ref="B25" location="'2,1'!A1" display="Demolición Muro sencillo  E=0,15"/>
    <hyperlink ref="B26" location="'2,2'!A1" display="Demolición Muro doble  E=0,25"/>
    <hyperlink ref="B27" location="'2,5'!A1" display="Demolición Estructura Concreto Ciclopeo"/>
    <hyperlink ref="B28" location="'2,6'!A1" display="Demolición Estructura Concreto Reforzado"/>
    <hyperlink ref="B31" location="'3,1'!A1" display="Excavaciones en material común "/>
    <hyperlink ref="B32" location="'3,2'!A1" display="Excavaciones en conglomerado "/>
    <hyperlink ref="B33" location="'3,3'!A1" display="Excavaciones en roca "/>
    <hyperlink ref="B34" location="'3,4'!A1" display="Excavaciones en Roca con Explosivos"/>
    <hyperlink ref="B36" location="'3,5'!A1" display="Excavaciones en material común "/>
    <hyperlink ref="B37" location="'3,6'!A1" display="Excavaciones en conglomerado "/>
    <hyperlink ref="B38" location="'3,7'!A1" display="Excavaciones en roca "/>
    <hyperlink ref="B40" location="'3,8'!A1" display="Excavaciones en material común "/>
    <hyperlink ref="B41" location="'3,9'!A1" display="Excavaciones en conglomerado "/>
    <hyperlink ref="B42" location="'3,10'!A1" display="Excavaciones en roca "/>
    <hyperlink ref="B43" location="'3,11'!A1" display="Excavaciones en Roca con Explosivos"/>
    <hyperlink ref="B45" location="'3,12'!A1" display="Excavaciones en material común "/>
    <hyperlink ref="B46" location="'3,13'!A1" display="Excavaciones en conglomerado "/>
    <hyperlink ref="B47" location="'3,14'!A1" display="Excavaciones en roca "/>
    <hyperlink ref="B49" location="'3,15'!A1" display="Excavaciones en material común "/>
    <hyperlink ref="B50" location="'3,16'!A1" display="Excavaciones en conglomerado "/>
    <hyperlink ref="B51" location="'3,17'!A1" display="Excavaciones en roca "/>
    <hyperlink ref="B54" location="'4,1'!A1" display="Excavaciones en material común y Conglomerado"/>
    <hyperlink ref="B55" location="'4,2'!A1" display="Excavaciones en roca "/>
    <hyperlink ref="B57" location="'4,3'!A1" display="Excavaciones en material común y Conglomerado"/>
    <hyperlink ref="B58" location="'4,4'!A1" display="Excavaciones en roca "/>
    <hyperlink ref="B60" location="'4,5'!A1" display="Excavaciones en material común y Conglomerado"/>
    <hyperlink ref="B61" location="'4,6'!A1" display="Excavaciones en roca "/>
    <hyperlink ref="B63" location="'4,7'!A1" display="Excavaciones en material común y Conglomerado"/>
    <hyperlink ref="B64" location="'4,8'!A1" display="Excavaciones en roca "/>
    <hyperlink ref="B66" location="'4,9'!A1" display="Excavaciones en material común y Conglomerado"/>
    <hyperlink ref="B67" location="'4,10'!A1" display="Excavaciones en roca "/>
    <hyperlink ref="B69" location="'4,11'!A1" display="Excavaciones en material común y Conglomerado"/>
    <hyperlink ref="B70" location="'4,12'!A1" display="Excavaciones en roca "/>
    <hyperlink ref="B89" location="'6,1'!A1" display="Cargue, suministro, extendida y compactación de base granular "/>
    <hyperlink ref="B90" location="'6,2'!A1" display="Cargue, suministro, extendida y compactación de sub-base granular "/>
    <hyperlink ref="B92" location="'6,4'!A1" display="Imprimación o Riego de Liga"/>
    <hyperlink ref="B93" location="'6,5'!A1" display="Suministro de mezcla asfáltica tipo rodadura sobre terminadora"/>
    <hyperlink ref="B94" location="'6,6'!A1" display="Aplicación carpeta asfáltica - incluye compactación"/>
    <hyperlink ref="B95" location="'6,7'!A1" display="Construcción placa en concreto 3000 p.s.i. e= 0,13 m. "/>
    <hyperlink ref="B96" location="'6,8'!A1" display="Construcción placa en concreto 3000 p.s.i. e= 0,15 m. "/>
    <hyperlink ref="B97" location="'6,9'!A1" display="Reconstrucción pavimento asfáltico E=2&quot; - Incluye mezcla asfáltica E=2&quot;, base granular, E=0,25 m, y sub- base E=0,30 m"/>
    <hyperlink ref="B98" location="'6,10'!A1" display="Reconstrucción pavimento asfáltico E=3&quot; - Incluye mezcla asfáltica E=3&quot;, base granular, E=0,25 m, y sub- base E=0,30 m"/>
    <hyperlink ref="B99" location="'6,12'!A1" display="Parcheo de  pavimento asfáltico - Incluye imprimación o riego de liga, suministro, extendida y compactación de la mezcla asfáltica"/>
    <hyperlink ref="B100" location="'6,13'!A1" display="Rotura pavimento rígido E= 0,15 m."/>
    <hyperlink ref="B101" location="'6,14'!A1" display="Rotura pavimento rígido E= 0,10 m."/>
    <hyperlink ref="B102" location="'6,15'!A1" display="Rotura pavimento flexible E= 0,10 m."/>
    <hyperlink ref="B103" location="'6,16'!A1" display="Rotura pavimento flexible para parcheo (incluye cargue a mano y retiro de sobrantes)"/>
    <hyperlink ref="B104" location="'6,17'!A1" display="Rotura pavimento rígido para parcheo (incluye cargue a mano y retiro de sobrantes)"/>
    <hyperlink ref="B105" location="'6,18'!A1" display="Explanacion y Cajeo"/>
    <hyperlink ref="B106" location="'6,19'!A1" display="Nivelacion y Compactacion de la Subrasante"/>
    <hyperlink ref="B108" location="'6,21'!A1" display="Corte de Pavimento Rigido con Cortadora"/>
    <hyperlink ref="B109" location="'6,22'!A1" display="Rotura de Pavimento Flexible"/>
    <hyperlink ref="B110" location="'6,23'!A1" display="Rotura de Pavimento Rigido"/>
    <hyperlink ref="B112" location="'7,1'!A1" display="Muro en ladrillo tolete común e = 12 Cms"/>
    <hyperlink ref="B113" location="'7,2'!A1" display="Acero de refuerzo figurado e instalado A: 60"/>
    <hyperlink ref="B114" location="'7,3'!A1" display="Acero de refuerzo figurado e instalado A: 37"/>
    <hyperlink ref="B118" location="'8,1,1'!A1" display="De Diametro 6&quot;"/>
    <hyperlink ref="B119" location="'8,1,2'!A1" display="De Diametro 8&quot;"/>
    <hyperlink ref="B120" location="'8,1,3'!A1" display="De Diametro 10&quot;"/>
    <hyperlink ref="B121" location="'8,1,4'!A1" display="De Diametro 12&quot;"/>
    <hyperlink ref="B122" location="'8,1,5'!A1" display="De Diametro 14&quot;"/>
    <hyperlink ref="B123" location="'8,1,6'!A1" display="De Diametro 16&quot;"/>
    <hyperlink ref="B124" location="'8,1,7'!A1" display="De Diametro 18&quot;"/>
    <hyperlink ref="B125" location="'8,1,8'!A1" display="De Diametro 20&quot;"/>
    <hyperlink ref="B126" location="'8,1,9'!A1" display="De Diametro 24&quot;"/>
    <hyperlink ref="B128" location="'8,2,1'!A1" display="De Diametro 6&quot;"/>
    <hyperlink ref="B129" location="'8,2,2'!A1" display="De Diametro 8&quot;"/>
    <hyperlink ref="B130" location="'8,2,3'!A1" display="De Diametro 10&quot;"/>
    <hyperlink ref="B131" location="'8,2,4'!A1" display="De Diametro 12&quot;"/>
    <hyperlink ref="B132" location="'8,2,5'!A1" display="De Diametro 14&quot;"/>
    <hyperlink ref="B133" location="'8,2,6'!A1" display="De Diametro 16&quot;"/>
    <hyperlink ref="B134" location="'8,2,7'!A1" display="De Diametro 18&quot;"/>
    <hyperlink ref="B135" location="'8,2,8'!A1" display="De Diametro 20&quot;"/>
    <hyperlink ref="B136" location="'8,2,9'!A1" display="De Diametro 24&quot;"/>
    <hyperlink ref="B139" location="'9,1,1'!A1" display="De Diametro 6&quot;"/>
    <hyperlink ref="B140" location="'9,1,2'!A1" display="De Diametro 8&quot;"/>
    <hyperlink ref="B141" location="'9,1,3'!A1" display="De Diametro 10&quot;"/>
    <hyperlink ref="B142" location="'9,1,4'!A1" display="De Diametro 12&quot;"/>
    <hyperlink ref="B143" location="'9,1,5'!A1" display="De Diametro 14&quot;"/>
    <hyperlink ref="B144" location="'9,1,6'!A1" display="De Diametro 16&quot;"/>
    <hyperlink ref="B145" location="'9,1,7'!A1" display="De Diametro 18&quot;"/>
    <hyperlink ref="B146" location="'9,1,8'!A1" display="De Diametro 20&quot;"/>
    <hyperlink ref="B147" location="'9,1,9'!A1" display="De Diametro 24&quot;"/>
    <hyperlink ref="B150" location="'10,1,1'!A1" display="De Diametro 6&quot;"/>
    <hyperlink ref="B151" location="'10,1,2'!A1" display="De Diametro 8&quot;"/>
    <hyperlink ref="B152" location="'10,1,3'!A1" display="De Diametro 10&quot;"/>
    <hyperlink ref="B153" location="'10,1,4'!A1" display="De Diametro 12&quot;"/>
    <hyperlink ref="B154" location="'10,1,5'!A1" display="De Diametro 14&quot;"/>
    <hyperlink ref="B155" location="'10,1,6'!A1" display="De Diametro 16&quot;"/>
    <hyperlink ref="B156" location="'10,1,7'!A1" display="De Diametro 18&quot;"/>
    <hyperlink ref="B157" location="'10,1,8'!A1" display="De Diametro 20&quot;"/>
    <hyperlink ref="B158" location="'10,1,9'!A1" display="De Diametro 24&quot;"/>
    <hyperlink ref="B161" location="'11,1,1'!A1" display="De Diametro 24&quot;"/>
    <hyperlink ref="B162" location="'11,1,2'!A1" display="De Diametro 27&quot;"/>
    <hyperlink ref="B163" location="'11,1,3'!A1" display="De Diametro 30&quot;"/>
    <hyperlink ref="B164" location="'11,1,4'!A1" display="De Diametro 36&quot;"/>
    <hyperlink ref="B165" location="'11,1,5'!A1" display="De Diametro 40&quot;"/>
    <hyperlink ref="B166" location="'11,1,6'!A1" display="De Diametro 44&quot;"/>
    <hyperlink ref="B167" location="'11,1,7'!A1" display="De Diametro 48&quot;"/>
    <hyperlink ref="B169" location="'11,2,1'!A1" display="De Diametro 24&quot;"/>
    <hyperlink ref="B170" location="'11,2,2'!A1" display="De Diametro 27&quot;"/>
    <hyperlink ref="B171" location="'11,2,3'!A1" display="De Diametro 30&quot;"/>
    <hyperlink ref="B172" location="'11,2,4'!A1" display="De Diametro 36&quot;"/>
    <hyperlink ref="B173" location="'11,2,5'!A1" display="De Diametro 40&quot;"/>
    <hyperlink ref="B174" location="'11,2,6'!A1" display="De Diametro 44&quot;"/>
    <hyperlink ref="B175" location="'11,2,7'!A1" display="De Diametro 48&quot;"/>
    <hyperlink ref="B178" location="'12,1,1'!A1" display="De Diametro 24&quot;"/>
    <hyperlink ref="B179" location="'12,1,2'!A1" display="De Diametro 27&quot;"/>
    <hyperlink ref="B180" location="'12,1,3'!A1" display="De Diametro 30&quot;"/>
    <hyperlink ref="B181" location="'12,1,4'!A1" display="De Diametro 36&quot;"/>
    <hyperlink ref="B182" location="'12,1,5'!A1" display="De Diametro 40&quot;"/>
    <hyperlink ref="B183" location="'12,1,6'!A1" display="De Diametro 44&quot;"/>
    <hyperlink ref="B184" location="'12,1,7'!A1" display="De Diametro 48&quot;"/>
    <hyperlink ref="B186" location="'12,2,1'!A1" display="De Diametro 24&quot;"/>
    <hyperlink ref="B187" location="'12,2,2'!A1" display="De Diametro 27&quot;"/>
    <hyperlink ref="B188" location="'12,2,3'!A1" display="De Diametro 30&quot;"/>
    <hyperlink ref="B189" location="'12,2,4'!A1" display="De Diametro 36&quot;"/>
    <hyperlink ref="B190" location="'12,2,5'!A1" display="De Diametro 40&quot;"/>
    <hyperlink ref="B191" location="'12,2,6'!A1" display="De Diametro 44&quot;"/>
    <hyperlink ref="B192" location="'12,2,7'!A1" display="De Diametro 48&quot;"/>
    <hyperlink ref="B195" location="'13,1,1'!A1" display="De Diametro 6&quot;   o 200 mm"/>
    <hyperlink ref="B196" location="'13,1,2'!A1" display="De Diametro 8&quot;   "/>
    <hyperlink ref="B197" location="'13,1,3'!A1" display="De Diametro 10&quot; o 250 mm"/>
    <hyperlink ref="B198" location="'13,1,4'!A1" display="De Diametro 12&quot; o 315 mm"/>
    <hyperlink ref="B200" location="'13,1,6'!A1" display="De Diametro 16&quot; "/>
    <hyperlink ref="B201" location="'13,1,7'!A1" display="De Diametro 18&quot; "/>
    <hyperlink ref="B202" location="'13,1,8'!A1" display="De Diametro 20&quot; "/>
    <hyperlink ref="B203" location="'13,1,9'!A1" display="De Diametro 24&quot;"/>
    <hyperlink ref="B204" location="'13,1,10'!A1" display="De Diametro 27&quot;"/>
    <hyperlink ref="B205" location="'13,1,11'!A1" display="De Diametro 30&quot;"/>
    <hyperlink ref="B206" location="'13,1,12'!A1" display="De Diametro 33&quot;"/>
    <hyperlink ref="B207" location="'13,1,13'!A1" display="De Diametro 36&quot;"/>
    <hyperlink ref="B210" location="'14,1,1'!A1" display="De Diametro 8&quot;   o 200 mm"/>
    <hyperlink ref="B211" location="'14,1,2'!A1" display="De Diametro 10&quot; o 250 mm"/>
    <hyperlink ref="B212" location="'14,1,3'!A1" display="De Diametro 12&quot; o 315 mm"/>
    <hyperlink ref="B214" location="'14,1,5'!A1" display="De Diametro 16&quot; "/>
    <hyperlink ref="B215" location="'14,1,6'!A1" display="De Diametro 18&quot; "/>
    <hyperlink ref="B216" location="'14,1,7'!A1" display="De Diametro 20&quot; "/>
    <hyperlink ref="B217" location="'14,1,8'!A1" display="De Diametro 24&quot;"/>
    <hyperlink ref="B218" location="'14,1,9'!A1" display="De Diametro 27&quot;"/>
    <hyperlink ref="B219" location="'14,1,10'!A1" display="De Diametro 30&quot;"/>
    <hyperlink ref="B220" location="'14,1,11'!A1" display="De Diametro 33&quot;"/>
    <hyperlink ref="B221" location="'14,1,12'!A1" display="De Diametro 36&quot;"/>
    <hyperlink ref="B224" location="'15,1,1'!A1" display="De Diametro 6&quot;   o 160 mm"/>
    <hyperlink ref="B225" location="'15,1,2'!A1" display="De Diametro 8&quot;   o 200 mm"/>
    <hyperlink ref="B226" location="'15,1,3'!A1" display="De Diametro 10&quot; o 250 mm"/>
    <hyperlink ref="B227" location="'15,1,4'!A1" display="De Diametro 12&quot; o 315 mm"/>
    <hyperlink ref="B229" location="'15,1,6'!A1" display="De Diametro 16&quot; "/>
    <hyperlink ref="B230" location="'15,1,7'!A1" display="De Diametro 18&quot; "/>
    <hyperlink ref="B231" location="'15,1,8'!A1" display="De Diametro 20&quot; "/>
    <hyperlink ref="B234" location="'16,1,1'!A1" display="De Diametro 8&quot;   o 200 mm"/>
    <hyperlink ref="B235" location="'16,1,2'!A1" display="De Diametro 10&quot; o 250 mm"/>
    <hyperlink ref="B236" location="'16,1,3'!A1" display="De Diametro 12&quot; o 315 mm"/>
    <hyperlink ref="B238" location="'16,1,5'!A1" display="De Diametro 16&quot; "/>
    <hyperlink ref="B239" location="'16,1,6'!A1" display="De Diametro 18&quot; "/>
    <hyperlink ref="B240" location="'16,1,7'!A1" display="De Diametro 20&quot; "/>
    <hyperlink ref="B243" location="'17,1,1'!A1" display="De Diametro 24&quot;"/>
    <hyperlink ref="B244" location="'17,1,2'!A1" display="De Diametro 27&quot;"/>
    <hyperlink ref="B245" location="'17,1,3'!A1" display="De Diametro 30&quot;"/>
    <hyperlink ref="B246" location="'17,1,4'!A1" display="De Diametro 33&quot;"/>
    <hyperlink ref="B247" location="'17,1,5'!A1" display="De Diametro 36&quot;"/>
    <hyperlink ref="B249" location="'17,1,7'!A1" display="De Diametro 42&quot;"/>
    <hyperlink ref="B252" location="'18,1,1'!A1" display="De Diametro 24&quot;"/>
    <hyperlink ref="B253" location="'18,1,2'!A1" display="De Diametro 27&quot;"/>
    <hyperlink ref="B254" location="'18,1,3'!A1" display="De Diametro 30&quot;"/>
    <hyperlink ref="B255" location="'18,1,4'!A1" display="De Diametro 33&quot;"/>
    <hyperlink ref="B256" location="'18,1,5'!A1" display="De Diametro 36&quot;"/>
    <hyperlink ref="B257" location="'18,1,6'!A1" display="De Diametro 39&quot;"/>
    <hyperlink ref="B258" location="'18,1,7'!A1" display="De Diametro 42&quot;"/>
    <hyperlink ref="B261" location="'19,1,1'!A1" display="Base y cañuela en concreto de 3.000 PSI e = 0,30 Mts"/>
    <hyperlink ref="B262" location="'19,1,2'!A1" display="Pañete interior "/>
    <hyperlink ref="B263" location="'19,1,3'!A1" display="Cilindro en ladrillo e = 0,30 Mts"/>
    <hyperlink ref="B264" location="'19,1,4'!A1" display="Cono de reducción H = 0,65 Mts"/>
    <hyperlink ref="B265" location="'19,1,5'!A1" display="Pasos en hierro de 3/4&quot; con anticorrosivo  C/40 cm"/>
    <hyperlink ref="B266" location="'19,1,6'!A1" display="Suministro e instalación aro - tapa tráfico pesado"/>
    <hyperlink ref="B267" location="'19,1,7'!A1" display="Suministro e Instalacion de Tapas en Fribroconcreto"/>
    <hyperlink ref="B268" location="'19,1,8'!A1" display="Caja de inspección 60 x 60 x 100 Cmts"/>
    <hyperlink ref="B269" location="'19,1,9'!A1" display="Caja de inspección 80 x 60 x 100 Cmts"/>
    <hyperlink ref="B270" location="'19,1,10'!A1" display="Sumidero en concreto 3.000 PSI tipo SL 100"/>
    <hyperlink ref="B271" location="'19,1,11'!A1" display="Sumidero en fibro-concreto"/>
    <hyperlink ref="B272" location="'19,1,12'!A1" display="Cámara de caida Diametro 8&quot;,revestida en concreto,malla con vena"/>
    <hyperlink ref="B273" location="'19,1,13'!A1" display="Cámara de caida Diametro 12&quot;revestida en concreto,malla con vena"/>
    <hyperlink ref="B274" location="'19,1,14'!A1" display="Cilindro en concreto de 3000 psi  e= 0,20 M"/>
    <hyperlink ref="B275" location="'19,1,15'!A1" display="Cuneta sección L en concreto simple 3.000 PSI incluye base en recebo compactado e = 0,10 Mts"/>
    <hyperlink ref="B277" location="'19,2,1'!A1" display="Base y cañuela en concreto de 3.000 PSI e = 0,30 Mts"/>
    <hyperlink ref="B278" location="'19,2,2'!A1" display="Pañete interior "/>
    <hyperlink ref="B279" location="'19,2,3'!A1" display="Cilindro en ladrillo e = 0,30 Mts"/>
    <hyperlink ref="B280" location="'19,2,4'!A1" display="Cono de reducción H = 0,90 Mts"/>
    <hyperlink ref="B282" location="'20,1'!A1" display="Señalizacion en Guadua C/3 mts y Polisombra de h=2mts"/>
    <hyperlink ref="B283" location="'20,4'!A1" display="SUMINISTRO E INSTALACION LECHO EN ARENA PARA TUBERIA"/>
    <hyperlink ref="B284" location="'20,5'!A1" display="SUMINISTRO E INSTALACION LECHO EN GRAVILLA PARA CAMA TUBERIA D= 1/2 a 3/4"/>
    <hyperlink ref="B285" location="'20,6'!A1" display="SUMINISTRO E INSTALACION DE SILLA YEE 8X 6&quot;  PVCINCLUYE AGARRADERAS CAUCHO Y ADERENCIA"/>
    <hyperlink ref="B286" location="'20,7'!A1" display="SUMINISTRO E INSTALACION DE SILLA YEE 10X 6&quot;  PVCINCLUYE AGARRADERAS CAUCHO Y ADERENCIA"/>
    <hyperlink ref="B287" location="'20,8'!A1" display="SUMINISTRO E INSTALACION DE SILLA YEE 12X 6&quot;  PVCINCLUYE AGARRADERAS CAUCHO Y ADERENCIA"/>
    <hyperlink ref="B288" location="'20,9'!A1" display="SUMINISTRO E INSTALACION DE SILLA YEE 14X 6&quot;  PVCINCLUYE AGARRADERAS CAUCHO Y ADERENCIA"/>
    <hyperlink ref="B289" location="'20,10'!A1" display="SUMINISTRO E INSTALACION DE SILLA YEE 16X 6&quot;  PVCINCLUYE AGARRADERAS CAUCHO Y ADERENCIA"/>
    <hyperlink ref="B290" location="'20,11'!A1" display="SUMINISTRO E INSTALACION DE SILLA YEE 18X 6&quot;  PVCINCLUYE AGARRADERAS CAUCHO Y ADERENCIA"/>
    <hyperlink ref="B291" location="'20,12'!A1" display="SUMINISTRO E INSTALACION DE SILLA YEE 20X 6&quot;  PVCINCLUYE AGARRADERAS CAUCHO Y ADERENCIA"/>
    <hyperlink ref="B292" location="'20,13'!A1" display="SUMINISTRO E INSTALACION DE SILLA YEE 24X 6&quot;  PVCINCLUYE AGARRADERAS CAUCHO Y ADERENCIA"/>
    <hyperlink ref="B293" location="'20,14'!A1" display="SUMINISTRO E INSTALACIÓN YEES EN CONCRETO DE 8X 6&quot;"/>
    <hyperlink ref="B294" location="'20,15'!A1" display="SUMINISTRO E INSTALACIÓN YEES EN CONCRETO DE 10X 6&quot; "/>
    <hyperlink ref="B295" location="'20,16'!A1" display="SUMINISTRO E INSTALACION YEES EN CONCRETO DE 12X 6&quot; "/>
    <hyperlink ref="B296" location="'20,17'!A1" display="SUMINISTRO E INSTALACIÓN YEES EN CONCRETO DE 14X 6&quot;"/>
    <hyperlink ref="B297" location="'20,18'!A1" display="SUMINISTRO E INSTALACIÓN YEES EN CONCRETO DE 16X 6&quot; "/>
    <hyperlink ref="B298" location="'20,19'!A1" display="SUMINISTRO E INSTALACIÓN YEES EN CONCRETO DE 18X 6&quot; "/>
    <hyperlink ref="B299" location="'20,20'!A1" display="SUMINISTRO E INSTALACIÓN YEES EN CONCRETO DE 20X 6&quot; "/>
    <hyperlink ref="B300" location="'20,21'!A1" display="SUMINISTRO E INSTALACIÓN YEES EN CONCRETO DE 24X 6&quot; "/>
    <hyperlink ref="B301" location="'20,22'!A1" display="SUMINISTRO E INSTALACIÓN CODOS EN CONCRETO DE 8 &quot;"/>
    <hyperlink ref="B302" location="'20,23'!A1" display="SUMINISTRO E INSTALACIÓN CODOS EN CONCRETO DE 10 &quot;"/>
    <hyperlink ref="B303" location="'20,24'!A1" display="SUMINISTRO E INSTALACIÓN CODOS EN CONCRETO DE 12 &quot;"/>
    <hyperlink ref="B304" location="'20,25'!A1" display="SUMINISTRO E INSTALACIÓN CODOS EN CONCRETO DE 14 &quot;"/>
    <hyperlink ref="B305" location="'20,26'!A1" display="MANTENIMIENTO  FORESTAL"/>
    <hyperlink ref="B306" location="'20,27'!A1" display="DESMONTE Y LIMPIEZA"/>
    <hyperlink ref="B307" location="'20,28'!A1" display="REFORESTACION"/>
    <hyperlink ref="B308" location="'20,29'!A1" display="CERCAS VIVAS"/>
    <hyperlink ref="B309" location="'20,30'!A1" display="ARBORIZACION"/>
    <hyperlink ref="B310" location="'20,31'!A1" display="Trinchos en guadua"/>
    <hyperlink ref="B311" location="'20,32'!A1" display="Trinchos en esterilla"/>
    <hyperlink ref="B312" location="'20,33'!A1" display="Gaviones, triple torsion,cal 12, suministro e instalacion "/>
    <hyperlink ref="B313" location="'20,34'!A1" display="Limpieza de colectores"/>
    <hyperlink ref="B314" location="'20,35'!A1" display="Empradización con cespedón"/>
    <hyperlink ref="B315" location="'20,36'!A1" display="Utilizacion de Motobomba "/>
    <hyperlink ref="B316" location="'20,37'!A1" display="Manejo de Aguas Con Diametros de 8&quot; a 12&quot;"/>
    <hyperlink ref="B317" location="'20,38'!A1" display="Manejo de Aguas Con Diametros de 12&quot; a 24&quot;"/>
    <hyperlink ref="B318" location="'20,39'!A1" display="Manejo de Aguas Con Diametros de 24&quot; a 30&quot;"/>
    <hyperlink ref="B319" location="'20,40'!A1" display="Manejo de Aguas mas de 30&quot;"/>
    <hyperlink ref="B325" location="'8,1'!A1" display="INSTALACIÓN REGISTRO DE CORTE O INCORPORACION EN PVC  1/2&quot; - 3/4&quot;"/>
    <hyperlink ref="B326" location="'8,2'!A1" display="INSTALACIÓN DE UNIÓN PF 1/2&quot; - 3/4&quot;"/>
    <hyperlink ref="B327" location="'8,3'!A1" display="INSTALACIÓN DE GALÁPAGO O COLLARIN DE 3&quot; - 4&quot; X ( 1/2&quot; - 3/4&quot; )"/>
    <hyperlink ref="B328" location="'8,4'!A1" display="INSTALACIÓN DE ACCESORIOS DE 3&quot; Y 4&quot;"/>
    <hyperlink ref="B329" location="'8,5'!A1" display="INSTALACIÓN DE ACCESORIOS DE 6&quot; Y 8&quot;"/>
    <hyperlink ref="B330" location="'8,6'!A1" display="INSTALACIÓN DE ACCESORIOS ENTRE 10&quot; Y 18&quot;"/>
    <hyperlink ref="B331" location="'8,7'!A1" display="CODO DE 90º DN 6&quot; (150mm) EXTREMO DE JUNTA HIDRAULICA"/>
    <hyperlink ref="B332" location="'8,8'!A1" display="CODO DE 90º DN 8&quot; (200mm) EXTREMO DE JUNTA HIDRAULICA"/>
    <hyperlink ref="B333" location="'8,9'!A1" display="CODO DE 90º DN 10&quot; (250mm) EXTREMO DE JUNTA HIDRAULICA"/>
    <hyperlink ref="B334" location="'8,10'!A1" display="CODO DE 90º DN 12&quot; (300mm) EXTREMO DE JUNTA HIDRAULICA"/>
    <hyperlink ref="B335" location="'8,11'!A1" display="TEE DN 6&quot;X6&quot; (150mmX150mm) EXTREMO JENTA HIDRAULICA"/>
    <hyperlink ref="B336" location="'8,12'!A1" display="TEE DN 8&quot;X8&quot; (200mmX200mm) EXTREMO JENTA HIDRAULICA"/>
    <hyperlink ref="B337" location="'8,13'!A1" display="CRUZ DN 6&quot;X6&quot; (150mmX150mm) EXTREMO JENTA HIDRAULICA"/>
    <hyperlink ref="B338" location="'8,14'!A1" display="CRUZ DN 8&quot;X8&quot; (200mmX200mm) EXTREMO JENTA HIDRAULICA"/>
    <hyperlink ref="B339" location="'8,15'!A1" display="CRUZ DN 10&quot;X10&quot; (250mmX250mm) EXTREMO JENTA HIDRAULICA"/>
    <hyperlink ref="B340" location="'8,16'!A1" display="CRUZ DN 12&quot;X12&quot; (300mmX300mm) EXTREMO JUNTA HIDRAULICA"/>
    <hyperlink ref="B342" location="'9,1'!A1" display="Suministro e Instalación de registro de corte o incorporación 1/2&quot; "/>
    <hyperlink ref="B345" location="'9,4'!A1" display="Suministro e Instalación de registro de incorporación 3/4&quot; (BRONCE)"/>
    <hyperlink ref="B346" location="'9,5'!A1" display="Suministro e Instalación de unión P.F 1/2&quot; "/>
    <hyperlink ref="B347" location="'9,6'!A1" display="Suministro e Instalación de unión P.F  3/4&quot;"/>
    <hyperlink ref="B348" location="'9,7,'!A1" display="Suministro e Instalación de PF macho y Hembra de 1/2 y 3/4&quot;"/>
    <hyperlink ref="B349" location="'9,8'!A1" display="Suministro e Instalacion Llave de Paso 1/2&quot;"/>
    <hyperlink ref="B350" location="'9,9'!A1" display="Suministro e Instalacion Llave de Paso 3/4&quot;"/>
    <hyperlink ref="B351" location="'9,10'!A1" display="Suministro e Instalacion de Llave de Paso 1&quot;"/>
    <hyperlink ref="B352" location="'9,11'!A1" display="Suministro e Instalacion de Llave de Paso 2&quot;"/>
    <hyperlink ref="B353" location="'9,12'!A1" display="Suministro e Instalcion de Llave de Paso 3&quot;"/>
    <hyperlink ref="B354" location="'9,13'!A1" display="Suministro e Instalacion de Llave de Paso 4&quot;"/>
    <hyperlink ref="B355" location="'9,14'!A1" display="Suministro e Instalación  Tuberia P.F de 1/2&quot;"/>
    <hyperlink ref="B356" location="'9,15'!A1" display="Suministro e Instalación  Tuberia P.F de 3/4&quot;"/>
    <hyperlink ref="B357" location="'9,16'!A1" display="Suministro e Instalacion de Collar de Derivacion en Hierro Ductil de 3&quot;  X 1/2&quot;"/>
    <hyperlink ref="B358" location="'9,17'!A1" display="Suministro e Instalacion de Collar de Derivacion en Hierro Ductil de 3&quot;  X 3/4&quot;"/>
    <hyperlink ref="B360" location="'9,19'!A1" display="Suministro e Instalacion Collar de Derivacion en Hierro Ductil 4&quot; X 1/2&quot;"/>
    <hyperlink ref="B361" location="'9,20'!A1" display="Suministro e Instalacion Collar de Derivacion en Hierro Ductil 4&quot; X 3/4&quot;"/>
    <hyperlink ref="B362" location="'9,21'!A1" display="Suministro e Instalacion Collar de Derivacion en Hierro Ductil 4&quot; X 1&quot;"/>
    <hyperlink ref="B363" location="'9,22'!A1" display="Suministro e Instalacion Collar de Derivacion en Hierro Ductil 6&quot; X 1/2&quot;"/>
    <hyperlink ref="B364" location="'9,23'!A1" display="Suministro e Instalacion Collar de Derivacion en Hierro Ductil 6&quot; X 3/4&quot;"/>
    <hyperlink ref="B365" location="'9,24'!A1" display="Suministro e Instalacion Collar de Derivacion en Hierro Ductil 6&quot; X 1&quot;"/>
    <hyperlink ref="B366" location="'9,25'!A1" display="Suministro e Instalacion Valvulas de Compuerta Sello de Bronce Vastago no Ascendente Extremo Liso PVC de 2&quot; "/>
    <hyperlink ref="B367" location="'9,26'!A1" display="Suministro e Instalacion Valvulas de Compuerta Sello de Bronce Vastago no Ascendente Extremo Liso PVC de 3&quot; "/>
    <hyperlink ref="B368" location="'9,27'!A1" display="Suministro e Instalacion Valvulas de Compuerta Sellos de Bronce Vastago no Ascendente Extremo Lios PVC de 4&quot; "/>
    <hyperlink ref="B369" location="'9,28'!A1" display="Suministro e Instalacion Valvulas de Compuerta Sello de Bronce Vastago no Ascendente Extremo Liso PVC de 6&quot; "/>
    <hyperlink ref="B370" location="'9,29'!A1" display="Suministro e Instalacion Valvulas de Compuerta Sello de Bronce Vastago no Ascendente Extremo Liso PVC de 8&quot; "/>
    <hyperlink ref="B371" location="'9,30'!A1" display="Suministro e Instalacion Valvula Ventosa de 1&quot; Roscada Triple Accion"/>
    <hyperlink ref="B372" location="'9,31'!A1" display="Suministro e Instalacion Valvula Ventosa de 2&quot; Roscada Triple Accion "/>
    <hyperlink ref="B373" location="'9,32'!A1" display="Suministro e Instalacion Valvula Ventosa de 3&quot; Bridada Triple Accion "/>
    <hyperlink ref="B374" location="'9,33'!A1" display="Suministro e Instalacion Valvula Ventosa de 4&quot; Bridada Triple Accion"/>
    <hyperlink ref="B375" location="'9,34'!A1" display="Suministro e Instalacion Valvula Ventosa de 6&quot; Bridada Triple Accion"/>
    <hyperlink ref="B376" location="'9,35'!A1" display="Suministro e Instalacion Valvula Ventosa de 8&quot; Bridada Triple Accion"/>
    <hyperlink ref="B379" location="'10,1,1,1'!A1" display="De Diametro 2&quot;"/>
    <hyperlink ref="B380" location="'10,1,1,2'!A1" display="De Diametro 3&quot;"/>
    <hyperlink ref="B381" location="'10,1,1,3'!A1" display="De Diametro 4&quot;"/>
    <hyperlink ref="B382" location="'10,1,1,4'!A1" display="De Diametro 6&quot;"/>
    <hyperlink ref="B383" location="'10,1,1,5'!A1" display="De Diametro 8&quot; "/>
    <hyperlink ref="B384" location="'10,1,1,6'!A1" display="De Diametro 10&quot;"/>
    <hyperlink ref="B385" location="'10,1,1,7'!A1" display="De Diametro 12&quot;"/>
    <hyperlink ref="B386" location="'10,1,1,8'!A1" display="De Diametro 14&quot;"/>
    <hyperlink ref="B387" location="'10,1,1,9'!A1" display="De Diametro 16&quot;"/>
    <hyperlink ref="B388" location="'10,1,1,10'!A1" display="De Diametro 18&quot;"/>
    <hyperlink ref="B389" location="'10,1,11'!A1" display="De Diametro 20&quot;"/>
    <hyperlink ref="B391" location="'10,1,2,1'!A1" display="De Diametro 2&quot;"/>
    <hyperlink ref="B392" location="'10,1,2,2'!A1" display="De Diametro 3&quot;"/>
    <hyperlink ref="B393" location="'10,1,2,3'!A1" display="De Diametro 4&quot;"/>
    <hyperlink ref="B394" location="'10,1,2,4'!A1" display="De Diametro 6&quot;"/>
    <hyperlink ref="B395" location="'10,1,2,5'!A1" display="De Diametro 8&quot; "/>
    <hyperlink ref="B396" location="'10,1,2,6'!A1" display="De Diametro 10&quot;"/>
    <hyperlink ref="B397" location="'10,1,2,7'!A1" display="De Diametro 12&quot;"/>
    <hyperlink ref="B398" location="'10,1,2,8'!A1" display="De Diametro 14&quot;"/>
    <hyperlink ref="B399" location="'10,1,2,9'!A1" display="De Diametro 16&quot;"/>
    <hyperlink ref="B400" location="'10,1,2,10'!A1" display="De Diametro 18&quot;"/>
    <hyperlink ref="B401" location="'10,1,2,11'!A1" display="De Diametro 20&quot;"/>
    <hyperlink ref="B404" location="'10,2,2'!A1" display="De Diametro 2&quot;"/>
    <hyperlink ref="B405" location="'10,2,3'!A1" display="De Diametro 3&quot;"/>
    <hyperlink ref="B406" location="'10,2,4'!A1" display="De Diametro 4&quot;"/>
    <hyperlink ref="B407" location="'10,2,5'!A1" display="De Diametro 6&quot;"/>
    <hyperlink ref="B408" location="'10,2,6'!A1" display="De Diametro 8&quot; "/>
    <hyperlink ref="B409" location="'10,2,7'!A1" display="De Diametro 10&quot;"/>
    <hyperlink ref="B410" location="'10,2,8'!A1" display="De Diametro 12&quot;"/>
    <hyperlink ref="B411" location="'10,2,9'!A1" display="De Diametro 14&quot;"/>
    <hyperlink ref="B412" location="'10,2,10'!A1" display="De Diametro 16&quot;"/>
    <hyperlink ref="B413" location="'10,2,11'!A1" display="De Diametro 18&quot;"/>
    <hyperlink ref="B414" location="'10,2,12'!A1" display="De Diametro 20&quot;"/>
    <hyperlink ref="B417" location="'10,3,1'!A1" display="De Diametro 2&quot;"/>
    <hyperlink ref="B418" location="'10,3,2'!A1" display="De Diametro 3&quot;"/>
    <hyperlink ref="B419" location="'10,3,3'!A1" display="De Diametro 4&quot;"/>
    <hyperlink ref="B420" location="'10,3,4'!A1" display="De Diametro 6&quot;"/>
    <hyperlink ref="B421" location="'10,3,5'!A1" display="De Diametro 8&quot; "/>
    <hyperlink ref="B422" location="'10,3,6'!A1" display="De Diametro 10&quot;"/>
    <hyperlink ref="B423" location="'10,3,7'!A1" display="De Diametro 12&quot;"/>
    <hyperlink ref="B424" location="'10,3,8'!A1" display="De Diametro 14&quot;"/>
    <hyperlink ref="B425" location="'10,3,9'!A1" display="De Diametro 16&quot;"/>
    <hyperlink ref="B426" location="'10,3,10'!A1" display="De Diametro 18&quot;"/>
    <hyperlink ref="B427" location="'10,3,11'!A1" display="De Diametro 20&quot;"/>
    <hyperlink ref="B91" location="'6,3'!A1" display="Extendida y compactación  sub base/ base granular ( medio mecánico)"/>
    <hyperlink ref="B107" location="'6,20'!A1" display="Corte de Pavimento Flexible con Cortadora"/>
    <hyperlink ref="B248" location="'17,1,6'!A1" display="De Diametro 39&quot;"/>
    <hyperlink ref="B359" location="'9,18'!A1" display="Suministro e Instalacion de Collar de Derivacion en Hierro Ductil de 3&quot;  X 1&quot;"/>
    <hyperlink ref="B343" location="'9,2'!A1" display="Suministro e Instalacion de registro de incorporacion 1/2&quot; BRONCE"/>
    <hyperlink ref="B344" location="'9,3'!A1" display="Suministro e Instalacion de registro de incorporacion 1/2&quot; PVC"/>
    <hyperlink ref="B72" location="'5,1'!A1" display="Concreto de 13,8 Mpa (2.000 PSI) "/>
    <hyperlink ref="B73" location="'5,2'!A1" display="Concreto de 17,2 Mpa (2.500 PSI) "/>
    <hyperlink ref="B74" location="'5,3'!A1" display="Concreto cilópeo cimentación  (2.500 PSI - 17,2 Mpa) "/>
    <hyperlink ref="B75" location="'5,4'!A1" display="Concreto ciclópeo elevación (2.500 PSI - 17,2 Mpa) "/>
    <hyperlink ref="B76" location="'5,5'!A1" display="Concreto de 20,7 Mpa (3.000 PSI) "/>
    <hyperlink ref="B77" location="'5,6'!A1" display="Concreto de 20,7 Mpa (3.000 PSI) elevacion"/>
    <hyperlink ref="B78" location="'5,7'!A1" display="Instalación y suministro de concreto 3.000 PSI  - Superestructura e= 0,25"/>
    <hyperlink ref="B79" location="'5,8'!A1" display="Instalación y suministro de concreto 3.000 PSI  - Impermeabilizado"/>
    <hyperlink ref="B80" location="'5,9'!A1" display="Concreto de 24,5 Mpa (3.500 PSI) "/>
    <hyperlink ref="B81" location="'5,10'!A1" display="Concreto de 24,5 Mpa (3.500 PSI) Estructruras "/>
    <hyperlink ref="B82" location="'5,11'!A1" display="Concreto de 27,6 Mpa (4.000 PSI) "/>
    <hyperlink ref="B83" location="'5,12'!A1" display="Concreto de 27,6 Mpa (4.000 PSI) Estructura"/>
    <hyperlink ref="B84" location="'5,13'!A1" display="Anden en concreto e=0,10 ( incluye alistado y nivelación)"/>
    <hyperlink ref="B85" location="'5,14'!A1" display="Sardinel 0,15*0,20*0,40 en concreto simple 2500 p.s.i."/>
    <hyperlink ref="B86" location="'5,15'!A1" display="Mortro 1:3"/>
    <hyperlink ref="B87" location="'5,16'!A1" display="Mortero 1:4"/>
    <hyperlink ref="B18" location="'1,9'!A1" display="Cargue y Retiro de sobrantes hasta 24 Kms a Maquina"/>
    <hyperlink ref="B10" location="'1,1'!A1" display="Localización y replanteo Topografico"/>
    <hyperlink ref="B11" location="'1,2'!A1" display="Transporte de Sobrantes"/>
    <hyperlink ref="B12" location="'1,3'!A1" display="Cargue de Sobrantes a Mano"/>
    <hyperlink ref="B15" location="'1,6'!A1" display="Cargue y Retiro de Sobrantes Hasta 8 KMTS A Mano"/>
    <hyperlink ref="B16" location="'1,7'!A1" display="Cargue y Retiro de sobrantes hasta 8 Kms a Maquina"/>
    <hyperlink ref="B17" location="'1,8'!A1" display="Cargue y Retiro de sobrantes hasta 16 Kms a Maquina"/>
    <hyperlink ref="B19" location="'1,10'!A1" display="Rellenos de excavación con material seleccionado"/>
    <hyperlink ref="B20" location="'1,11'!A1" display="Rellenos de excavación con material seleccionado proveniente de excavación compactado C/15  Cms."/>
    <hyperlink ref="B21" location="'1,12'!A1" display="Suministro de Recebo en zanja compactado c/ 15 Cms. Medio mecánico"/>
    <hyperlink ref="B22" location="'1,13'!A1" display="Acarreo interno en obra 50 mts"/>
    <hyperlink ref="B23" location="'1,14'!A1" display="Suministro e Instalacion de Material Filtrante Relleno (Pedraplen)"/>
    <hyperlink ref="B13" location="'1,4'!A1" display="Cargue de Sobrantes a Maquina"/>
    <hyperlink ref="B14" location="'1,5'!A1" display="Disposicion Final de Sobrantes en Escombrera Autorizada"/>
    <hyperlink ref="B213" location="'14,1,4'!A1" display="De Diametro 14&quot; "/>
    <hyperlink ref="B199" location="'13,1,5'!A1" display="De Diametro 14&quot; "/>
    <hyperlink ref="B237" location="'16,1,4'!A1" display="De Diametro 14&quot; "/>
    <hyperlink ref="B228" location="'15,1,5'!A1" display="De Diametro 14&quot; "/>
    <hyperlink ref="B320" location="'20,41'!A1" display="ENTIBADO TIPO 1 (VALOR PARA 1/7 UTILIZACIONES)"/>
    <hyperlink ref="B323" location="'20,44'!A1" display="ENTIBADO TIPO 3 (METALICO) CON TABLEROS"/>
    <hyperlink ref="B321" location="'20,42'!A1" display="ENTIBADO TIPO 1A (DISCONTINUO EN MADERA)"/>
    <hyperlink ref="B322" location="'20,43'!A1" display="ENTIBADO TIPO 2 (CONTINUO EN MADERA)"/>
  </hyperlinks>
  <pageMargins left="0.78740157480314965" right="0.31496062992125984" top="0.96870078740157473" bottom="0.59055118110236227" header="0.31496062992125984" footer="0"/>
  <pageSetup paperSize="9" scale="74" fitToWidth="0" fitToHeight="0" orientation="landscape" r:id="rId1"/>
  <headerFooter alignWithMargins="0"/>
  <rowBreaks count="5" manualBreakCount="5">
    <brk id="58" max="7" man="1"/>
    <brk id="110" max="7" man="1"/>
    <brk id="164" max="7" man="1"/>
    <brk id="221" max="7" man="1"/>
    <brk id="270" max="7"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25" workbookViewId="0">
      <selection activeCell="F13" sqref="F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607</v>
      </c>
      <c r="B7" s="62"/>
      <c r="C7" s="61"/>
      <c r="D7" s="16"/>
      <c r="E7" s="62"/>
      <c r="F7" s="16"/>
      <c r="G7" s="62" t="s">
        <v>609</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1.8</v>
      </c>
      <c r="G12" s="71">
        <f>E12/F12</f>
        <v>48333.333333333336</v>
      </c>
      <c r="H12" s="72"/>
    </row>
    <row r="13" spans="1:8">
      <c r="A13" s="175" t="s">
        <v>1802</v>
      </c>
      <c r="B13" s="176"/>
      <c r="C13" s="174"/>
      <c r="D13" s="174" t="s">
        <v>17</v>
      </c>
      <c r="E13" s="173">
        <f>'EQUIPOS '!D14</f>
        <v>44660</v>
      </c>
      <c r="F13" s="688">
        <v>0.13</v>
      </c>
      <c r="G13" s="173">
        <f>E13*F13</f>
        <v>5805.8</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54139.133333333339</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54139.133333333339</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8120.8700000000008</v>
      </c>
      <c r="H43" s="117"/>
    </row>
    <row r="44" spans="1:8">
      <c r="A44" s="83" t="s">
        <v>513</v>
      </c>
      <c r="B44" s="84"/>
      <c r="C44" s="84"/>
      <c r="D44" s="84"/>
      <c r="E44" s="85"/>
      <c r="F44" s="115">
        <f>(SALARIOS!C46)</f>
        <v>0.05</v>
      </c>
      <c r="G44" s="116">
        <f>+F44*H40</f>
        <v>2706.9566666666669</v>
      </c>
      <c r="H44" s="117"/>
    </row>
    <row r="45" spans="1:8" ht="15.75" thickBot="1">
      <c r="A45" s="89" t="s">
        <v>514</v>
      </c>
      <c r="B45" s="90"/>
      <c r="C45" s="90"/>
      <c r="D45" s="90"/>
      <c r="E45" s="91"/>
      <c r="F45" s="118">
        <f>SALARIOS!C47</f>
        <v>0.05</v>
      </c>
      <c r="G45" s="119">
        <f>+F45*H40</f>
        <v>2706.9566666666669</v>
      </c>
      <c r="H45" s="80"/>
    </row>
    <row r="46" spans="1:8" ht="15.75" thickBot="1">
      <c r="A46" s="61"/>
      <c r="B46" s="61"/>
      <c r="C46" s="61"/>
      <c r="D46" s="61"/>
      <c r="E46" s="61"/>
      <c r="F46" s="61"/>
      <c r="G46" s="81" t="s">
        <v>491</v>
      </c>
      <c r="H46" s="120">
        <f>SUM(G43:G45)</f>
        <v>13534.783333333335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67674</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25" workbookViewId="0">
      <selection activeCell="G12" sqref="G1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610</v>
      </c>
      <c r="B7" s="62"/>
      <c r="C7" s="61"/>
      <c r="D7" s="16"/>
      <c r="E7" s="62"/>
      <c r="F7" s="16"/>
      <c r="G7" s="62" t="s">
        <v>612</v>
      </c>
      <c r="H7" s="61"/>
    </row>
    <row r="8" spans="1:8">
      <c r="A8" s="60" t="s">
        <v>604</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7</v>
      </c>
      <c r="G12" s="71">
        <f>E12/F12</f>
        <v>12428.571428571429</v>
      </c>
      <c r="H12" s="72"/>
    </row>
    <row r="13" spans="1:8">
      <c r="A13" s="175" t="s">
        <v>1802</v>
      </c>
      <c r="B13" s="176"/>
      <c r="C13" s="174"/>
      <c r="D13" s="174" t="s">
        <v>17</v>
      </c>
      <c r="E13" s="173">
        <f>'EQUIPOS '!D14</f>
        <v>44660</v>
      </c>
      <c r="F13" s="688">
        <v>0.2</v>
      </c>
      <c r="G13" s="173">
        <f>E13*F13</f>
        <v>8932</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21360.571428571428</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21360.571428571428</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3204.0857142857139</v>
      </c>
      <c r="H43" s="117"/>
    </row>
    <row r="44" spans="1:8">
      <c r="A44" s="83" t="s">
        <v>513</v>
      </c>
      <c r="B44" s="84"/>
      <c r="C44" s="84"/>
      <c r="D44" s="84"/>
      <c r="E44" s="85"/>
      <c r="F44" s="115">
        <f>(SALARIOS!C46)</f>
        <v>0.05</v>
      </c>
      <c r="G44" s="116">
        <f>+F44*H40</f>
        <v>1068.0285714285715</v>
      </c>
      <c r="H44" s="117"/>
    </row>
    <row r="45" spans="1:8" ht="15.75" thickBot="1">
      <c r="A45" s="89" t="s">
        <v>514</v>
      </c>
      <c r="B45" s="90"/>
      <c r="C45" s="90"/>
      <c r="D45" s="90"/>
      <c r="E45" s="91"/>
      <c r="F45" s="118">
        <f>SALARIOS!C47</f>
        <v>0.05</v>
      </c>
      <c r="G45" s="119">
        <f>+F45*H40</f>
        <v>1068.0285714285715</v>
      </c>
      <c r="H45" s="80"/>
    </row>
    <row r="46" spans="1:8" ht="15.75" thickBot="1">
      <c r="A46" s="61"/>
      <c r="B46" s="61"/>
      <c r="C46" s="61"/>
      <c r="D46" s="61"/>
      <c r="E46" s="61"/>
      <c r="F46" s="61"/>
      <c r="G46" s="81" t="s">
        <v>491</v>
      </c>
      <c r="H46" s="120">
        <f>SUM(G43:G45)</f>
        <v>5340.1428571428569</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26701</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31"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610</v>
      </c>
      <c r="B7" s="62"/>
      <c r="C7" s="61"/>
      <c r="D7" s="16"/>
      <c r="E7" s="62"/>
      <c r="F7" s="16"/>
      <c r="G7" s="62" t="s">
        <v>611</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2</v>
      </c>
      <c r="G12" s="71">
        <f>E12/F12</f>
        <v>43500</v>
      </c>
      <c r="H12" s="72"/>
    </row>
    <row r="13" spans="1:8">
      <c r="A13" s="175" t="s">
        <v>1802</v>
      </c>
      <c r="B13" s="176"/>
      <c r="C13" s="174"/>
      <c r="D13" s="174" t="s">
        <v>17</v>
      </c>
      <c r="E13" s="173">
        <f>'EQUIPOS '!D14</f>
        <v>44660</v>
      </c>
      <c r="F13" s="688">
        <v>0.2</v>
      </c>
      <c r="G13" s="173">
        <f>E13*F13</f>
        <v>8932</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52432</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52432</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7864.7999999999993</v>
      </c>
      <c r="H43" s="117"/>
    </row>
    <row r="44" spans="1:8">
      <c r="A44" s="83" t="s">
        <v>513</v>
      </c>
      <c r="B44" s="84"/>
      <c r="C44" s="84"/>
      <c r="D44" s="84"/>
      <c r="E44" s="85"/>
      <c r="F44" s="115">
        <f>(SALARIOS!C46)</f>
        <v>0.05</v>
      </c>
      <c r="G44" s="116">
        <f>+F44*H40</f>
        <v>2621.6000000000004</v>
      </c>
      <c r="H44" s="117"/>
    </row>
    <row r="45" spans="1:8" ht="15.75" thickBot="1">
      <c r="A45" s="89" t="s">
        <v>514</v>
      </c>
      <c r="B45" s="90"/>
      <c r="C45" s="90"/>
      <c r="D45" s="90"/>
      <c r="E45" s="91"/>
      <c r="F45" s="118">
        <f>SALARIOS!C47</f>
        <v>0.05</v>
      </c>
      <c r="G45" s="119">
        <f>+F45*H40</f>
        <v>2621.6000000000004</v>
      </c>
      <c r="H45" s="80"/>
    </row>
    <row r="46" spans="1:8" ht="15.75" thickBot="1">
      <c r="A46" s="61"/>
      <c r="B46" s="61"/>
      <c r="C46" s="61"/>
      <c r="D46" s="61"/>
      <c r="E46" s="61"/>
      <c r="F46" s="61"/>
      <c r="G46" s="81" t="s">
        <v>491</v>
      </c>
      <c r="H46" s="120">
        <f>SUM(G43:G45)</f>
        <v>13108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65540</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25" workbookViewId="0">
      <selection activeCell="F13" sqref="F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614</v>
      </c>
      <c r="B7" s="62"/>
      <c r="C7" s="61"/>
      <c r="D7" s="16"/>
      <c r="E7" s="62"/>
      <c r="F7" s="16"/>
      <c r="G7" s="62" t="s">
        <v>613</v>
      </c>
      <c r="H7" s="61"/>
    </row>
    <row r="8" spans="1:8">
      <c r="A8" s="60" t="s">
        <v>604</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5</v>
      </c>
      <c r="G12" s="71">
        <f>E12/F12</f>
        <v>17400</v>
      </c>
      <c r="H12" s="72"/>
    </row>
    <row r="13" spans="1:8">
      <c r="A13" s="175" t="s">
        <v>1802</v>
      </c>
      <c r="B13" s="176"/>
      <c r="C13" s="174"/>
      <c r="D13" s="174" t="s">
        <v>17</v>
      </c>
      <c r="E13" s="173">
        <f>'EQUIPOS '!D14</f>
        <v>44660</v>
      </c>
      <c r="F13" s="688">
        <v>0.2</v>
      </c>
      <c r="G13" s="173">
        <f>E13*F13</f>
        <v>8932</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26332</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26332</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3949.7999999999997</v>
      </c>
      <c r="H43" s="117"/>
    </row>
    <row r="44" spans="1:8">
      <c r="A44" s="83" t="s">
        <v>513</v>
      </c>
      <c r="B44" s="84"/>
      <c r="C44" s="84"/>
      <c r="D44" s="84"/>
      <c r="E44" s="85"/>
      <c r="F44" s="115">
        <f>(SALARIOS!C46)</f>
        <v>0.05</v>
      </c>
      <c r="G44" s="116">
        <f>+F44*H40</f>
        <v>1316.6000000000001</v>
      </c>
      <c r="H44" s="117"/>
    </row>
    <row r="45" spans="1:8" ht="15.75" thickBot="1">
      <c r="A45" s="89" t="s">
        <v>514</v>
      </c>
      <c r="B45" s="90"/>
      <c r="C45" s="90"/>
      <c r="D45" s="90"/>
      <c r="E45" s="91"/>
      <c r="F45" s="118">
        <f>SALARIOS!C47</f>
        <v>0.05</v>
      </c>
      <c r="G45" s="119">
        <f>+F45*H40</f>
        <v>1316.6000000000001</v>
      </c>
      <c r="H45" s="80"/>
    </row>
    <row r="46" spans="1:8" ht="15.75" thickBot="1">
      <c r="A46" s="61"/>
      <c r="B46" s="61"/>
      <c r="C46" s="61"/>
      <c r="D46" s="61"/>
      <c r="E46" s="61"/>
      <c r="F46" s="61"/>
      <c r="G46" s="81" t="s">
        <v>491</v>
      </c>
      <c r="H46" s="120">
        <f>SUM(G43:G45)</f>
        <v>6583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32915</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28" workbookViewId="0">
      <selection activeCell="F13" sqref="F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614</v>
      </c>
      <c r="B7" s="62"/>
      <c r="C7" s="61"/>
      <c r="D7" s="16"/>
      <c r="E7" s="62"/>
      <c r="F7" s="16"/>
      <c r="G7" s="62" t="s">
        <v>615</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1.5</v>
      </c>
      <c r="G12" s="71">
        <f>E12/F12</f>
        <v>58000</v>
      </c>
      <c r="H12" s="72"/>
    </row>
    <row r="13" spans="1:8">
      <c r="A13" s="175" t="s">
        <v>1802</v>
      </c>
      <c r="B13" s="176"/>
      <c r="C13" s="174"/>
      <c r="D13" s="174" t="s">
        <v>17</v>
      </c>
      <c r="E13" s="173">
        <f>'EQUIPOS '!D14</f>
        <v>44660</v>
      </c>
      <c r="F13" s="688">
        <v>0.2</v>
      </c>
      <c r="G13" s="173">
        <f>E13*F13</f>
        <v>8932</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66932</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66932</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10039.799999999999</v>
      </c>
      <c r="H43" s="117"/>
    </row>
    <row r="44" spans="1:8">
      <c r="A44" s="83" t="s">
        <v>513</v>
      </c>
      <c r="B44" s="84"/>
      <c r="C44" s="84"/>
      <c r="D44" s="84"/>
      <c r="E44" s="85"/>
      <c r="F44" s="115">
        <f>(SALARIOS!C46)</f>
        <v>0.05</v>
      </c>
      <c r="G44" s="116">
        <f>+F44*H40</f>
        <v>3346.6000000000004</v>
      </c>
      <c r="H44" s="117"/>
    </row>
    <row r="45" spans="1:8" ht="15.75" thickBot="1">
      <c r="A45" s="89" t="s">
        <v>514</v>
      </c>
      <c r="B45" s="90"/>
      <c r="C45" s="90"/>
      <c r="D45" s="90"/>
      <c r="E45" s="91"/>
      <c r="F45" s="118">
        <f>SALARIOS!C47</f>
        <v>0.05</v>
      </c>
      <c r="G45" s="119">
        <f>+F45*H40</f>
        <v>3346.6000000000004</v>
      </c>
      <c r="H45" s="80"/>
    </row>
    <row r="46" spans="1:8" ht="15.75" thickBot="1">
      <c r="A46" s="61"/>
      <c r="B46" s="61"/>
      <c r="C46" s="61"/>
      <c r="D46" s="61"/>
      <c r="E46" s="61"/>
      <c r="F46" s="61"/>
      <c r="G46" s="81" t="s">
        <v>491</v>
      </c>
      <c r="H46" s="120">
        <f>SUM(G43:G45)</f>
        <v>16733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83665</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34"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616</v>
      </c>
      <c r="B7" s="62"/>
      <c r="C7" s="61"/>
      <c r="D7" s="16"/>
      <c r="E7" s="62"/>
      <c r="F7" s="16"/>
      <c r="G7" s="62" t="s">
        <v>617</v>
      </c>
      <c r="H7" s="61"/>
    </row>
    <row r="8" spans="1:8">
      <c r="A8" s="60" t="s">
        <v>604</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2.5</v>
      </c>
      <c r="G12" s="71">
        <f>E12/F12</f>
        <v>34800</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34800</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34800</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5220</v>
      </c>
      <c r="H43" s="117"/>
    </row>
    <row r="44" spans="1:8">
      <c r="A44" s="83" t="s">
        <v>513</v>
      </c>
      <c r="B44" s="84"/>
      <c r="C44" s="84"/>
      <c r="D44" s="84"/>
      <c r="E44" s="85"/>
      <c r="F44" s="115">
        <f>(SALARIOS!C46)</f>
        <v>0.05</v>
      </c>
      <c r="G44" s="116">
        <f>+F44*H40</f>
        <v>1740</v>
      </c>
      <c r="H44" s="117"/>
    </row>
    <row r="45" spans="1:8" ht="15.75" thickBot="1">
      <c r="A45" s="89" t="s">
        <v>514</v>
      </c>
      <c r="B45" s="90"/>
      <c r="C45" s="90"/>
      <c r="D45" s="90"/>
      <c r="E45" s="91"/>
      <c r="F45" s="118">
        <f>SALARIOS!C47</f>
        <v>0.05</v>
      </c>
      <c r="G45" s="119">
        <f>+F45*H40</f>
        <v>1740</v>
      </c>
      <c r="H45" s="80"/>
    </row>
    <row r="46" spans="1:8" ht="15.75" thickBot="1">
      <c r="A46" s="61"/>
      <c r="B46" s="61"/>
      <c r="C46" s="61"/>
      <c r="D46" s="61"/>
      <c r="E46" s="61"/>
      <c r="F46" s="61"/>
      <c r="G46" s="81" t="s">
        <v>491</v>
      </c>
      <c r="H46" s="120">
        <f>SUM(G43:G45)</f>
        <v>8700</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43500</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616</v>
      </c>
      <c r="B7" s="62"/>
      <c r="C7" s="61"/>
      <c r="D7" s="16"/>
      <c r="E7" s="62"/>
      <c r="F7" s="16"/>
      <c r="G7" s="62" t="s">
        <v>618</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1.5</v>
      </c>
      <c r="G12" s="71">
        <f>E12/F12</f>
        <v>58000</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58000</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58000</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8700</v>
      </c>
      <c r="H43" s="117"/>
    </row>
    <row r="44" spans="1:8">
      <c r="A44" s="83" t="s">
        <v>513</v>
      </c>
      <c r="B44" s="84"/>
      <c r="C44" s="84"/>
      <c r="D44" s="84"/>
      <c r="E44" s="85"/>
      <c r="F44" s="115">
        <f>(SALARIOS!C46)</f>
        <v>0.05</v>
      </c>
      <c r="G44" s="116">
        <f>+F44*H40</f>
        <v>2900</v>
      </c>
      <c r="H44" s="117"/>
    </row>
    <row r="45" spans="1:8" ht="15.75" thickBot="1">
      <c r="A45" s="89" t="s">
        <v>514</v>
      </c>
      <c r="B45" s="90"/>
      <c r="C45" s="90"/>
      <c r="D45" s="90"/>
      <c r="E45" s="91"/>
      <c r="F45" s="118">
        <f>SALARIOS!C47</f>
        <v>0.05</v>
      </c>
      <c r="G45" s="119">
        <f>+F45*H40</f>
        <v>2900</v>
      </c>
      <c r="H45" s="80"/>
    </row>
    <row r="46" spans="1:8" ht="15.75" thickBot="1">
      <c r="A46" s="61"/>
      <c r="B46" s="61"/>
      <c r="C46" s="61"/>
      <c r="D46" s="61"/>
      <c r="E46" s="61"/>
      <c r="F46" s="61"/>
      <c r="G46" s="81" t="s">
        <v>491</v>
      </c>
      <c r="H46" s="120">
        <f>SUM(G43:G45)</f>
        <v>14500</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72500</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28" workbookViewId="0">
      <selection activeCell="F13" sqref="F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620</v>
      </c>
      <c r="B7" s="62"/>
      <c r="C7" s="61"/>
      <c r="D7" s="16"/>
      <c r="E7" s="62"/>
      <c r="F7" s="16"/>
      <c r="G7" s="62" t="s">
        <v>619</v>
      </c>
      <c r="H7" s="61"/>
    </row>
    <row r="8" spans="1:8">
      <c r="A8" s="60" t="s">
        <v>604</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3</v>
      </c>
      <c r="G12" s="71">
        <f>E12/F12</f>
        <v>29000</v>
      </c>
      <c r="H12" s="72"/>
    </row>
    <row r="13" spans="1:8">
      <c r="A13" s="175" t="s">
        <v>1802</v>
      </c>
      <c r="B13" s="176"/>
      <c r="C13" s="174"/>
      <c r="D13" s="174" t="s">
        <v>17</v>
      </c>
      <c r="E13" s="173">
        <f>'EQUIPOS '!D14</f>
        <v>44660</v>
      </c>
      <c r="F13" s="688">
        <v>0.2</v>
      </c>
      <c r="G13" s="173">
        <f>E13*F13</f>
        <v>8932</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37932</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37932</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5689.8</v>
      </c>
      <c r="H43" s="117"/>
    </row>
    <row r="44" spans="1:8">
      <c r="A44" s="83" t="s">
        <v>513</v>
      </c>
      <c r="B44" s="84"/>
      <c r="C44" s="84"/>
      <c r="D44" s="84"/>
      <c r="E44" s="85"/>
      <c r="F44" s="115">
        <f>(SALARIOS!C46)</f>
        <v>0.05</v>
      </c>
      <c r="G44" s="116">
        <f>+F44*H40</f>
        <v>1896.6000000000001</v>
      </c>
      <c r="H44" s="117"/>
    </row>
    <row r="45" spans="1:8" ht="15.75" thickBot="1">
      <c r="A45" s="89" t="s">
        <v>514</v>
      </c>
      <c r="B45" s="90"/>
      <c r="C45" s="90"/>
      <c r="D45" s="90"/>
      <c r="E45" s="91"/>
      <c r="F45" s="118">
        <f>SALARIOS!C47</f>
        <v>0.05</v>
      </c>
      <c r="G45" s="119">
        <f>+F45*H40</f>
        <v>1896.6000000000001</v>
      </c>
      <c r="H45" s="80"/>
    </row>
    <row r="46" spans="1:8" ht="15.75" thickBot="1">
      <c r="A46" s="61"/>
      <c r="B46" s="61"/>
      <c r="C46" s="61"/>
      <c r="D46" s="61"/>
      <c r="E46" s="61"/>
      <c r="F46" s="61"/>
      <c r="G46" s="81" t="s">
        <v>491</v>
      </c>
      <c r="H46" s="120">
        <f>SUM(G43:G45)</f>
        <v>9483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47415</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H48"/>
  <sheetViews>
    <sheetView topLeftCell="A31" workbookViewId="0">
      <selection activeCell="F13" sqref="F13"/>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620</v>
      </c>
      <c r="B7" s="62"/>
      <c r="C7" s="61"/>
      <c r="D7" s="16"/>
      <c r="E7" s="62"/>
      <c r="F7" s="16"/>
      <c r="G7" s="62" t="s">
        <v>621</v>
      </c>
      <c r="H7" s="61"/>
    </row>
    <row r="8" spans="1:8">
      <c r="A8" s="60" t="s">
        <v>581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0" t="s">
        <v>14</v>
      </c>
      <c r="B12" s="1481"/>
      <c r="C12" s="1482"/>
      <c r="D12" s="68" t="s">
        <v>6</v>
      </c>
      <c r="E12" s="86">
        <f>+'EQUIPOS '!D10</f>
        <v>87000</v>
      </c>
      <c r="F12" s="161">
        <v>1.5</v>
      </c>
      <c r="G12" s="71">
        <f>E12/F12</f>
        <v>58000</v>
      </c>
      <c r="H12" s="72"/>
    </row>
    <row r="13" spans="1:8">
      <c r="A13" s="175" t="s">
        <v>1802</v>
      </c>
      <c r="B13" s="176"/>
      <c r="C13" s="174"/>
      <c r="D13" s="174" t="s">
        <v>17</v>
      </c>
      <c r="E13" s="173">
        <f>'EQUIPOS '!D14</f>
        <v>44660</v>
      </c>
      <c r="F13" s="688">
        <v>0.2</v>
      </c>
      <c r="G13" s="173">
        <f>E13*F13</f>
        <v>8932</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66932</v>
      </c>
    </row>
    <row r="19" spans="1:8" ht="15.75" thickBot="1">
      <c r="A19" s="63" t="s">
        <v>492</v>
      </c>
      <c r="B19" s="63"/>
      <c r="C19" s="61"/>
      <c r="D19" s="61"/>
      <c r="E19" s="61"/>
      <c r="F19" s="61"/>
      <c r="G19" s="61"/>
      <c r="H19" s="61"/>
    </row>
    <row r="20" spans="1:8">
      <c r="A20" s="1472" t="s">
        <v>485</v>
      </c>
      <c r="B20" s="1473"/>
      <c r="C20" s="1474"/>
      <c r="D20" s="180" t="s">
        <v>493</v>
      </c>
      <c r="E20" s="180" t="s">
        <v>494</v>
      </c>
      <c r="F20" s="180" t="s">
        <v>495</v>
      </c>
      <c r="G20" s="179"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78" t="s">
        <v>499</v>
      </c>
      <c r="E27" s="178" t="s">
        <v>500</v>
      </c>
      <c r="F27" s="17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78" t="s">
        <v>504</v>
      </c>
      <c r="D33" s="178" t="s">
        <v>505</v>
      </c>
      <c r="E33" s="124" t="s">
        <v>506</v>
      </c>
      <c r="F33" s="102" t="s">
        <v>488</v>
      </c>
      <c r="G33" s="177"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66932</v>
      </c>
    </row>
    <row r="41" spans="1:8" ht="15.75" thickBot="1">
      <c r="A41" s="63" t="s">
        <v>509</v>
      </c>
      <c r="B41" s="63"/>
      <c r="C41" s="61"/>
      <c r="D41" s="61"/>
      <c r="E41" s="61"/>
      <c r="F41" s="61"/>
      <c r="G41" s="61"/>
      <c r="H41" s="61"/>
    </row>
    <row r="42" spans="1:8">
      <c r="A42" s="110" t="s">
        <v>485</v>
      </c>
      <c r="B42" s="111"/>
      <c r="C42" s="111"/>
      <c r="D42" s="111"/>
      <c r="E42" s="112"/>
      <c r="F42" s="180" t="s">
        <v>510</v>
      </c>
      <c r="G42" s="179" t="s">
        <v>511</v>
      </c>
      <c r="H42" s="67"/>
    </row>
    <row r="43" spans="1:8">
      <c r="A43" s="83" t="s">
        <v>512</v>
      </c>
      <c r="B43" s="84"/>
      <c r="C43" s="84"/>
      <c r="D43" s="84"/>
      <c r="E43" s="85"/>
      <c r="F43" s="115">
        <f>(SALARIOS!C45)</f>
        <v>0.15</v>
      </c>
      <c r="G43" s="116">
        <f>++F43*H40</f>
        <v>10039.799999999999</v>
      </c>
      <c r="H43" s="117"/>
    </row>
    <row r="44" spans="1:8">
      <c r="A44" s="83" t="s">
        <v>513</v>
      </c>
      <c r="B44" s="84"/>
      <c r="C44" s="84"/>
      <c r="D44" s="84"/>
      <c r="E44" s="85"/>
      <c r="F44" s="115">
        <f>(SALARIOS!C46)</f>
        <v>0.05</v>
      </c>
      <c r="G44" s="116">
        <f>+F44*H40</f>
        <v>3346.6000000000004</v>
      </c>
      <c r="H44" s="117"/>
    </row>
    <row r="45" spans="1:8" ht="15.75" thickBot="1">
      <c r="A45" s="89" t="s">
        <v>514</v>
      </c>
      <c r="B45" s="90"/>
      <c r="C45" s="90"/>
      <c r="D45" s="90"/>
      <c r="E45" s="91"/>
      <c r="F45" s="118">
        <f>SALARIOS!C47</f>
        <v>0.05</v>
      </c>
      <c r="G45" s="119">
        <f>+F45*H40</f>
        <v>3346.6000000000004</v>
      </c>
      <c r="H45" s="80"/>
    </row>
    <row r="46" spans="1:8" ht="15.75" thickBot="1">
      <c r="A46" s="61"/>
      <c r="B46" s="61"/>
      <c r="C46" s="61"/>
      <c r="D46" s="61"/>
      <c r="E46" s="61"/>
      <c r="F46" s="61"/>
      <c r="G46" s="81" t="s">
        <v>491</v>
      </c>
      <c r="H46" s="120">
        <f>SUM(G43:G45)</f>
        <v>16733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83665</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1"/>
  <sheetViews>
    <sheetView topLeftCell="A28" zoomScaleNormal="100" workbookViewId="0">
      <selection activeCell="G38" sqref="G38"/>
    </sheetView>
  </sheetViews>
  <sheetFormatPr baseColWidth="10" defaultRowHeight="15"/>
  <cols>
    <col min="5" max="5" width="12" bestFit="1" customWidth="1"/>
    <col min="10" max="10" width="13" bestFit="1" customWidth="1"/>
    <col min="11" max="11"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622</v>
      </c>
      <c r="H7" s="61"/>
    </row>
    <row r="8" spans="1:8">
      <c r="A8" s="60" t="s">
        <v>1853</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86" t="s">
        <v>1327</v>
      </c>
      <c r="B12" s="1487"/>
      <c r="C12" s="1488"/>
      <c r="D12" s="438"/>
      <c r="E12" s="439"/>
      <c r="F12" s="446"/>
      <c r="G12" s="447">
        <f>+H41*10%</f>
        <v>8563.2545867832487</v>
      </c>
      <c r="H12" s="72"/>
    </row>
    <row r="13" spans="1:8">
      <c r="A13" s="1486" t="s">
        <v>1326</v>
      </c>
      <c r="B13" s="1487"/>
      <c r="C13" s="1488"/>
      <c r="D13" s="445" t="s">
        <v>6</v>
      </c>
      <c r="E13" s="511">
        <f>+'EQUIPOS '!D6</f>
        <v>5292.5</v>
      </c>
      <c r="F13" s="511">
        <v>1</v>
      </c>
      <c r="G13" s="434">
        <f>E13*F13</f>
        <v>5292.5</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11" ht="15.75" thickBot="1">
      <c r="A17" s="1466"/>
      <c r="B17" s="1467"/>
      <c r="C17" s="1468"/>
      <c r="D17" s="76"/>
      <c r="E17" s="77"/>
      <c r="F17" s="78"/>
      <c r="G17" s="79"/>
      <c r="H17" s="80"/>
    </row>
    <row r="18" spans="1:11" ht="15.75" thickBot="1">
      <c r="A18" s="61"/>
      <c r="B18" s="61"/>
      <c r="C18" s="61"/>
      <c r="D18" s="61"/>
      <c r="E18" s="61"/>
      <c r="F18" s="61"/>
      <c r="G18" s="81" t="s">
        <v>491</v>
      </c>
      <c r="H18" s="82">
        <f>SUM(G12:G17)</f>
        <v>13855.754586783249</v>
      </c>
    </row>
    <row r="19" spans="1:11" ht="15.75" thickBot="1">
      <c r="A19" s="63" t="s">
        <v>492</v>
      </c>
      <c r="B19" s="63"/>
      <c r="C19" s="61"/>
      <c r="D19" s="61"/>
      <c r="E19" s="61"/>
      <c r="F19" s="61"/>
      <c r="G19" s="61"/>
      <c r="H19" s="61"/>
    </row>
    <row r="20" spans="1:11">
      <c r="A20" s="1472" t="s">
        <v>485</v>
      </c>
      <c r="B20" s="1473"/>
      <c r="C20" s="1474"/>
      <c r="D20" s="697" t="s">
        <v>493</v>
      </c>
      <c r="E20" s="697" t="s">
        <v>494</v>
      </c>
      <c r="F20" s="697" t="s">
        <v>495</v>
      </c>
      <c r="G20" s="452" t="s">
        <v>489</v>
      </c>
      <c r="H20" s="67"/>
    </row>
    <row r="21" spans="1:11">
      <c r="A21" s="1492" t="s">
        <v>201</v>
      </c>
      <c r="B21" s="1493"/>
      <c r="C21" s="1494"/>
      <c r="D21" s="502" t="s">
        <v>44</v>
      </c>
      <c r="E21" s="504">
        <f>MATERIALES!D24</f>
        <v>698.92899999999997</v>
      </c>
      <c r="F21" s="503">
        <v>260</v>
      </c>
      <c r="G21" s="701">
        <f>+E21*F21</f>
        <v>181721.53999999998</v>
      </c>
      <c r="H21" s="72"/>
    </row>
    <row r="22" spans="1:11">
      <c r="A22" s="1492" t="s">
        <v>73</v>
      </c>
      <c r="B22" s="1493"/>
      <c r="C22" s="1494"/>
      <c r="D22" s="502" t="s">
        <v>1328</v>
      </c>
      <c r="E22" s="502">
        <f>MATERIALES!D15</f>
        <v>32400</v>
      </c>
      <c r="F22" s="504">
        <v>0.63</v>
      </c>
      <c r="G22" s="701">
        <f>+E22*F22</f>
        <v>20412</v>
      </c>
      <c r="H22" s="440"/>
      <c r="J22" s="33"/>
    </row>
    <row r="23" spans="1:11">
      <c r="A23" s="1492" t="s">
        <v>18</v>
      </c>
      <c r="B23" s="1493"/>
      <c r="C23" s="1494"/>
      <c r="D23" s="502" t="s">
        <v>1328</v>
      </c>
      <c r="E23" s="502">
        <f>MATERIALES!D62</f>
        <v>64800</v>
      </c>
      <c r="F23" s="504">
        <v>0.84</v>
      </c>
      <c r="G23" s="701">
        <f>+E23*F23</f>
        <v>54432</v>
      </c>
      <c r="H23" s="440"/>
    </row>
    <row r="24" spans="1:11">
      <c r="A24" s="1492" t="s">
        <v>1323</v>
      </c>
      <c r="B24" s="1493"/>
      <c r="C24" s="1494"/>
      <c r="D24" s="502" t="s">
        <v>1695</v>
      </c>
      <c r="E24" s="502">
        <f>MATERIALES!D8</f>
        <v>68</v>
      </c>
      <c r="F24" s="502">
        <v>170</v>
      </c>
      <c r="G24" s="701">
        <f>+E24*F24</f>
        <v>11560</v>
      </c>
      <c r="H24" s="440"/>
    </row>
    <row r="25" spans="1:11" ht="15.75" thickBot="1">
      <c r="A25" s="1489" t="s">
        <v>1325</v>
      </c>
      <c r="B25" s="1490"/>
      <c r="C25" s="1491"/>
      <c r="D25" s="702"/>
      <c r="E25" s="703"/>
      <c r="F25" s="704"/>
      <c r="G25" s="705">
        <f>SUM(G21:G24)*5%</f>
        <v>13406.277</v>
      </c>
      <c r="H25" s="441"/>
      <c r="J25" s="33"/>
      <c r="K25" s="33"/>
    </row>
    <row r="26" spans="1:11" ht="15.75" thickBot="1">
      <c r="A26" s="442"/>
      <c r="B26" s="442"/>
      <c r="C26" s="442"/>
      <c r="D26" s="442"/>
      <c r="E26" s="442"/>
      <c r="F26" s="442"/>
      <c r="G26" s="443" t="s">
        <v>491</v>
      </c>
      <c r="H26" s="444">
        <f>SUM(G21:G25)</f>
        <v>281531.81699999998</v>
      </c>
    </row>
    <row r="27" spans="1:11" ht="15.75" thickBot="1">
      <c r="A27" s="92" t="s">
        <v>496</v>
      </c>
      <c r="B27" s="92"/>
      <c r="C27" s="90"/>
      <c r="D27" s="61"/>
      <c r="E27" s="61"/>
      <c r="F27" s="61"/>
      <c r="G27" s="61"/>
      <c r="H27" s="61"/>
    </row>
    <row r="28" spans="1:11">
      <c r="A28" s="1454" t="s">
        <v>497</v>
      </c>
      <c r="B28" s="1456"/>
      <c r="C28" s="93" t="s">
        <v>498</v>
      </c>
      <c r="D28" s="398" t="s">
        <v>499</v>
      </c>
      <c r="E28" s="398" t="s">
        <v>500</v>
      </c>
      <c r="F28" s="398" t="s">
        <v>501</v>
      </c>
      <c r="G28" s="94" t="s">
        <v>489</v>
      </c>
      <c r="H28" s="67"/>
    </row>
    <row r="29" spans="1:11">
      <c r="A29" s="83" t="s">
        <v>18</v>
      </c>
      <c r="B29" s="84"/>
      <c r="C29" s="450">
        <f>F23</f>
        <v>0.84</v>
      </c>
      <c r="D29" s="96">
        <v>8</v>
      </c>
      <c r="E29" s="448">
        <f>D29*C29</f>
        <v>6.72</v>
      </c>
      <c r="F29" s="97">
        <f>'EQUIPOS '!D31</f>
        <v>1060</v>
      </c>
      <c r="G29" s="449">
        <f>F29*E29</f>
        <v>7123.2</v>
      </c>
      <c r="H29" s="72"/>
    </row>
    <row r="30" spans="1:11">
      <c r="A30" s="83" t="s">
        <v>73</v>
      </c>
      <c r="B30" s="84"/>
      <c r="C30" s="450">
        <f>F22</f>
        <v>0.63</v>
      </c>
      <c r="D30" s="68">
        <v>8</v>
      </c>
      <c r="E30" s="448">
        <f>D30*C30</f>
        <v>5.04</v>
      </c>
      <c r="F30" s="97">
        <f>'EQUIPOS '!D31</f>
        <v>1060</v>
      </c>
      <c r="G30" s="449">
        <f>F30*E30</f>
        <v>5342.4</v>
      </c>
      <c r="H30" s="72"/>
    </row>
    <row r="31" spans="1:11">
      <c r="A31" s="505"/>
      <c r="B31" s="506"/>
      <c r="C31" s="507"/>
      <c r="D31" s="73"/>
      <c r="E31" s="448"/>
      <c r="F31" s="509"/>
      <c r="G31" s="449"/>
      <c r="H31" s="72"/>
    </row>
    <row r="32" spans="1:11">
      <c r="A32" s="505"/>
      <c r="B32" s="506"/>
      <c r="C32" s="507"/>
      <c r="D32" s="73"/>
      <c r="E32" s="508"/>
      <c r="F32" s="509"/>
      <c r="G32" s="510"/>
      <c r="H32" s="72"/>
    </row>
    <row r="33" spans="1:8" ht="15.75" thickBot="1">
      <c r="A33" s="100"/>
      <c r="B33" s="101"/>
      <c r="C33" s="76"/>
      <c r="D33" s="77"/>
      <c r="E33" s="78"/>
      <c r="F33" s="79"/>
      <c r="G33" s="76"/>
      <c r="H33" s="72"/>
    </row>
    <row r="34" spans="1:8" ht="15.75" thickBot="1">
      <c r="A34" s="61"/>
      <c r="B34" s="61"/>
      <c r="C34" s="61"/>
      <c r="D34" s="61"/>
      <c r="E34" s="61"/>
      <c r="F34" s="61"/>
      <c r="G34" s="81" t="s">
        <v>491</v>
      </c>
      <c r="H34" s="82">
        <f>SUM(G29:G33)</f>
        <v>12465.599999999999</v>
      </c>
    </row>
    <row r="35" spans="1:8" ht="15.75" thickBot="1">
      <c r="A35" s="92" t="s">
        <v>502</v>
      </c>
      <c r="B35" s="92"/>
      <c r="C35" s="61"/>
      <c r="D35" s="61"/>
      <c r="E35" s="61"/>
      <c r="F35" s="61"/>
      <c r="G35" s="61"/>
      <c r="H35" s="61"/>
    </row>
    <row r="36" spans="1:8">
      <c r="A36" s="1454" t="s">
        <v>503</v>
      </c>
      <c r="B36" s="1456"/>
      <c r="C36" s="178" t="s">
        <v>504</v>
      </c>
      <c r="D36" s="178" t="s">
        <v>505</v>
      </c>
      <c r="E36" s="124" t="s">
        <v>506</v>
      </c>
      <c r="F36" s="102" t="s">
        <v>488</v>
      </c>
      <c r="G36" s="177" t="s">
        <v>489</v>
      </c>
      <c r="H36" s="67"/>
    </row>
    <row r="37" spans="1:8">
      <c r="A37" s="83" t="s">
        <v>624</v>
      </c>
      <c r="B37" s="84"/>
      <c r="C37" s="103">
        <f>+SALARIOS!C50</f>
        <v>41660</v>
      </c>
      <c r="D37" s="104">
        <f>+SALARIOS!C48</f>
        <v>1.7846558312967005</v>
      </c>
      <c r="E37" s="69">
        <f>+C37*D37</f>
        <v>74348.76193182054</v>
      </c>
      <c r="F37" s="161">
        <v>3</v>
      </c>
      <c r="G37" s="105">
        <f>+E37/F37</f>
        <v>24782.920643940179</v>
      </c>
      <c r="H37" s="72"/>
    </row>
    <row r="38" spans="1:8">
      <c r="A38" s="83" t="s">
        <v>629</v>
      </c>
      <c r="B38" s="84"/>
      <c r="C38" s="103">
        <f>+SALARIOS!C49*4</f>
        <v>102288</v>
      </c>
      <c r="D38" s="104">
        <f>+SALARIOS!C48</f>
        <v>1.7846558312967005</v>
      </c>
      <c r="E38" s="69">
        <f>+C38*D38</f>
        <v>182548.87567167688</v>
      </c>
      <c r="F38" s="161">
        <v>3</v>
      </c>
      <c r="G38" s="105">
        <f>+E38/F38</f>
        <v>60849.625223892297</v>
      </c>
      <c r="H38" s="72"/>
    </row>
    <row r="39" spans="1:8">
      <c r="A39" s="83"/>
      <c r="B39" s="84"/>
      <c r="C39" s="103"/>
      <c r="D39" s="104"/>
      <c r="E39" s="69"/>
      <c r="F39" s="69"/>
      <c r="G39" s="105"/>
      <c r="H39" s="72"/>
    </row>
    <row r="40" spans="1:8" ht="15.75" thickBot="1">
      <c r="A40" s="100"/>
      <c r="B40" s="106"/>
      <c r="C40" s="77"/>
      <c r="D40" s="91"/>
      <c r="E40" s="143"/>
      <c r="F40" s="91"/>
      <c r="G40" s="90"/>
      <c r="H40" s="80"/>
    </row>
    <row r="41" spans="1:8" ht="15.75" thickBot="1">
      <c r="A41" s="61"/>
      <c r="B41" s="61"/>
      <c r="C41" s="61"/>
      <c r="D41" s="61"/>
      <c r="E41" s="61"/>
      <c r="F41" s="61"/>
      <c r="G41" s="81" t="s">
        <v>491</v>
      </c>
      <c r="H41" s="82">
        <f>SUM(G37:G40)</f>
        <v>85632.545867832479</v>
      </c>
    </row>
    <row r="42" spans="1:8" ht="15.75" thickBot="1">
      <c r="A42" s="61"/>
      <c r="B42" s="61"/>
      <c r="C42" s="61"/>
      <c r="D42" s="61"/>
      <c r="E42" s="61"/>
      <c r="F42" s="61"/>
      <c r="G42" s="107"/>
      <c r="H42" s="58"/>
    </row>
    <row r="43" spans="1:8" ht="15.75" thickBot="1">
      <c r="A43" s="61"/>
      <c r="B43" s="61"/>
      <c r="C43" s="61"/>
      <c r="D43" s="61"/>
      <c r="E43" s="108" t="s">
        <v>508</v>
      </c>
      <c r="F43" s="109"/>
      <c r="G43" s="109"/>
      <c r="H43" s="82">
        <f>H18+H26+H34+H41</f>
        <v>393485.71745461569</v>
      </c>
    </row>
    <row r="44" spans="1:8" ht="15.75" thickBot="1">
      <c r="A44" s="63" t="s">
        <v>509</v>
      </c>
      <c r="B44" s="63"/>
      <c r="C44" s="61"/>
      <c r="D44" s="61"/>
      <c r="E44" s="61"/>
      <c r="F44" s="61"/>
      <c r="G44" s="61"/>
      <c r="H44" s="61"/>
    </row>
    <row r="45" spans="1:8">
      <c r="A45" s="110" t="s">
        <v>485</v>
      </c>
      <c r="B45" s="111"/>
      <c r="C45" s="111"/>
      <c r="D45" s="111"/>
      <c r="E45" s="112"/>
      <c r="F45" s="180" t="s">
        <v>510</v>
      </c>
      <c r="G45" s="179" t="s">
        <v>511</v>
      </c>
      <c r="H45" s="67"/>
    </row>
    <row r="46" spans="1:8">
      <c r="A46" s="83" t="s">
        <v>512</v>
      </c>
      <c r="B46" s="84"/>
      <c r="C46" s="84"/>
      <c r="D46" s="84"/>
      <c r="E46" s="85"/>
      <c r="F46" s="115">
        <f>(SALARIOS!C45)</f>
        <v>0.15</v>
      </c>
      <c r="G46" s="116">
        <f>++F46*H43</f>
        <v>59022.857618192349</v>
      </c>
      <c r="H46" s="117"/>
    </row>
    <row r="47" spans="1:8">
      <c r="A47" s="83" t="s">
        <v>513</v>
      </c>
      <c r="B47" s="84"/>
      <c r="C47" s="84"/>
      <c r="D47" s="84"/>
      <c r="E47" s="85"/>
      <c r="F47" s="115">
        <f>(SALARIOS!C46)</f>
        <v>0.05</v>
      </c>
      <c r="G47" s="116">
        <f>+F47*H43</f>
        <v>19674.285872730787</v>
      </c>
      <c r="H47" s="117"/>
    </row>
    <row r="48" spans="1:8" ht="15.75" thickBot="1">
      <c r="A48" s="89" t="s">
        <v>514</v>
      </c>
      <c r="B48" s="90"/>
      <c r="C48" s="90"/>
      <c r="D48" s="90"/>
      <c r="E48" s="91"/>
      <c r="F48" s="118">
        <f>SALARIOS!C47</f>
        <v>0.05</v>
      </c>
      <c r="G48" s="119">
        <f>+F48*H43</f>
        <v>19674.285872730787</v>
      </c>
      <c r="H48" s="80"/>
    </row>
    <row r="49" spans="1:8" ht="15.75" thickBot="1">
      <c r="A49" s="61"/>
      <c r="B49" s="61"/>
      <c r="C49" s="61"/>
      <c r="D49" s="61"/>
      <c r="E49" s="61"/>
      <c r="F49" s="61"/>
      <c r="G49" s="81" t="s">
        <v>491</v>
      </c>
      <c r="H49" s="120">
        <f>SUM(G46:G48)</f>
        <v>98371.429363653922</v>
      </c>
    </row>
    <row r="50" spans="1:8" ht="15.75" thickBot="1">
      <c r="A50" s="61"/>
      <c r="B50" s="61"/>
      <c r="C50" s="61"/>
      <c r="D50" s="61"/>
      <c r="E50" s="61"/>
      <c r="F50" s="61"/>
      <c r="G50" s="61"/>
      <c r="H50" s="61"/>
    </row>
    <row r="51" spans="1:8" ht="15.75" thickBot="1">
      <c r="A51" s="16"/>
      <c r="B51" s="16"/>
      <c r="C51" s="61"/>
      <c r="D51" s="108" t="s">
        <v>515</v>
      </c>
      <c r="E51" s="109"/>
      <c r="F51" s="109"/>
      <c r="G51" s="109"/>
      <c r="H51" s="82">
        <f>ROUND((H43+H49),0)</f>
        <v>491857</v>
      </c>
    </row>
  </sheetData>
  <mergeCells count="18">
    <mergeCell ref="A25:C25"/>
    <mergeCell ref="A12:C12"/>
    <mergeCell ref="A36:B36"/>
    <mergeCell ref="A3:C4"/>
    <mergeCell ref="A5:C5"/>
    <mergeCell ref="A16:C16"/>
    <mergeCell ref="A17:C17"/>
    <mergeCell ref="A20:C20"/>
    <mergeCell ref="A28:B28"/>
    <mergeCell ref="A22:C22"/>
    <mergeCell ref="A21:C21"/>
    <mergeCell ref="A24:C24"/>
    <mergeCell ref="A23:C23"/>
    <mergeCell ref="D5:H5"/>
    <mergeCell ref="A11:C11"/>
    <mergeCell ref="A13:C13"/>
    <mergeCell ref="A14:C14"/>
    <mergeCell ref="A15:C15"/>
  </mergeCells>
  <pageMargins left="0.7" right="0.7" top="0.75" bottom="0.75" header="0.3" footer="0.3"/>
  <pageSetup paperSize="9" scale="95"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J71"/>
  <sheetViews>
    <sheetView topLeftCell="A37" zoomScaleNormal="100" workbookViewId="0">
      <selection activeCell="C65" sqref="C65"/>
    </sheetView>
  </sheetViews>
  <sheetFormatPr baseColWidth="10" defaultColWidth="9.140625" defaultRowHeight="15"/>
  <cols>
    <col min="1" max="1" width="50.28515625" bestFit="1" customWidth="1"/>
    <col min="2" max="2" width="13" bestFit="1" customWidth="1"/>
    <col min="3" max="3" width="15.28515625" customWidth="1"/>
    <col min="4" max="4" width="20" bestFit="1" customWidth="1"/>
    <col min="5" max="5" width="13.28515625" bestFit="1" customWidth="1"/>
    <col min="6" max="6" width="20.140625" bestFit="1" customWidth="1"/>
    <col min="7" max="7" width="20" bestFit="1" customWidth="1"/>
    <col min="8" max="10" width="14.5703125" bestFit="1" customWidth="1"/>
  </cols>
  <sheetData>
    <row r="1" spans="1:8" ht="16.5" thickBot="1">
      <c r="A1" s="1382" t="s">
        <v>78</v>
      </c>
      <c r="B1" s="1383"/>
      <c r="C1" s="1383"/>
      <c r="D1" s="1383"/>
      <c r="E1" s="1384"/>
    </row>
    <row r="2" spans="1:8" ht="15.75" thickBot="1">
      <c r="A2" s="1385" t="s">
        <v>79</v>
      </c>
      <c r="B2" s="1386"/>
      <c r="C2" s="1387"/>
      <c r="D2" s="637" t="s">
        <v>20</v>
      </c>
      <c r="E2" s="616" t="s">
        <v>80</v>
      </c>
    </row>
    <row r="3" spans="1:8">
      <c r="A3" s="638" t="s">
        <v>81</v>
      </c>
      <c r="B3" s="639"/>
      <c r="C3" s="640"/>
      <c r="D3" s="1078">
        <v>689455</v>
      </c>
      <c r="E3" s="648" t="s">
        <v>82</v>
      </c>
      <c r="F3" s="1109">
        <f>ROUND((D3/30),0)</f>
        <v>22982</v>
      </c>
      <c r="G3" s="1110"/>
      <c r="H3" s="635"/>
    </row>
    <row r="4" spans="1:8">
      <c r="A4" s="641" t="s">
        <v>83</v>
      </c>
      <c r="B4" s="636"/>
      <c r="C4" s="642"/>
      <c r="D4" s="1079">
        <v>77700</v>
      </c>
      <c r="E4" s="474" t="s">
        <v>84</v>
      </c>
      <c r="F4" s="1110"/>
      <c r="G4" s="1110"/>
    </row>
    <row r="5" spans="1:8">
      <c r="A5" s="641" t="s">
        <v>1653</v>
      </c>
      <c r="B5" s="636"/>
      <c r="C5" s="642"/>
      <c r="D5" s="646">
        <f>SUM(D3:D4)</f>
        <v>767155</v>
      </c>
      <c r="E5" s="649" t="s">
        <v>85</v>
      </c>
      <c r="F5" s="1109">
        <f>D5*12</f>
        <v>9205860</v>
      </c>
      <c r="G5" s="1110"/>
    </row>
    <row r="6" spans="1:8">
      <c r="A6" s="641" t="s">
        <v>86</v>
      </c>
      <c r="B6" s="636"/>
      <c r="C6" s="642"/>
      <c r="D6" s="646">
        <f>D3*12</f>
        <v>8273460</v>
      </c>
      <c r="E6" s="650" t="s">
        <v>87</v>
      </c>
      <c r="F6" s="1110"/>
      <c r="G6" s="1110"/>
    </row>
    <row r="7" spans="1:8" ht="15.75" thickBot="1">
      <c r="A7" s="643" t="s">
        <v>88</v>
      </c>
      <c r="B7" s="644"/>
      <c r="C7" s="645"/>
      <c r="D7" s="647">
        <f>D5*12</f>
        <v>9205860</v>
      </c>
      <c r="E7" s="651" t="s">
        <v>89</v>
      </c>
      <c r="F7" s="1111">
        <f>D4*12</f>
        <v>932400</v>
      </c>
      <c r="G7" s="1110"/>
    </row>
    <row r="8" spans="1:8" ht="15.75" thickBot="1">
      <c r="A8" s="17"/>
      <c r="B8" s="11"/>
      <c r="C8" s="18"/>
      <c r="D8" s="19"/>
      <c r="E8" s="17"/>
      <c r="F8" s="1110"/>
      <c r="G8" s="1110"/>
    </row>
    <row r="9" spans="1:8" ht="15.75" thickBot="1">
      <c r="A9" s="616" t="s">
        <v>90</v>
      </c>
      <c r="B9" s="617" t="s">
        <v>91</v>
      </c>
      <c r="C9" s="618" t="s">
        <v>92</v>
      </c>
      <c r="D9" s="618" t="s">
        <v>20</v>
      </c>
      <c r="E9" s="619" t="s">
        <v>93</v>
      </c>
      <c r="F9" s="1110"/>
      <c r="G9" s="1110"/>
    </row>
    <row r="10" spans="1:8">
      <c r="A10" s="620"/>
      <c r="B10" s="625"/>
      <c r="C10" s="627"/>
      <c r="D10" s="627"/>
      <c r="E10" s="625"/>
      <c r="F10" s="1110"/>
      <c r="G10" s="1110"/>
    </row>
    <row r="11" spans="1:8">
      <c r="A11" s="621" t="s">
        <v>94</v>
      </c>
      <c r="B11" s="474"/>
      <c r="C11" s="628"/>
      <c r="D11" s="632"/>
      <c r="E11" s="631"/>
      <c r="F11" s="1110"/>
      <c r="G11" s="1110"/>
    </row>
    <row r="12" spans="1:8">
      <c r="A12" s="622" t="s">
        <v>95</v>
      </c>
      <c r="B12" s="626" t="s">
        <v>87</v>
      </c>
      <c r="C12" s="629"/>
      <c r="D12" s="1056">
        <f>+D3*12</f>
        <v>8273460</v>
      </c>
      <c r="E12" s="634">
        <v>1</v>
      </c>
      <c r="F12" s="1112">
        <f>D3</f>
        <v>689455</v>
      </c>
      <c r="G12" s="1113"/>
      <c r="H12" s="592"/>
    </row>
    <row r="13" spans="1:8">
      <c r="A13" s="622" t="s">
        <v>96</v>
      </c>
      <c r="B13" s="626" t="s">
        <v>1654</v>
      </c>
      <c r="C13" s="629"/>
      <c r="D13" s="633">
        <f>D4*12</f>
        <v>932400</v>
      </c>
      <c r="E13" s="634">
        <f>+D13*E12/D12</f>
        <v>0.11269771051047567</v>
      </c>
      <c r="F13" s="1112">
        <f>D4</f>
        <v>77700</v>
      </c>
      <c r="G13" s="1109"/>
    </row>
    <row r="14" spans="1:8" s="456" customFormat="1">
      <c r="A14" s="622"/>
      <c r="B14" s="626"/>
      <c r="C14" s="629"/>
      <c r="D14" s="633"/>
      <c r="E14" s="634"/>
      <c r="F14" s="1114"/>
      <c r="G14" s="1114"/>
    </row>
    <row r="15" spans="1:8">
      <c r="A15" s="1057" t="s">
        <v>97</v>
      </c>
      <c r="B15" s="626"/>
      <c r="C15" s="629"/>
      <c r="D15" s="1058"/>
      <c r="E15" s="634"/>
      <c r="F15" s="1110"/>
      <c r="G15" s="1110"/>
    </row>
    <row r="16" spans="1:8">
      <c r="A16" s="1057"/>
      <c r="B16" s="626"/>
      <c r="C16" s="629"/>
      <c r="D16" s="1058"/>
      <c r="E16" s="634"/>
      <c r="F16" s="1110"/>
      <c r="G16" s="1110"/>
    </row>
    <row r="17" spans="1:8">
      <c r="A17" s="1059" t="s">
        <v>98</v>
      </c>
      <c r="B17" s="626" t="s">
        <v>85</v>
      </c>
      <c r="C17" s="1060" t="s">
        <v>99</v>
      </c>
      <c r="D17" s="1061">
        <f>D5</f>
        <v>767155</v>
      </c>
      <c r="E17" s="634">
        <f>D17/D12</f>
        <v>9.272480920920631E-2</v>
      </c>
      <c r="F17" s="1112">
        <f>D17/12</f>
        <v>63929.583333333336</v>
      </c>
      <c r="G17" s="1115"/>
    </row>
    <row r="18" spans="1:8">
      <c r="A18" s="1059" t="s">
        <v>100</v>
      </c>
      <c r="B18" s="626" t="s">
        <v>101</v>
      </c>
      <c r="C18" s="1062">
        <v>0.12</v>
      </c>
      <c r="D18" s="1061">
        <f>+D17*12%</f>
        <v>92058.599999999991</v>
      </c>
      <c r="E18" s="634">
        <f>D18/D12</f>
        <v>1.1126977105104756E-2</v>
      </c>
      <c r="F18" s="1112">
        <f>F17*12%</f>
        <v>7671.55</v>
      </c>
      <c r="G18" s="1115"/>
    </row>
    <row r="19" spans="1:8">
      <c r="A19" s="1059" t="s">
        <v>102</v>
      </c>
      <c r="B19" s="626" t="s">
        <v>82</v>
      </c>
      <c r="C19" s="630">
        <v>0.5</v>
      </c>
      <c r="D19" s="1061">
        <f>+D3</f>
        <v>689455</v>
      </c>
      <c r="E19" s="634">
        <f>ROUND(+D19/$D$12,4)</f>
        <v>8.3299999999999999E-2</v>
      </c>
      <c r="F19" s="1112">
        <f>(D3/2)/12</f>
        <v>28727.291666666668</v>
      </c>
      <c r="G19" s="1115"/>
    </row>
    <row r="20" spans="1:8">
      <c r="A20" s="917" t="s">
        <v>103</v>
      </c>
      <c r="B20" s="857" t="s">
        <v>104</v>
      </c>
      <c r="C20" s="1063">
        <v>1</v>
      </c>
      <c r="D20" s="1064">
        <f>+D5</f>
        <v>767155</v>
      </c>
      <c r="E20" s="1065">
        <f>D20/D12</f>
        <v>9.272480920920631E-2</v>
      </c>
      <c r="F20" s="1112">
        <f>D20/12</f>
        <v>63929.583333333336</v>
      </c>
      <c r="G20" s="1115"/>
    </row>
    <row r="21" spans="1:8">
      <c r="A21" s="1059"/>
      <c r="B21" s="626"/>
      <c r="C21" s="1062"/>
      <c r="D21" s="1058"/>
      <c r="E21" s="634"/>
      <c r="F21" s="1110"/>
      <c r="G21" s="1112"/>
    </row>
    <row r="22" spans="1:8">
      <c r="A22" s="1057" t="s">
        <v>105</v>
      </c>
      <c r="B22" s="626"/>
      <c r="C22" s="1062"/>
      <c r="D22" s="1058"/>
      <c r="E22" s="634"/>
      <c r="F22" s="1110"/>
      <c r="G22" s="1110"/>
    </row>
    <row r="23" spans="1:8">
      <c r="A23" s="1057"/>
      <c r="B23" s="626"/>
      <c r="C23" s="1062"/>
      <c r="D23" s="1058"/>
      <c r="E23" s="634"/>
      <c r="F23" s="1110"/>
      <c r="G23" s="1110"/>
    </row>
    <row r="24" spans="1:8">
      <c r="A24" s="1059" t="s">
        <v>106</v>
      </c>
      <c r="B24" s="629">
        <v>62000</v>
      </c>
      <c r="C24" s="1066">
        <v>3</v>
      </c>
      <c r="D24" s="1061">
        <f>+C24*B24</f>
        <v>186000</v>
      </c>
      <c r="E24" s="634">
        <f>+D24/D12</f>
        <v>2.24815252627075E-2</v>
      </c>
      <c r="F24" s="1112">
        <f>D24</f>
        <v>186000</v>
      </c>
      <c r="G24" s="1117">
        <f>D24+D25</f>
        <v>227367.3</v>
      </c>
    </row>
    <row r="25" spans="1:8">
      <c r="A25" s="1059" t="s">
        <v>107</v>
      </c>
      <c r="B25" s="626" t="s">
        <v>87</v>
      </c>
      <c r="C25" s="630">
        <v>5.0000000000000001E-3</v>
      </c>
      <c r="D25" s="1061">
        <f>+D6*C25</f>
        <v>41367.300000000003</v>
      </c>
      <c r="E25" s="634">
        <f>+D25/D12</f>
        <v>5.0000000000000001E-3</v>
      </c>
      <c r="F25" s="1112">
        <f>D25</f>
        <v>41367.300000000003</v>
      </c>
      <c r="G25" s="1110"/>
    </row>
    <row r="26" spans="1:8">
      <c r="A26" s="1059"/>
      <c r="B26" s="626"/>
      <c r="C26" s="630"/>
      <c r="D26" s="1058"/>
      <c r="E26" s="634"/>
      <c r="F26" s="1110"/>
      <c r="G26" s="1110"/>
    </row>
    <row r="27" spans="1:8">
      <c r="A27" s="1057" t="s">
        <v>1649</v>
      </c>
      <c r="B27" s="626"/>
      <c r="C27" s="1062"/>
      <c r="D27" s="1058"/>
      <c r="E27" s="634"/>
      <c r="F27" s="1110"/>
      <c r="G27" s="1110"/>
    </row>
    <row r="28" spans="1:8">
      <c r="A28" s="1057"/>
      <c r="B28" s="626"/>
      <c r="C28" s="1062"/>
      <c r="D28" s="1058"/>
      <c r="E28" s="634"/>
      <c r="F28" s="1110"/>
      <c r="G28" s="1110"/>
    </row>
    <row r="29" spans="1:8">
      <c r="A29" s="917" t="s">
        <v>1650</v>
      </c>
      <c r="B29" s="857" t="s">
        <v>87</v>
      </c>
      <c r="C29" s="1080">
        <v>0.12</v>
      </c>
      <c r="D29" s="1064">
        <f>(D6*C29)</f>
        <v>992815.2</v>
      </c>
      <c r="E29" s="1065">
        <f>+D29/D12</f>
        <v>0.12</v>
      </c>
      <c r="F29" s="1112">
        <f>D29/12</f>
        <v>82734.599999999991</v>
      </c>
      <c r="G29" s="1112"/>
      <c r="H29" s="593"/>
    </row>
    <row r="30" spans="1:8">
      <c r="A30" s="917" t="s">
        <v>1651</v>
      </c>
      <c r="B30" s="857" t="s">
        <v>87</v>
      </c>
      <c r="C30" s="1081">
        <v>8.5000000000000006E-2</v>
      </c>
      <c r="D30" s="1064">
        <f>D6*C30</f>
        <v>703244.10000000009</v>
      </c>
      <c r="E30" s="1065">
        <f>+D30/D12</f>
        <v>8.5000000000000006E-2</v>
      </c>
      <c r="F30" s="1112">
        <f>D30/12</f>
        <v>58603.67500000001</v>
      </c>
      <c r="G30" s="1112"/>
      <c r="H30" s="593"/>
    </row>
    <row r="31" spans="1:8">
      <c r="A31" s="917" t="s">
        <v>1652</v>
      </c>
      <c r="B31" s="857" t="s">
        <v>87</v>
      </c>
      <c r="C31" s="1080">
        <v>6.9599999999999995E-2</v>
      </c>
      <c r="D31" s="1064">
        <f>D6*C31</f>
        <v>575832.81599999999</v>
      </c>
      <c r="E31" s="1065">
        <f>+D31/D12</f>
        <v>6.9599999999999995E-2</v>
      </c>
      <c r="F31" s="1112">
        <f>D31/12</f>
        <v>47986.067999999999</v>
      </c>
      <c r="G31" s="1112"/>
      <c r="H31" s="593"/>
    </row>
    <row r="32" spans="1:8">
      <c r="A32" s="917"/>
      <c r="B32" s="857"/>
      <c r="C32" s="1080"/>
      <c r="D32" s="1082"/>
      <c r="E32" s="1065"/>
      <c r="F32" s="1110"/>
      <c r="G32" s="1109"/>
    </row>
    <row r="33" spans="1:10">
      <c r="A33" s="1057" t="s">
        <v>1646</v>
      </c>
      <c r="B33" s="857"/>
      <c r="C33" s="1063"/>
      <c r="D33" s="1082"/>
      <c r="E33" s="1065"/>
      <c r="F33" s="1110"/>
      <c r="G33" s="1110"/>
      <c r="J33" s="17"/>
    </row>
    <row r="34" spans="1:10">
      <c r="A34" s="1057"/>
      <c r="B34" s="857"/>
      <c r="C34" s="1063"/>
      <c r="D34" s="1082"/>
      <c r="E34" s="1065"/>
      <c r="F34" s="1110"/>
      <c r="G34" s="1110"/>
    </row>
    <row r="35" spans="1:10">
      <c r="A35" s="917" t="s">
        <v>1647</v>
      </c>
      <c r="B35" s="857" t="s">
        <v>87</v>
      </c>
      <c r="C35" s="1063">
        <v>0.02</v>
      </c>
      <c r="D35" s="1064">
        <f>+D6*C35</f>
        <v>165469.20000000001</v>
      </c>
      <c r="E35" s="1065">
        <f>+D35/D12</f>
        <v>0.02</v>
      </c>
      <c r="F35" s="1112">
        <f>D35/12</f>
        <v>13789.1</v>
      </c>
      <c r="G35" s="1112"/>
      <c r="H35" s="593"/>
    </row>
    <row r="36" spans="1:10">
      <c r="A36" s="917" t="s">
        <v>108</v>
      </c>
      <c r="B36" s="857" t="s">
        <v>87</v>
      </c>
      <c r="C36" s="1063">
        <v>0.03</v>
      </c>
      <c r="D36" s="1064">
        <f>+D6*C36</f>
        <v>248203.8</v>
      </c>
      <c r="E36" s="1065">
        <f>+D36/D12</f>
        <v>0.03</v>
      </c>
      <c r="F36" s="1116">
        <f>D36/12</f>
        <v>20683.649999999998</v>
      </c>
      <c r="G36" s="1112"/>
      <c r="H36" s="593"/>
      <c r="I36" s="430"/>
    </row>
    <row r="37" spans="1:10">
      <c r="A37" s="917" t="s">
        <v>1648</v>
      </c>
      <c r="B37" s="857" t="s">
        <v>87</v>
      </c>
      <c r="C37" s="1063">
        <v>0.04</v>
      </c>
      <c r="D37" s="1064">
        <f>+D6*C37</f>
        <v>330938.40000000002</v>
      </c>
      <c r="E37" s="1065">
        <f>+D37/D12</f>
        <v>0.04</v>
      </c>
      <c r="F37" s="1116">
        <f>D37/12</f>
        <v>27578.2</v>
      </c>
      <c r="G37" s="1112"/>
      <c r="H37" s="593"/>
      <c r="I37" s="125"/>
    </row>
    <row r="38" spans="1:10">
      <c r="A38" s="622"/>
      <c r="B38" s="626"/>
      <c r="C38" s="629"/>
      <c r="D38" s="1058"/>
      <c r="E38" s="622"/>
      <c r="F38" s="1116"/>
      <c r="G38" s="1113"/>
      <c r="H38" s="594"/>
      <c r="I38" s="17"/>
    </row>
    <row r="39" spans="1:10">
      <c r="A39" s="1057" t="s">
        <v>109</v>
      </c>
      <c r="B39" s="626"/>
      <c r="C39" s="629"/>
      <c r="D39" s="1067">
        <f>SUM(D12:D37)</f>
        <v>14765554.415999999</v>
      </c>
      <c r="E39" s="1068">
        <f>SUM(E11:E37)</f>
        <v>1.7846558312967005</v>
      </c>
      <c r="F39" s="1118">
        <f>SUM(F12:F37)</f>
        <v>1410155.6013333334</v>
      </c>
      <c r="G39" s="1119">
        <f>F39-G24</f>
        <v>1182788.3013333334</v>
      </c>
    </row>
    <row r="40" spans="1:10" ht="15.75" thickBot="1">
      <c r="A40" s="1069"/>
      <c r="B40" s="1070"/>
      <c r="C40" s="1071"/>
      <c r="D40" s="1072"/>
      <c r="E40" s="1073"/>
      <c r="F40" s="1110"/>
      <c r="G40" s="1109"/>
    </row>
    <row r="41" spans="1:10">
      <c r="A41" s="1074"/>
      <c r="B41" s="1075"/>
      <c r="C41" s="1076"/>
      <c r="D41" s="1077"/>
      <c r="E41" s="418"/>
      <c r="F41" s="593"/>
    </row>
    <row r="42" spans="1:10">
      <c r="A42" s="20"/>
      <c r="B42" s="11"/>
      <c r="C42" s="18"/>
      <c r="D42" s="21"/>
      <c r="E42" s="22"/>
      <c r="G42" s="5"/>
    </row>
    <row r="43" spans="1:10" ht="15.75" thickBot="1">
      <c r="A43" s="20"/>
      <c r="B43" s="11"/>
      <c r="C43" s="18"/>
      <c r="D43" s="21"/>
      <c r="E43" s="22"/>
      <c r="G43" s="5"/>
    </row>
    <row r="44" spans="1:10" ht="31.5" thickTop="1" thickBot="1">
      <c r="A44" s="402" t="s">
        <v>522</v>
      </c>
      <c r="B44" s="403" t="s">
        <v>0</v>
      </c>
      <c r="C44" s="403" t="s">
        <v>1952</v>
      </c>
      <c r="D44" s="21"/>
      <c r="E44" s="22"/>
      <c r="H44" s="17"/>
    </row>
    <row r="45" spans="1:10" ht="16.5" thickTop="1" thickBot="1">
      <c r="A45" s="419" t="s">
        <v>512</v>
      </c>
      <c r="B45" s="421" t="s">
        <v>523</v>
      </c>
      <c r="C45" s="423">
        <v>0.15</v>
      </c>
      <c r="D45" s="21"/>
      <c r="E45" s="22"/>
    </row>
    <row r="46" spans="1:10" ht="15.75" thickBot="1">
      <c r="A46" s="420" t="s">
        <v>524</v>
      </c>
      <c r="B46" s="422" t="s">
        <v>523</v>
      </c>
      <c r="C46" s="424">
        <v>0.05</v>
      </c>
      <c r="D46" s="21"/>
      <c r="E46" s="22"/>
      <c r="F46" s="1391" t="s">
        <v>1332</v>
      </c>
      <c r="G46" s="1392"/>
      <c r="H46" s="1393"/>
    </row>
    <row r="47" spans="1:10">
      <c r="A47" s="420" t="s">
        <v>514</v>
      </c>
      <c r="B47" s="422" t="s">
        <v>523</v>
      </c>
      <c r="C47" s="424">
        <v>0.05</v>
      </c>
      <c r="D47" s="21"/>
      <c r="E47" s="22"/>
      <c r="F47" s="609">
        <v>689455</v>
      </c>
      <c r="G47" s="610">
        <f>F47/30</f>
        <v>22981.833333333332</v>
      </c>
      <c r="H47" s="611" t="s">
        <v>17</v>
      </c>
    </row>
    <row r="48" spans="1:10" ht="15.75" thickBot="1">
      <c r="A48" s="420" t="s">
        <v>533</v>
      </c>
      <c r="B48" s="422" t="s">
        <v>523</v>
      </c>
      <c r="C48" s="425">
        <f>+E39</f>
        <v>1.7846558312967005</v>
      </c>
      <c r="D48" s="21"/>
      <c r="E48" s="22"/>
      <c r="F48" s="612">
        <v>77700</v>
      </c>
      <c r="G48" s="613">
        <f>G47/8</f>
        <v>2872.7291666666665</v>
      </c>
      <c r="H48" s="614" t="s">
        <v>1322</v>
      </c>
    </row>
    <row r="49" spans="1:9" ht="15.75" thickBot="1">
      <c r="A49" s="427" t="s">
        <v>230</v>
      </c>
      <c r="B49" s="428" t="s">
        <v>17</v>
      </c>
      <c r="C49" s="429">
        <f>+I50</f>
        <v>25572</v>
      </c>
      <c r="D49" s="21"/>
      <c r="E49" s="22"/>
      <c r="F49" s="615">
        <f>SUM(F47:F48)</f>
        <v>767155</v>
      </c>
    </row>
    <row r="50" spans="1:9">
      <c r="A50" s="427" t="s">
        <v>64</v>
      </c>
      <c r="B50" s="428" t="s">
        <v>17</v>
      </c>
      <c r="C50" s="429">
        <f t="shared" ref="C50:C55" si="0">+I51</f>
        <v>41660</v>
      </c>
      <c r="D50" s="21"/>
      <c r="E50" s="1388" t="s">
        <v>1951</v>
      </c>
      <c r="F50" s="600" t="s">
        <v>230</v>
      </c>
      <c r="G50" s="601">
        <f>F49</f>
        <v>767155</v>
      </c>
      <c r="H50" s="601">
        <f t="shared" ref="H50:H56" si="1">G50/30</f>
        <v>25571.833333333332</v>
      </c>
      <c r="I50" s="602">
        <f>ROUNDUP(H50,0)</f>
        <v>25572</v>
      </c>
    </row>
    <row r="51" spans="1:9">
      <c r="A51" s="427" t="s">
        <v>378</v>
      </c>
      <c r="B51" s="428" t="s">
        <v>17</v>
      </c>
      <c r="C51" s="429">
        <f t="shared" si="0"/>
        <v>57455</v>
      </c>
      <c r="D51" s="21"/>
      <c r="E51" s="1389"/>
      <c r="F51" s="603" t="s">
        <v>64</v>
      </c>
      <c r="G51" s="595">
        <f>(F47*1.7)+F48</f>
        <v>1249773.5</v>
      </c>
      <c r="H51" s="595">
        <f t="shared" si="1"/>
        <v>41659.116666666669</v>
      </c>
      <c r="I51" s="604">
        <f t="shared" ref="I51:I56" si="2">ROUNDUP(H51,0)</f>
        <v>41660</v>
      </c>
    </row>
    <row r="52" spans="1:9">
      <c r="A52" s="427" t="s">
        <v>525</v>
      </c>
      <c r="B52" s="428" t="s">
        <v>17</v>
      </c>
      <c r="C52" s="429">
        <f>+I53</f>
        <v>33244</v>
      </c>
      <c r="D52" s="21"/>
      <c r="E52" s="1389"/>
      <c r="F52" s="603" t="s">
        <v>378</v>
      </c>
      <c r="G52" s="595">
        <f>(F47*2.5)</f>
        <v>1723637.5</v>
      </c>
      <c r="H52" s="595">
        <f t="shared" si="1"/>
        <v>57454.583333333336</v>
      </c>
      <c r="I52" s="604">
        <f t="shared" si="2"/>
        <v>57455</v>
      </c>
    </row>
    <row r="53" spans="1:9" ht="15.75" thickBot="1">
      <c r="A53" s="427" t="s">
        <v>507</v>
      </c>
      <c r="B53" s="428" t="s">
        <v>17</v>
      </c>
      <c r="C53" s="429">
        <f t="shared" si="0"/>
        <v>64350</v>
      </c>
      <c r="D53" s="21"/>
      <c r="E53" s="1390"/>
      <c r="F53" s="605" t="s">
        <v>525</v>
      </c>
      <c r="G53" s="606">
        <f>(F49*1.3)</f>
        <v>997301.5</v>
      </c>
      <c r="H53" s="607">
        <f t="shared" si="1"/>
        <v>33243.383333333331</v>
      </c>
      <c r="I53" s="608">
        <f t="shared" si="2"/>
        <v>33244</v>
      </c>
    </row>
    <row r="54" spans="1:9">
      <c r="A54" s="427" t="s">
        <v>526</v>
      </c>
      <c r="B54" s="428" t="s">
        <v>17</v>
      </c>
      <c r="C54" s="429">
        <f t="shared" si="0"/>
        <v>41660</v>
      </c>
      <c r="D54" s="21"/>
      <c r="E54" s="22"/>
      <c r="F54" s="596" t="s">
        <v>507</v>
      </c>
      <c r="G54" s="597">
        <f>F47*2.8</f>
        <v>1930473.9999999998</v>
      </c>
      <c r="H54" s="598">
        <f t="shared" si="1"/>
        <v>64349.133333333324</v>
      </c>
      <c r="I54" s="599">
        <f t="shared" si="2"/>
        <v>64350</v>
      </c>
    </row>
    <row r="55" spans="1:9">
      <c r="A55" s="427" t="s">
        <v>250</v>
      </c>
      <c r="B55" s="428" t="s">
        <v>17</v>
      </c>
      <c r="C55" s="429">
        <f t="shared" si="0"/>
        <v>68946</v>
      </c>
      <c r="D55" s="21"/>
      <c r="E55" s="125"/>
      <c r="F55" s="126" t="s">
        <v>526</v>
      </c>
      <c r="G55" s="400">
        <f>(F47*1.7)+F48</f>
        <v>1249773.5</v>
      </c>
      <c r="H55" s="426">
        <f t="shared" si="1"/>
        <v>41659.116666666669</v>
      </c>
      <c r="I55" s="584">
        <f t="shared" si="2"/>
        <v>41660</v>
      </c>
    </row>
    <row r="56" spans="1:9" ht="15.75" thickBot="1">
      <c r="A56" s="431"/>
      <c r="B56" s="432"/>
      <c r="C56" s="433"/>
      <c r="D56" s="21"/>
      <c r="E56" s="22"/>
      <c r="F56" s="126" t="s">
        <v>250</v>
      </c>
      <c r="G56" s="400">
        <f>F47*3</f>
        <v>2068365</v>
      </c>
      <c r="H56" s="426">
        <f t="shared" si="1"/>
        <v>68945.5</v>
      </c>
      <c r="I56" s="584">
        <f t="shared" si="2"/>
        <v>68946</v>
      </c>
    </row>
    <row r="57" spans="1:9" ht="15.75" thickTop="1">
      <c r="A57" s="20"/>
      <c r="B57" s="49"/>
      <c r="C57" s="18"/>
      <c r="D57" s="21"/>
      <c r="E57" s="22"/>
    </row>
    <row r="58" spans="1:9">
      <c r="A58" s="20"/>
      <c r="B58" s="397"/>
      <c r="C58" s="18"/>
      <c r="D58" s="21"/>
      <c r="E58" s="22"/>
      <c r="F58" s="30" t="s">
        <v>1623</v>
      </c>
      <c r="G58" s="581">
        <v>689455</v>
      </c>
    </row>
    <row r="59" spans="1:9">
      <c r="A59" s="20"/>
      <c r="B59" s="49"/>
      <c r="C59" s="18"/>
      <c r="D59" s="21"/>
      <c r="E59" s="22"/>
      <c r="F59" s="582" t="s">
        <v>1941</v>
      </c>
      <c r="G59" s="582" t="s">
        <v>1943</v>
      </c>
      <c r="H59" s="399">
        <f>(G58*2.5)</f>
        <v>1723637.5</v>
      </c>
      <c r="I59" s="652">
        <f>H59/30</f>
        <v>57454.583333333336</v>
      </c>
    </row>
    <row r="60" spans="1:9">
      <c r="A60" s="31"/>
      <c r="B60" s="405"/>
      <c r="C60" s="406"/>
      <c r="D60" s="407"/>
      <c r="F60" s="582" t="s">
        <v>64</v>
      </c>
      <c r="G60" s="582" t="s">
        <v>1942</v>
      </c>
      <c r="H60" s="399">
        <f>(G58*1.7)+F48</f>
        <v>1249773.5</v>
      </c>
      <c r="I60" s="652">
        <f>H60/30</f>
        <v>41659.116666666669</v>
      </c>
    </row>
    <row r="61" spans="1:9">
      <c r="A61" s="408"/>
      <c r="B61" s="409"/>
      <c r="C61" s="410"/>
      <c r="D61" s="411"/>
      <c r="F61" s="583" t="s">
        <v>230</v>
      </c>
      <c r="G61" s="583" t="s">
        <v>1655</v>
      </c>
      <c r="H61" s="399">
        <f>G58+F48</f>
        <v>767155</v>
      </c>
      <c r="I61" s="652">
        <f>H61/30</f>
        <v>25571.833333333332</v>
      </c>
    </row>
    <row r="62" spans="1:9">
      <c r="A62" s="408"/>
      <c r="B62" s="409"/>
      <c r="C62" s="410"/>
      <c r="D62" s="411"/>
    </row>
    <row r="63" spans="1:9">
      <c r="A63" s="408"/>
      <c r="B63" s="412"/>
      <c r="C63" s="410"/>
      <c r="D63" s="411"/>
      <c r="G63" s="26">
        <f>F47*1.5</f>
        <v>1034182.5</v>
      </c>
    </row>
    <row r="64" spans="1:9">
      <c r="A64" s="413"/>
      <c r="B64" s="409"/>
      <c r="C64" s="410"/>
      <c r="D64" s="411"/>
    </row>
    <row r="65" spans="1:4">
      <c r="A65" s="408"/>
      <c r="B65" s="414"/>
      <c r="C65" s="415"/>
      <c r="D65" s="411"/>
    </row>
    <row r="66" spans="1:4">
      <c r="A66" s="408"/>
      <c r="B66" s="416"/>
      <c r="C66" s="417"/>
      <c r="D66" s="411"/>
    </row>
    <row r="67" spans="1:4">
      <c r="A67" s="121"/>
      <c r="B67" s="416"/>
      <c r="C67" s="417"/>
      <c r="D67" s="411"/>
    </row>
    <row r="68" spans="1:4">
      <c r="A68" s="121"/>
      <c r="B68" s="416"/>
      <c r="C68" s="417"/>
      <c r="D68" s="411"/>
    </row>
    <row r="69" spans="1:4">
      <c r="A69" s="404"/>
      <c r="B69" s="31"/>
      <c r="C69" s="418"/>
      <c r="D69" s="31"/>
    </row>
    <row r="70" spans="1:4">
      <c r="A70" s="58"/>
      <c r="C70" s="122"/>
    </row>
    <row r="71" spans="1:4">
      <c r="A71" s="58"/>
      <c r="C71" s="122"/>
    </row>
  </sheetData>
  <mergeCells count="4">
    <mergeCell ref="A1:E1"/>
    <mergeCell ref="A2:C2"/>
    <mergeCell ref="E50:E53"/>
    <mergeCell ref="F46:H46"/>
  </mergeCells>
  <pageMargins left="0.7" right="0.7" top="0.75" bottom="0.75" header="0.3" footer="0.3"/>
  <pageSetup paperSize="9" scale="75"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1"/>
  <sheetViews>
    <sheetView topLeftCell="A34" zoomScaleNormal="100" workbookViewId="0">
      <selection activeCell="K15" sqref="K15"/>
    </sheetView>
  </sheetViews>
  <sheetFormatPr baseColWidth="10" defaultRowHeight="15"/>
  <cols>
    <col min="5" max="5" width="12" bestFit="1" customWidth="1"/>
    <col min="10" max="10" width="13" bestFit="1" customWidth="1"/>
    <col min="11" max="11"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625</v>
      </c>
      <c r="H7" s="61"/>
    </row>
    <row r="8" spans="1:8">
      <c r="A8" s="60" t="s">
        <v>1767</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694" t="s">
        <v>486</v>
      </c>
      <c r="E11" s="65" t="s">
        <v>487</v>
      </c>
      <c r="F11" s="694" t="s">
        <v>488</v>
      </c>
      <c r="G11" s="693" t="s">
        <v>489</v>
      </c>
      <c r="H11" s="67"/>
    </row>
    <row r="12" spans="1:8">
      <c r="A12" s="1486" t="s">
        <v>1327</v>
      </c>
      <c r="B12" s="1487"/>
      <c r="C12" s="1488"/>
      <c r="D12" s="438"/>
      <c r="E12" s="439"/>
      <c r="F12" s="446"/>
      <c r="G12" s="447">
        <f>+H41*10%</f>
        <v>9356.6983851608584</v>
      </c>
      <c r="H12" s="72"/>
    </row>
    <row r="13" spans="1:8">
      <c r="A13" s="1486" t="s">
        <v>1326</v>
      </c>
      <c r="B13" s="1487"/>
      <c r="C13" s="1488"/>
      <c r="D13" s="445" t="s">
        <v>6</v>
      </c>
      <c r="E13" s="445">
        <f>+'EQUIPOS '!D6</f>
        <v>5292.5</v>
      </c>
      <c r="F13" s="511">
        <v>1</v>
      </c>
      <c r="G13" s="434">
        <f>E13*F13</f>
        <v>5292.5</v>
      </c>
      <c r="H13" s="72"/>
    </row>
    <row r="14" spans="1:8">
      <c r="A14" s="1483" t="s">
        <v>1330</v>
      </c>
      <c r="B14" s="1484"/>
      <c r="C14" s="1485"/>
      <c r="D14" s="73" t="s">
        <v>17</v>
      </c>
      <c r="E14" s="73">
        <f>'EQUIPOS '!D7</f>
        <v>42340</v>
      </c>
      <c r="F14" s="97">
        <v>0.1</v>
      </c>
      <c r="G14" s="434">
        <f>E14*F14</f>
        <v>4234</v>
      </c>
      <c r="H14" s="72"/>
    </row>
    <row r="15" spans="1:8">
      <c r="A15" s="1463"/>
      <c r="B15" s="1464"/>
      <c r="C15" s="1465"/>
      <c r="D15" s="73"/>
      <c r="E15" s="74"/>
      <c r="F15" s="69"/>
      <c r="G15" s="71"/>
      <c r="H15" s="72"/>
    </row>
    <row r="16" spans="1:8">
      <c r="A16" s="1463"/>
      <c r="B16" s="1464"/>
      <c r="C16" s="1465"/>
      <c r="D16" s="73"/>
      <c r="E16" s="74"/>
      <c r="F16" s="69"/>
      <c r="G16" s="71"/>
      <c r="H16" s="72"/>
    </row>
    <row r="17" spans="1:11" ht="15.75" thickBot="1">
      <c r="A17" s="1466"/>
      <c r="B17" s="1467"/>
      <c r="C17" s="1468"/>
      <c r="D17" s="76"/>
      <c r="E17" s="77"/>
      <c r="F17" s="78"/>
      <c r="G17" s="79"/>
      <c r="H17" s="80"/>
    </row>
    <row r="18" spans="1:11" ht="15.75" thickBot="1">
      <c r="A18" s="61"/>
      <c r="B18" s="61"/>
      <c r="C18" s="61"/>
      <c r="D18" s="61"/>
      <c r="E18" s="61"/>
      <c r="F18" s="61"/>
      <c r="G18" s="81" t="s">
        <v>491</v>
      </c>
      <c r="H18" s="82">
        <f>SUM(G12:G17)</f>
        <v>18883.19838516086</v>
      </c>
    </row>
    <row r="19" spans="1:11" ht="15.75" thickBot="1">
      <c r="A19" s="63" t="s">
        <v>492</v>
      </c>
      <c r="B19" s="63"/>
      <c r="C19" s="61"/>
      <c r="D19" s="61"/>
      <c r="E19" s="61"/>
      <c r="F19" s="61"/>
      <c r="G19" s="61"/>
      <c r="H19" s="61"/>
    </row>
    <row r="20" spans="1:11">
      <c r="A20" s="1472" t="s">
        <v>485</v>
      </c>
      <c r="B20" s="1473"/>
      <c r="C20" s="1474"/>
      <c r="D20" s="697" t="s">
        <v>493</v>
      </c>
      <c r="E20" s="697" t="s">
        <v>494</v>
      </c>
      <c r="F20" s="697" t="s">
        <v>495</v>
      </c>
      <c r="G20" s="452" t="s">
        <v>489</v>
      </c>
      <c r="H20" s="67"/>
    </row>
    <row r="21" spans="1:11">
      <c r="A21" s="1492" t="s">
        <v>201</v>
      </c>
      <c r="B21" s="1493"/>
      <c r="C21" s="1494"/>
      <c r="D21" s="502" t="s">
        <v>44</v>
      </c>
      <c r="E21" s="504">
        <f>MATERIALES!D24</f>
        <v>698.92899999999997</v>
      </c>
      <c r="F21" s="502">
        <v>300</v>
      </c>
      <c r="G21" s="701">
        <f>+E21*F21</f>
        <v>209678.69999999998</v>
      </c>
      <c r="H21" s="72"/>
    </row>
    <row r="22" spans="1:11">
      <c r="A22" s="1492" t="s">
        <v>73</v>
      </c>
      <c r="B22" s="1493"/>
      <c r="C22" s="1494"/>
      <c r="D22" s="502" t="s">
        <v>1328</v>
      </c>
      <c r="E22" s="502">
        <f>MATERIALES!D15</f>
        <v>32400</v>
      </c>
      <c r="F22" s="503">
        <v>0.48</v>
      </c>
      <c r="G22" s="701">
        <f>+E22*F22</f>
        <v>15552</v>
      </c>
      <c r="H22" s="440"/>
      <c r="J22" s="33"/>
    </row>
    <row r="23" spans="1:11">
      <c r="A23" s="1492" t="s">
        <v>18</v>
      </c>
      <c r="B23" s="1493"/>
      <c r="C23" s="1494"/>
      <c r="D23" s="502" t="s">
        <v>1328</v>
      </c>
      <c r="E23" s="502">
        <f>MATERIALES!D62</f>
        <v>64800</v>
      </c>
      <c r="F23" s="503">
        <v>0.95</v>
      </c>
      <c r="G23" s="701">
        <f>+E23*F23</f>
        <v>61560</v>
      </c>
      <c r="H23" s="440"/>
    </row>
    <row r="24" spans="1:11">
      <c r="A24" s="1492" t="s">
        <v>1323</v>
      </c>
      <c r="B24" s="1493"/>
      <c r="C24" s="1494"/>
      <c r="D24" s="502" t="s">
        <v>1695</v>
      </c>
      <c r="E24" s="700">
        <f>MATERIALES!D8</f>
        <v>68</v>
      </c>
      <c r="F24" s="502">
        <v>170</v>
      </c>
      <c r="G24" s="701">
        <f>+E24*F24</f>
        <v>11560</v>
      </c>
      <c r="H24" s="440"/>
    </row>
    <row r="25" spans="1:11" ht="15.75" thickBot="1">
      <c r="A25" s="1489" t="s">
        <v>1325</v>
      </c>
      <c r="B25" s="1490"/>
      <c r="C25" s="1491"/>
      <c r="D25" s="702"/>
      <c r="E25" s="703"/>
      <c r="F25" s="704"/>
      <c r="G25" s="705">
        <f>SUM(G21:G24)*5%</f>
        <v>14917.534999999998</v>
      </c>
      <c r="H25" s="441"/>
      <c r="J25" s="33"/>
      <c r="K25" s="33"/>
    </row>
    <row r="26" spans="1:11" ht="15.75" thickBot="1">
      <c r="A26" s="442"/>
      <c r="B26" s="442"/>
      <c r="C26" s="442"/>
      <c r="D26" s="442"/>
      <c r="E26" s="442"/>
      <c r="F26" s="442"/>
      <c r="G26" s="443" t="s">
        <v>491</v>
      </c>
      <c r="H26" s="444">
        <f>SUM(G21:G25)</f>
        <v>313268.23499999993</v>
      </c>
    </row>
    <row r="27" spans="1:11" ht="15.75" thickBot="1">
      <c r="A27" s="92" t="s">
        <v>496</v>
      </c>
      <c r="B27" s="92"/>
      <c r="C27" s="90"/>
      <c r="D27" s="61"/>
      <c r="E27" s="61"/>
      <c r="F27" s="61"/>
      <c r="G27" s="61"/>
      <c r="H27" s="61"/>
    </row>
    <row r="28" spans="1:11">
      <c r="A28" s="1454" t="s">
        <v>497</v>
      </c>
      <c r="B28" s="1456"/>
      <c r="C28" s="93" t="s">
        <v>498</v>
      </c>
      <c r="D28" s="694" t="s">
        <v>499</v>
      </c>
      <c r="E28" s="694" t="s">
        <v>500</v>
      </c>
      <c r="F28" s="694" t="s">
        <v>501</v>
      </c>
      <c r="G28" s="94" t="s">
        <v>489</v>
      </c>
      <c r="H28" s="67"/>
    </row>
    <row r="29" spans="1:11">
      <c r="A29" s="83" t="s">
        <v>73</v>
      </c>
      <c r="B29" s="84"/>
      <c r="C29" s="450">
        <f>F22</f>
        <v>0.48</v>
      </c>
      <c r="D29" s="96">
        <v>8</v>
      </c>
      <c r="E29" s="448">
        <f>D29*C29</f>
        <v>3.84</v>
      </c>
      <c r="F29" s="97">
        <f>'EQUIPOS '!D31</f>
        <v>1060</v>
      </c>
      <c r="G29" s="449">
        <f>F29*E29</f>
        <v>4070.3999999999996</v>
      </c>
      <c r="H29" s="72"/>
    </row>
    <row r="30" spans="1:11">
      <c r="A30" s="83" t="s">
        <v>18</v>
      </c>
      <c r="B30" s="84"/>
      <c r="C30" s="450">
        <f>F23</f>
        <v>0.95</v>
      </c>
      <c r="D30" s="68">
        <v>8</v>
      </c>
      <c r="E30" s="448">
        <f>D30*C30</f>
        <v>7.6</v>
      </c>
      <c r="F30" s="97">
        <f>'EQUIPOS '!D31</f>
        <v>1060</v>
      </c>
      <c r="G30" s="449">
        <f>F30*E30</f>
        <v>8056</v>
      </c>
      <c r="H30" s="72"/>
    </row>
    <row r="31" spans="1:11">
      <c r="A31" s="505"/>
      <c r="B31" s="506"/>
      <c r="C31" s="507"/>
      <c r="D31" s="73"/>
      <c r="E31" s="448"/>
      <c r="F31" s="509"/>
      <c r="G31" s="449"/>
      <c r="H31" s="72"/>
    </row>
    <row r="32" spans="1:11">
      <c r="A32" s="505"/>
      <c r="B32" s="506"/>
      <c r="C32" s="507"/>
      <c r="D32" s="73"/>
      <c r="E32" s="508"/>
      <c r="F32" s="509"/>
      <c r="G32" s="510"/>
      <c r="H32" s="72"/>
    </row>
    <row r="33" spans="1:8" ht="15.75" thickBot="1">
      <c r="A33" s="100"/>
      <c r="B33" s="101"/>
      <c r="C33" s="76"/>
      <c r="D33" s="77"/>
      <c r="E33" s="78"/>
      <c r="F33" s="79"/>
      <c r="G33" s="76"/>
      <c r="H33" s="72"/>
    </row>
    <row r="34" spans="1:8" ht="15.75" thickBot="1">
      <c r="A34" s="61"/>
      <c r="B34" s="61"/>
      <c r="C34" s="61"/>
      <c r="D34" s="61"/>
      <c r="E34" s="61"/>
      <c r="F34" s="61"/>
      <c r="G34" s="81" t="s">
        <v>491</v>
      </c>
      <c r="H34" s="82">
        <f>SUM(G29:G33)</f>
        <v>12126.4</v>
      </c>
    </row>
    <row r="35" spans="1:8" ht="15.75" thickBot="1">
      <c r="A35" s="92" t="s">
        <v>502</v>
      </c>
      <c r="B35" s="92"/>
      <c r="C35" s="61"/>
      <c r="D35" s="61"/>
      <c r="E35" s="61"/>
      <c r="F35" s="61"/>
      <c r="G35" s="61"/>
      <c r="H35" s="61"/>
    </row>
    <row r="36" spans="1:8">
      <c r="A36" s="1454" t="s">
        <v>503</v>
      </c>
      <c r="B36" s="1456"/>
      <c r="C36" s="694" t="s">
        <v>504</v>
      </c>
      <c r="D36" s="694" t="s">
        <v>505</v>
      </c>
      <c r="E36" s="124" t="s">
        <v>506</v>
      </c>
      <c r="F36" s="102" t="s">
        <v>488</v>
      </c>
      <c r="G36" s="693" t="s">
        <v>489</v>
      </c>
      <c r="H36" s="67"/>
    </row>
    <row r="37" spans="1:8">
      <c r="A37" s="83" t="s">
        <v>624</v>
      </c>
      <c r="B37" s="84"/>
      <c r="C37" s="103">
        <f>+SALARIOS!C50</f>
        <v>41660</v>
      </c>
      <c r="D37" s="104">
        <f>+SALARIOS!C48</f>
        <v>1.7846558312967005</v>
      </c>
      <c r="E37" s="69">
        <f>+C37*D37</f>
        <v>74348.76193182054</v>
      </c>
      <c r="F37" s="161">
        <v>2.2999999999999998</v>
      </c>
      <c r="G37" s="105">
        <f>+E37/F37</f>
        <v>32325.548666008934</v>
      </c>
      <c r="H37" s="72"/>
    </row>
    <row r="38" spans="1:8">
      <c r="A38" s="83" t="s">
        <v>629</v>
      </c>
      <c r="B38" s="84"/>
      <c r="C38" s="103">
        <f>+SALARIOS!C49*4</f>
        <v>102288</v>
      </c>
      <c r="D38" s="104">
        <f>+SALARIOS!C48</f>
        <v>1.7846558312967005</v>
      </c>
      <c r="E38" s="69">
        <f>+C38*D38</f>
        <v>182548.87567167688</v>
      </c>
      <c r="F38" s="70">
        <v>2.9808066241171556</v>
      </c>
      <c r="G38" s="105">
        <f>+E38/F38</f>
        <v>61241.43518559965</v>
      </c>
      <c r="H38" s="72"/>
    </row>
    <row r="39" spans="1:8">
      <c r="A39" s="83"/>
      <c r="B39" s="84"/>
      <c r="C39" s="103"/>
      <c r="D39" s="104"/>
      <c r="E39" s="69"/>
      <c r="F39" s="69"/>
      <c r="G39" s="105"/>
      <c r="H39" s="72"/>
    </row>
    <row r="40" spans="1:8" ht="15.75" thickBot="1">
      <c r="A40" s="100"/>
      <c r="B40" s="106"/>
      <c r="C40" s="77"/>
      <c r="D40" s="91"/>
      <c r="E40" s="143"/>
      <c r="F40" s="91"/>
      <c r="G40" s="90"/>
      <c r="H40" s="80"/>
    </row>
    <row r="41" spans="1:8" ht="15.75" thickBot="1">
      <c r="A41" s="61"/>
      <c r="B41" s="61"/>
      <c r="C41" s="61"/>
      <c r="D41" s="61"/>
      <c r="E41" s="61"/>
      <c r="F41" s="61"/>
      <c r="G41" s="81" t="s">
        <v>491</v>
      </c>
      <c r="H41" s="82">
        <f>SUM(G37:G40)</f>
        <v>93566.983851608587</v>
      </c>
    </row>
    <row r="42" spans="1:8" ht="15.75" thickBot="1">
      <c r="A42" s="61"/>
      <c r="B42" s="61"/>
      <c r="C42" s="61"/>
      <c r="D42" s="61"/>
      <c r="E42" s="61"/>
      <c r="F42" s="61"/>
      <c r="G42" s="107"/>
      <c r="H42" s="58"/>
    </row>
    <row r="43" spans="1:8" ht="15.75" thickBot="1">
      <c r="A43" s="61"/>
      <c r="B43" s="61"/>
      <c r="C43" s="61"/>
      <c r="D43" s="61"/>
      <c r="E43" s="108" t="s">
        <v>508</v>
      </c>
      <c r="F43" s="109"/>
      <c r="G43" s="109"/>
      <c r="H43" s="82">
        <f>H18+H26+H34+H41</f>
        <v>437844.81723676942</v>
      </c>
    </row>
    <row r="44" spans="1:8" ht="15.75" thickBot="1">
      <c r="A44" s="63" t="s">
        <v>509</v>
      </c>
      <c r="B44" s="63"/>
      <c r="C44" s="61"/>
      <c r="D44" s="61"/>
      <c r="E44" s="61"/>
      <c r="F44" s="61"/>
      <c r="G44" s="61"/>
      <c r="H44" s="61"/>
    </row>
    <row r="45" spans="1:8">
      <c r="A45" s="110" t="s">
        <v>485</v>
      </c>
      <c r="B45" s="111"/>
      <c r="C45" s="111"/>
      <c r="D45" s="111"/>
      <c r="E45" s="112"/>
      <c r="F45" s="697" t="s">
        <v>510</v>
      </c>
      <c r="G45" s="696" t="s">
        <v>511</v>
      </c>
      <c r="H45" s="67"/>
    </row>
    <row r="46" spans="1:8">
      <c r="A46" s="83" t="s">
        <v>512</v>
      </c>
      <c r="B46" s="84"/>
      <c r="C46" s="84"/>
      <c r="D46" s="84"/>
      <c r="E46" s="85"/>
      <c r="F46" s="115">
        <f>(SALARIOS!C45)</f>
        <v>0.15</v>
      </c>
      <c r="G46" s="116">
        <f>++F46*H43</f>
        <v>65676.72258551541</v>
      </c>
      <c r="H46" s="117"/>
    </row>
    <row r="47" spans="1:8">
      <c r="A47" s="83" t="s">
        <v>513</v>
      </c>
      <c r="B47" s="84"/>
      <c r="C47" s="84"/>
      <c r="D47" s="84"/>
      <c r="E47" s="85"/>
      <c r="F47" s="115">
        <f>(SALARIOS!C46)</f>
        <v>0.05</v>
      </c>
      <c r="G47" s="116">
        <f>+F47*H43</f>
        <v>21892.240861838472</v>
      </c>
      <c r="H47" s="117"/>
    </row>
    <row r="48" spans="1:8" ht="15.75" thickBot="1">
      <c r="A48" s="89" t="s">
        <v>514</v>
      </c>
      <c r="B48" s="90"/>
      <c r="C48" s="90"/>
      <c r="D48" s="90"/>
      <c r="E48" s="91"/>
      <c r="F48" s="118">
        <f>SALARIOS!C47</f>
        <v>0.05</v>
      </c>
      <c r="G48" s="119">
        <f>+F48*H43</f>
        <v>21892.240861838472</v>
      </c>
      <c r="H48" s="80"/>
    </row>
    <row r="49" spans="1:8" ht="15.75" thickBot="1">
      <c r="A49" s="61"/>
      <c r="B49" s="61"/>
      <c r="C49" s="61"/>
      <c r="D49" s="61"/>
      <c r="E49" s="61"/>
      <c r="F49" s="61"/>
      <c r="G49" s="81" t="s">
        <v>491</v>
      </c>
      <c r="H49" s="120">
        <f>SUM(G46:G48)</f>
        <v>109461.20430919237</v>
      </c>
    </row>
    <row r="50" spans="1:8" ht="15.75" thickBot="1">
      <c r="A50" s="61"/>
      <c r="B50" s="61"/>
      <c r="C50" s="61"/>
      <c r="D50" s="61"/>
      <c r="E50" s="61"/>
      <c r="F50" s="61"/>
      <c r="G50" s="61"/>
      <c r="H50" s="61"/>
    </row>
    <row r="51" spans="1:8" ht="15.75" thickBot="1">
      <c r="A51" s="16"/>
      <c r="B51" s="16"/>
      <c r="C51" s="61"/>
      <c r="D51" s="108" t="s">
        <v>515</v>
      </c>
      <c r="E51" s="109"/>
      <c r="F51" s="109"/>
      <c r="G51" s="109"/>
      <c r="H51" s="82">
        <f>ROUND((H43+H49),0)</f>
        <v>547306</v>
      </c>
    </row>
  </sheetData>
  <mergeCells count="18">
    <mergeCell ref="A13:C13"/>
    <mergeCell ref="A3:C4"/>
    <mergeCell ref="A5:C5"/>
    <mergeCell ref="D5:H5"/>
    <mergeCell ref="A11:C11"/>
    <mergeCell ref="A12:C12"/>
    <mergeCell ref="A36:B36"/>
    <mergeCell ref="A14:C14"/>
    <mergeCell ref="A15:C15"/>
    <mergeCell ref="A16:C16"/>
    <mergeCell ref="A17:C17"/>
    <mergeCell ref="A20:C20"/>
    <mergeCell ref="A21:C21"/>
    <mergeCell ref="A22:C22"/>
    <mergeCell ref="A23:C23"/>
    <mergeCell ref="A24:C24"/>
    <mergeCell ref="A25:C25"/>
    <mergeCell ref="A28:B28"/>
  </mergeCells>
  <pageMargins left="0.7" right="0.7" top="0.75" bottom="0.75" header="0.3" footer="0.3"/>
  <pageSetup paperSize="9" scale="9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1"/>
  <sheetViews>
    <sheetView topLeftCell="A28" workbookViewId="0">
      <selection activeCell="K17" sqref="K17"/>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ht="14.25" customHeight="1">
      <c r="A7" s="60" t="s">
        <v>36</v>
      </c>
      <c r="B7" s="62"/>
      <c r="C7" s="61"/>
      <c r="D7" s="16"/>
      <c r="E7" s="62"/>
      <c r="F7" s="16"/>
      <c r="G7" s="62" t="s">
        <v>623</v>
      </c>
      <c r="H7" s="61"/>
    </row>
    <row r="8" spans="1:8">
      <c r="A8" s="711" t="s">
        <v>1773</v>
      </c>
      <c r="B8" s="711"/>
      <c r="C8" s="711"/>
      <c r="D8" s="711"/>
      <c r="E8" s="711"/>
      <c r="F8" s="711"/>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63" t="s">
        <v>1327</v>
      </c>
      <c r="B12" s="1464"/>
      <c r="C12" s="1465"/>
      <c r="D12" s="73"/>
      <c r="E12" s="73"/>
      <c r="F12" s="97"/>
      <c r="G12" s="71">
        <f>H41*10%</f>
        <v>9356.6983857766372</v>
      </c>
      <c r="H12" s="72"/>
    </row>
    <row r="13" spans="1:8">
      <c r="A13" s="1463" t="s">
        <v>1326</v>
      </c>
      <c r="B13" s="1464"/>
      <c r="C13" s="1465"/>
      <c r="D13" s="68" t="s">
        <v>6</v>
      </c>
      <c r="E13" s="69">
        <f>+'EQUIPOS '!D6</f>
        <v>5292.5</v>
      </c>
      <c r="F13" s="97">
        <v>1</v>
      </c>
      <c r="G13" s="71">
        <f>+E13*F13</f>
        <v>5292.5</v>
      </c>
      <c r="H13" s="72"/>
    </row>
    <row r="14" spans="1:8">
      <c r="A14" s="1483" t="s">
        <v>1330</v>
      </c>
      <c r="B14" s="1484"/>
      <c r="C14" s="1485"/>
      <c r="D14" s="73" t="s">
        <v>17</v>
      </c>
      <c r="E14" s="769">
        <f>'EQUIPOS '!D7</f>
        <v>42340</v>
      </c>
      <c r="F14" s="97">
        <v>0.1</v>
      </c>
      <c r="G14" s="434">
        <f>E14*F14</f>
        <v>4234</v>
      </c>
      <c r="H14" s="72"/>
    </row>
    <row r="15" spans="1:8">
      <c r="A15" s="559"/>
      <c r="B15" s="560"/>
      <c r="C15" s="561"/>
      <c r="D15" s="73"/>
      <c r="E15" s="137"/>
      <c r="F15" s="563"/>
      <c r="G15" s="88"/>
      <c r="H15" s="72"/>
    </row>
    <row r="16" spans="1:8">
      <c r="A16" s="1463"/>
      <c r="B16" s="1464"/>
      <c r="C16" s="1465"/>
      <c r="D16" s="73"/>
      <c r="E16" s="74"/>
      <c r="F16" s="69"/>
      <c r="G16" s="71"/>
      <c r="H16" s="72"/>
    </row>
    <row r="17" spans="1:10">
      <c r="A17" s="1463"/>
      <c r="B17" s="1464"/>
      <c r="C17" s="1465"/>
      <c r="D17" s="73"/>
      <c r="E17" s="74"/>
      <c r="F17" s="69"/>
      <c r="G17" s="71"/>
      <c r="H17" s="72"/>
    </row>
    <row r="18" spans="1:10" ht="15.75" thickBot="1">
      <c r="A18" s="1466"/>
      <c r="B18" s="1467"/>
      <c r="C18" s="1468"/>
      <c r="D18" s="76"/>
      <c r="E18" s="77"/>
      <c r="F18" s="78"/>
      <c r="G18" s="79"/>
      <c r="H18" s="80"/>
    </row>
    <row r="19" spans="1:10" ht="15.75" thickBot="1">
      <c r="A19" s="61"/>
      <c r="B19" s="61"/>
      <c r="C19" s="61"/>
      <c r="D19" s="61"/>
      <c r="E19" s="61"/>
      <c r="F19" s="61"/>
      <c r="G19" s="81" t="s">
        <v>491</v>
      </c>
      <c r="H19" s="82">
        <f>SUM(G12:G18)</f>
        <v>18883.198385776639</v>
      </c>
    </row>
    <row r="20" spans="1:10" ht="15.75" thickBot="1">
      <c r="A20" s="63" t="s">
        <v>492</v>
      </c>
      <c r="B20" s="63"/>
      <c r="C20" s="61"/>
      <c r="D20" s="61"/>
      <c r="E20" s="61"/>
      <c r="F20" s="61"/>
      <c r="G20" s="61"/>
      <c r="H20" s="61"/>
    </row>
    <row r="21" spans="1:10">
      <c r="A21" s="1472" t="s">
        <v>485</v>
      </c>
      <c r="B21" s="1473"/>
      <c r="C21" s="1474"/>
      <c r="D21" s="562" t="s">
        <v>493</v>
      </c>
      <c r="E21" s="562" t="s">
        <v>494</v>
      </c>
      <c r="F21" s="562" t="s">
        <v>495</v>
      </c>
      <c r="G21" s="452" t="s">
        <v>489</v>
      </c>
      <c r="H21" s="67"/>
    </row>
    <row r="22" spans="1:10">
      <c r="A22" s="1463" t="s">
        <v>201</v>
      </c>
      <c r="B22" s="1464"/>
      <c r="C22" s="1465"/>
      <c r="D22" s="68" t="s">
        <v>44</v>
      </c>
      <c r="E22" s="68">
        <f>MATERIALES!D24</f>
        <v>698.92899999999997</v>
      </c>
      <c r="F22" s="503">
        <v>300</v>
      </c>
      <c r="G22" s="105">
        <f>+E22*F22</f>
        <v>209678.69999999998</v>
      </c>
      <c r="H22" s="72"/>
    </row>
    <row r="23" spans="1:10">
      <c r="A23" s="1469" t="s">
        <v>73</v>
      </c>
      <c r="B23" s="1470"/>
      <c r="C23" s="1471"/>
      <c r="D23" s="68" t="s">
        <v>1328</v>
      </c>
      <c r="E23" s="68">
        <f>MATERIALES!D15</f>
        <v>32400</v>
      </c>
      <c r="F23" s="504">
        <v>0.48</v>
      </c>
      <c r="G23" s="105">
        <f>+E23*F23</f>
        <v>15552</v>
      </c>
      <c r="H23" s="72"/>
    </row>
    <row r="24" spans="1:10">
      <c r="A24" s="1469" t="s">
        <v>18</v>
      </c>
      <c r="B24" s="1470"/>
      <c r="C24" s="1471"/>
      <c r="D24" s="68" t="s">
        <v>1328</v>
      </c>
      <c r="E24" s="68">
        <f>MATERIALES!D62</f>
        <v>64800</v>
      </c>
      <c r="F24" s="504">
        <v>0.95</v>
      </c>
      <c r="G24" s="105">
        <f>+E24*F24</f>
        <v>61560</v>
      </c>
      <c r="H24" s="72"/>
    </row>
    <row r="25" spans="1:10">
      <c r="A25" s="1469" t="s">
        <v>1774</v>
      </c>
      <c r="B25" s="1470"/>
      <c r="C25" s="1471"/>
      <c r="D25" s="68" t="s">
        <v>1328</v>
      </c>
      <c r="E25" s="68">
        <f>MATERIALES!D65</f>
        <v>47000</v>
      </c>
      <c r="F25" s="503">
        <v>0.4</v>
      </c>
      <c r="G25" s="105">
        <f>+E25*F25</f>
        <v>18800</v>
      </c>
      <c r="H25" s="72"/>
      <c r="J25" s="25"/>
    </row>
    <row r="26" spans="1:10">
      <c r="A26" s="1463" t="s">
        <v>1323</v>
      </c>
      <c r="B26" s="1464"/>
      <c r="C26" s="1465"/>
      <c r="D26" s="68" t="s">
        <v>1695</v>
      </c>
      <c r="E26" s="68">
        <f>MATERIALES!D8</f>
        <v>68</v>
      </c>
      <c r="F26" s="709">
        <v>170</v>
      </c>
      <c r="G26" s="105">
        <f>+E26*F26</f>
        <v>11560</v>
      </c>
      <c r="H26" s="72"/>
    </row>
    <row r="27" spans="1:10" ht="15.75" thickBot="1">
      <c r="A27" s="1466" t="s">
        <v>1325</v>
      </c>
      <c r="B27" s="1467"/>
      <c r="C27" s="1468"/>
      <c r="D27" s="76"/>
      <c r="E27" s="77"/>
      <c r="F27" s="567"/>
      <c r="G27" s="453">
        <f>SUM(G22:G26)*5%</f>
        <v>15857.534999999998</v>
      </c>
      <c r="H27" s="80"/>
      <c r="J27" s="189"/>
    </row>
    <row r="28" spans="1:10" ht="15.75" thickBot="1">
      <c r="A28" s="61"/>
      <c r="B28" s="61"/>
      <c r="C28" s="61"/>
      <c r="D28" s="61"/>
      <c r="E28" s="61"/>
      <c r="F28" s="61"/>
      <c r="G28" s="81" t="s">
        <v>491</v>
      </c>
      <c r="H28" s="82">
        <f>SUM(G22:G27)</f>
        <v>333008.23499999993</v>
      </c>
      <c r="J28" s="189"/>
    </row>
    <row r="29" spans="1:10" ht="15.75" thickBot="1">
      <c r="A29" s="92" t="s">
        <v>496</v>
      </c>
      <c r="B29" s="92"/>
      <c r="C29" s="90"/>
      <c r="D29" s="61"/>
      <c r="E29" s="61"/>
      <c r="F29" s="61"/>
      <c r="G29" s="61"/>
      <c r="H29" s="61"/>
    </row>
    <row r="30" spans="1:10">
      <c r="A30" s="1454" t="s">
        <v>497</v>
      </c>
      <c r="B30" s="1456"/>
      <c r="C30" s="713" t="s">
        <v>498</v>
      </c>
      <c r="D30" s="698" t="s">
        <v>499</v>
      </c>
      <c r="E30" s="698" t="s">
        <v>500</v>
      </c>
      <c r="F30" s="698" t="s">
        <v>501</v>
      </c>
      <c r="G30" s="94" t="s">
        <v>489</v>
      </c>
      <c r="H30" s="67"/>
    </row>
    <row r="31" spans="1:10">
      <c r="A31" s="83" t="s">
        <v>73</v>
      </c>
      <c r="B31" s="84"/>
      <c r="C31" s="450">
        <f>F23</f>
        <v>0.48</v>
      </c>
      <c r="D31" s="96">
        <v>8</v>
      </c>
      <c r="E31" s="448">
        <f>D31*C31</f>
        <v>3.84</v>
      </c>
      <c r="F31" s="97">
        <f>'EQUIPOS '!D31</f>
        <v>1060</v>
      </c>
      <c r="G31" s="714">
        <f>F31*E31</f>
        <v>4070.3999999999996</v>
      </c>
      <c r="H31" s="72"/>
    </row>
    <row r="32" spans="1:10">
      <c r="A32" s="83" t="s">
        <v>18</v>
      </c>
      <c r="B32" s="84"/>
      <c r="C32" s="450">
        <f>F24</f>
        <v>0.95</v>
      </c>
      <c r="D32" s="68">
        <v>8</v>
      </c>
      <c r="E32" s="448">
        <f>D32*C32</f>
        <v>7.6</v>
      </c>
      <c r="F32" s="97">
        <f>'EQUIPOS '!D31</f>
        <v>1060</v>
      </c>
      <c r="G32" s="714">
        <f>F32*E32</f>
        <v>8056</v>
      </c>
      <c r="H32" s="72"/>
    </row>
    <row r="33" spans="1:8" ht="15.75" thickBot="1">
      <c r="A33" s="100" t="s">
        <v>203</v>
      </c>
      <c r="B33" s="101"/>
      <c r="C33" s="710">
        <f>F25</f>
        <v>0.4</v>
      </c>
      <c r="D33" s="76">
        <v>8</v>
      </c>
      <c r="E33" s="211">
        <f>D33*C33</f>
        <v>3.2</v>
      </c>
      <c r="F33" s="211">
        <f>'EQUIPOS '!D31</f>
        <v>1060</v>
      </c>
      <c r="G33" s="715">
        <f>F33*E33</f>
        <v>3392</v>
      </c>
      <c r="H33" s="72"/>
    </row>
    <row r="34" spans="1:8" ht="15.75" thickBot="1">
      <c r="A34" s="61"/>
      <c r="B34" s="61"/>
      <c r="C34" s="61"/>
      <c r="D34" s="61"/>
      <c r="E34" s="61"/>
      <c r="F34" s="61"/>
      <c r="G34" s="81" t="s">
        <v>491</v>
      </c>
      <c r="H34" s="82">
        <f>SUM(G31:G33)</f>
        <v>15518.4</v>
      </c>
    </row>
    <row r="35" spans="1:8" ht="15.75" thickBot="1">
      <c r="A35" s="92" t="s">
        <v>502</v>
      </c>
      <c r="B35" s="92"/>
      <c r="C35" s="61"/>
      <c r="D35" s="61"/>
      <c r="E35" s="61"/>
      <c r="F35" s="61"/>
      <c r="G35" s="61"/>
      <c r="H35" s="61"/>
    </row>
    <row r="36" spans="1:8">
      <c r="A36" s="1454" t="s">
        <v>503</v>
      </c>
      <c r="B36" s="1456"/>
      <c r="C36" s="178" t="s">
        <v>504</v>
      </c>
      <c r="D36" s="178" t="s">
        <v>505</v>
      </c>
      <c r="E36" s="124" t="s">
        <v>506</v>
      </c>
      <c r="F36" s="102" t="s">
        <v>488</v>
      </c>
      <c r="G36" s="177" t="s">
        <v>489</v>
      </c>
      <c r="H36" s="67"/>
    </row>
    <row r="37" spans="1:8">
      <c r="A37" s="83" t="s">
        <v>624</v>
      </c>
      <c r="B37" s="84"/>
      <c r="C37" s="103">
        <f>+SALARIOS!C50</f>
        <v>41660</v>
      </c>
      <c r="D37" s="104">
        <f>+SALARIOS!C48</f>
        <v>1.7846558312967005</v>
      </c>
      <c r="E37" s="69">
        <f>+C37*D37</f>
        <v>74348.76193182054</v>
      </c>
      <c r="F37" s="156">
        <v>2.2999999999999998</v>
      </c>
      <c r="G37" s="105">
        <f>+E37/F37</f>
        <v>32325.548666008934</v>
      </c>
      <c r="H37" s="72"/>
    </row>
    <row r="38" spans="1:8">
      <c r="A38" s="83" t="s">
        <v>629</v>
      </c>
      <c r="B38" s="84"/>
      <c r="C38" s="103">
        <f>+SALARIOS!C49*4</f>
        <v>102288</v>
      </c>
      <c r="D38" s="104">
        <f>+SALARIOS!C48</f>
        <v>1.7846558312967005</v>
      </c>
      <c r="E38" s="69">
        <f>+C38*D38</f>
        <v>182548.87567167688</v>
      </c>
      <c r="F38" s="521">
        <v>2.980806623817438</v>
      </c>
      <c r="G38" s="105">
        <f>+E38/F38</f>
        <v>61241.435191757424</v>
      </c>
      <c r="H38" s="72"/>
    </row>
    <row r="39" spans="1:8">
      <c r="A39" s="83"/>
      <c r="B39" s="84"/>
      <c r="C39" s="103"/>
      <c r="D39" s="104"/>
      <c r="E39" s="69"/>
      <c r="F39" s="69"/>
      <c r="G39" s="105"/>
      <c r="H39" s="72"/>
    </row>
    <row r="40" spans="1:8" ht="15.75" thickBot="1">
      <c r="A40" s="100"/>
      <c r="B40" s="106"/>
      <c r="C40" s="77"/>
      <c r="D40" s="91"/>
      <c r="E40" s="143"/>
      <c r="F40" s="91"/>
      <c r="G40" s="90"/>
      <c r="H40" s="80"/>
    </row>
    <row r="41" spans="1:8" ht="15.75" thickBot="1">
      <c r="A41" s="61"/>
      <c r="B41" s="61"/>
      <c r="C41" s="61"/>
      <c r="D41" s="61"/>
      <c r="E41" s="61"/>
      <c r="F41" s="61"/>
      <c r="G41" s="81" t="s">
        <v>491</v>
      </c>
      <c r="H41" s="82">
        <f>SUM(G37:G40)</f>
        <v>93566.983857766361</v>
      </c>
    </row>
    <row r="42" spans="1:8" ht="15.75" thickBot="1">
      <c r="A42" s="61"/>
      <c r="B42" s="61"/>
      <c r="C42" s="61"/>
      <c r="D42" s="61"/>
      <c r="E42" s="61"/>
      <c r="F42" s="61"/>
      <c r="G42" s="107"/>
      <c r="H42" s="58"/>
    </row>
    <row r="43" spans="1:8" ht="15.75" thickBot="1">
      <c r="A43" s="61"/>
      <c r="B43" s="61"/>
      <c r="C43" s="61"/>
      <c r="D43" s="61"/>
      <c r="E43" s="108" t="s">
        <v>508</v>
      </c>
      <c r="F43" s="109"/>
      <c r="G43" s="109"/>
      <c r="H43" s="82">
        <f>H19+H28+H34+H41</f>
        <v>460976.81724354299</v>
      </c>
    </row>
    <row r="44" spans="1:8" ht="15.75" thickBot="1">
      <c r="A44" s="63" t="s">
        <v>509</v>
      </c>
      <c r="B44" s="63"/>
      <c r="C44" s="61"/>
      <c r="D44" s="61"/>
      <c r="E44" s="61"/>
      <c r="F44" s="61"/>
      <c r="G44" s="61"/>
      <c r="H44" s="61"/>
    </row>
    <row r="45" spans="1:8">
      <c r="A45" s="110" t="s">
        <v>485</v>
      </c>
      <c r="B45" s="111"/>
      <c r="C45" s="111"/>
      <c r="D45" s="111"/>
      <c r="E45" s="112"/>
      <c r="F45" s="180" t="s">
        <v>510</v>
      </c>
      <c r="G45" s="179" t="s">
        <v>511</v>
      </c>
      <c r="H45" s="67"/>
    </row>
    <row r="46" spans="1:8">
      <c r="A46" s="83" t="s">
        <v>512</v>
      </c>
      <c r="B46" s="84"/>
      <c r="C46" s="84"/>
      <c r="D46" s="84"/>
      <c r="E46" s="85"/>
      <c r="F46" s="115">
        <f>(SALARIOS!C45)</f>
        <v>0.15</v>
      </c>
      <c r="G46" s="116">
        <f>++F46*H43</f>
        <v>69146.522586531442</v>
      </c>
      <c r="H46" s="117"/>
    </row>
    <row r="47" spans="1:8">
      <c r="A47" s="83" t="s">
        <v>513</v>
      </c>
      <c r="B47" s="84"/>
      <c r="C47" s="84"/>
      <c r="D47" s="84"/>
      <c r="E47" s="85"/>
      <c r="F47" s="115">
        <f>(SALARIOS!C46)</f>
        <v>0.05</v>
      </c>
      <c r="G47" s="116">
        <f>+F47*H43</f>
        <v>23048.840862177152</v>
      </c>
      <c r="H47" s="117"/>
    </row>
    <row r="48" spans="1:8" ht="15.75" thickBot="1">
      <c r="A48" s="89" t="s">
        <v>514</v>
      </c>
      <c r="B48" s="90"/>
      <c r="C48" s="90"/>
      <c r="D48" s="90"/>
      <c r="E48" s="91"/>
      <c r="F48" s="118">
        <f>SALARIOS!C47</f>
        <v>0.05</v>
      </c>
      <c r="G48" s="119">
        <f>+F48*H43</f>
        <v>23048.840862177152</v>
      </c>
      <c r="H48" s="80"/>
    </row>
    <row r="49" spans="1:8" ht="15.75" thickBot="1">
      <c r="A49" s="61"/>
      <c r="B49" s="61"/>
      <c r="C49" s="61"/>
      <c r="D49" s="61"/>
      <c r="E49" s="61"/>
      <c r="F49" s="61"/>
      <c r="G49" s="81" t="s">
        <v>491</v>
      </c>
      <c r="H49" s="120">
        <f>SUM(G46:G48)</f>
        <v>115244.20431088575</v>
      </c>
    </row>
    <row r="50" spans="1:8" ht="15.75" thickBot="1">
      <c r="A50" s="61"/>
      <c r="B50" s="61"/>
      <c r="C50" s="61"/>
      <c r="D50" s="61"/>
      <c r="E50" s="61"/>
      <c r="F50" s="61"/>
      <c r="G50" s="61"/>
      <c r="H50" s="61"/>
    </row>
    <row r="51" spans="1:8" ht="15.75" thickBot="1">
      <c r="A51" s="16"/>
      <c r="B51" s="16"/>
      <c r="C51" s="61"/>
      <c r="D51" s="108" t="s">
        <v>515</v>
      </c>
      <c r="E51" s="109"/>
      <c r="F51" s="109"/>
      <c r="G51" s="109"/>
      <c r="H51" s="82">
        <f>ROUND((H43+H49),0)</f>
        <v>576221</v>
      </c>
    </row>
  </sheetData>
  <mergeCells count="19">
    <mergeCell ref="D5:H5"/>
    <mergeCell ref="A11:C11"/>
    <mergeCell ref="A13:C13"/>
    <mergeCell ref="A12:C12"/>
    <mergeCell ref="A16:C16"/>
    <mergeCell ref="A14:C14"/>
    <mergeCell ref="A26:C26"/>
    <mergeCell ref="A27:C27"/>
    <mergeCell ref="A36:B36"/>
    <mergeCell ref="A3:C4"/>
    <mergeCell ref="A5:C5"/>
    <mergeCell ref="A17:C17"/>
    <mergeCell ref="A18:C18"/>
    <mergeCell ref="A21:C21"/>
    <mergeCell ref="A30:B30"/>
    <mergeCell ref="A23:C23"/>
    <mergeCell ref="A24:C24"/>
    <mergeCell ref="A22:C22"/>
    <mergeCell ref="A25:C25"/>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1"/>
  <sheetViews>
    <sheetView topLeftCell="A4" workbookViewId="0">
      <selection activeCell="L19" sqref="L18:L19"/>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625</v>
      </c>
      <c r="H7" s="61"/>
    </row>
    <row r="8" spans="1:8">
      <c r="A8" s="568" t="s">
        <v>1772</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78" t="s">
        <v>486</v>
      </c>
      <c r="E11" s="65" t="s">
        <v>487</v>
      </c>
      <c r="F11" s="178" t="s">
        <v>488</v>
      </c>
      <c r="G11" s="177" t="s">
        <v>489</v>
      </c>
      <c r="H11" s="67"/>
    </row>
    <row r="12" spans="1:8">
      <c r="A12" s="1463" t="s">
        <v>1327</v>
      </c>
      <c r="B12" s="1464"/>
      <c r="C12" s="1465"/>
      <c r="D12" s="564"/>
      <c r="E12" s="570"/>
      <c r="F12" s="571"/>
      <c r="G12" s="569">
        <f>H41*10%</f>
        <v>9356.6983179341005</v>
      </c>
      <c r="H12" s="72"/>
    </row>
    <row r="13" spans="1:8">
      <c r="A13" s="1463" t="s">
        <v>1326</v>
      </c>
      <c r="B13" s="1464"/>
      <c r="C13" s="1465"/>
      <c r="D13" s="68" t="s">
        <v>6</v>
      </c>
      <c r="E13" s="69">
        <f>'EQUIPOS '!D6</f>
        <v>5292.5</v>
      </c>
      <c r="F13" s="69">
        <v>1</v>
      </c>
      <c r="G13" s="71">
        <f>+E13*F13</f>
        <v>5292.5</v>
      </c>
      <c r="H13" s="72"/>
    </row>
    <row r="14" spans="1:8">
      <c r="A14" s="1483" t="s">
        <v>1330</v>
      </c>
      <c r="B14" s="1484"/>
      <c r="C14" s="1485"/>
      <c r="D14" s="73" t="s">
        <v>17</v>
      </c>
      <c r="E14" s="769">
        <f>'EQUIPOS '!D7</f>
        <v>42340</v>
      </c>
      <c r="F14" s="69">
        <v>0.1</v>
      </c>
      <c r="G14" s="434">
        <f>E14*F14</f>
        <v>4234</v>
      </c>
      <c r="H14" s="72"/>
    </row>
    <row r="15" spans="1:8">
      <c r="A15" s="559" t="s">
        <v>1574</v>
      </c>
      <c r="D15" s="73" t="s">
        <v>28</v>
      </c>
      <c r="E15" s="74">
        <f>MATERIALES!D33</f>
        <v>1392</v>
      </c>
      <c r="F15" s="69">
        <v>2</v>
      </c>
      <c r="G15" s="71">
        <f>E15*F15</f>
        <v>2784</v>
      </c>
      <c r="H15" s="72"/>
    </row>
    <row r="16" spans="1:8">
      <c r="A16" s="1463"/>
      <c r="B16" s="1464"/>
      <c r="C16" s="1465"/>
      <c r="D16" s="73"/>
      <c r="E16" s="74"/>
      <c r="F16" s="69"/>
      <c r="G16" s="71"/>
      <c r="H16" s="72"/>
    </row>
    <row r="17" spans="1:8">
      <c r="A17" s="1463"/>
      <c r="B17" s="1464"/>
      <c r="C17" s="1465"/>
      <c r="D17" s="73"/>
      <c r="E17" s="74"/>
      <c r="F17" s="69"/>
      <c r="G17" s="71"/>
      <c r="H17" s="72"/>
    </row>
    <row r="18" spans="1:8" ht="15.75" thickBot="1">
      <c r="A18" s="1466"/>
      <c r="B18" s="1467"/>
      <c r="C18" s="1468"/>
      <c r="D18" s="76"/>
      <c r="E18" s="77"/>
      <c r="F18" s="78"/>
      <c r="G18" s="79"/>
      <c r="H18" s="80"/>
    </row>
    <row r="19" spans="1:8" ht="15.75" thickBot="1">
      <c r="A19" s="61"/>
      <c r="B19" s="61"/>
      <c r="C19" s="61"/>
      <c r="D19" s="61"/>
      <c r="E19" s="61"/>
      <c r="F19" s="61"/>
      <c r="G19" s="81" t="s">
        <v>491</v>
      </c>
      <c r="H19" s="82">
        <f>SUM(G12:G18)</f>
        <v>21667.1983179341</v>
      </c>
    </row>
    <row r="20" spans="1:8" ht="15.75" thickBot="1">
      <c r="A20" s="63" t="s">
        <v>492</v>
      </c>
      <c r="B20" s="63"/>
      <c r="C20" s="61"/>
      <c r="D20" s="61"/>
      <c r="E20" s="61"/>
      <c r="F20" s="61"/>
      <c r="G20" s="61"/>
      <c r="H20" s="61"/>
    </row>
    <row r="21" spans="1:8">
      <c r="A21" s="1472" t="s">
        <v>485</v>
      </c>
      <c r="B21" s="1473"/>
      <c r="C21" s="1474"/>
      <c r="D21" s="562" t="s">
        <v>493</v>
      </c>
      <c r="E21" s="562" t="s">
        <v>494</v>
      </c>
      <c r="F21" s="562" t="s">
        <v>495</v>
      </c>
      <c r="G21" s="452" t="s">
        <v>489</v>
      </c>
      <c r="H21" s="67"/>
    </row>
    <row r="22" spans="1:8">
      <c r="A22" s="577" t="s">
        <v>1324</v>
      </c>
      <c r="B22" s="573"/>
      <c r="C22" s="574"/>
      <c r="D22" s="575" t="s">
        <v>44</v>
      </c>
      <c r="E22" s="576">
        <f>MATERIALES!D24</f>
        <v>698.92899999999997</v>
      </c>
      <c r="F22" s="575">
        <v>300</v>
      </c>
      <c r="G22" s="578">
        <f>E22*F22</f>
        <v>209678.69999999998</v>
      </c>
      <c r="H22" s="72"/>
    </row>
    <row r="23" spans="1:8">
      <c r="A23" s="559" t="s">
        <v>73</v>
      </c>
      <c r="B23" s="573"/>
      <c r="C23" s="574"/>
      <c r="D23" s="575" t="s">
        <v>19</v>
      </c>
      <c r="E23" s="757">
        <f>MATERIALES!D15</f>
        <v>32400</v>
      </c>
      <c r="F23" s="575">
        <v>0.48</v>
      </c>
      <c r="G23" s="578">
        <f>E23*F23</f>
        <v>15552</v>
      </c>
      <c r="H23" s="72"/>
    </row>
    <row r="24" spans="1:8">
      <c r="A24" s="559" t="s">
        <v>18</v>
      </c>
      <c r="B24" s="573"/>
      <c r="C24" s="574"/>
      <c r="D24" s="575" t="s">
        <v>19</v>
      </c>
      <c r="E24" s="757">
        <f>MATERIALES!D62</f>
        <v>64800</v>
      </c>
      <c r="F24" s="575">
        <v>0.95</v>
      </c>
      <c r="G24" s="578">
        <f>E24*F24</f>
        <v>61560</v>
      </c>
      <c r="H24" s="72"/>
    </row>
    <row r="25" spans="1:8">
      <c r="A25" s="656" t="s">
        <v>1323</v>
      </c>
      <c r="B25" s="573"/>
      <c r="C25" s="574"/>
      <c r="D25" s="575" t="s">
        <v>68</v>
      </c>
      <c r="E25" s="576">
        <f>MATERIALES!D8</f>
        <v>68</v>
      </c>
      <c r="F25" s="575">
        <v>170</v>
      </c>
      <c r="G25" s="578">
        <f>E25*F25</f>
        <v>11560</v>
      </c>
      <c r="H25" s="72"/>
    </row>
    <row r="26" spans="1:8">
      <c r="A26" s="572" t="s">
        <v>1774</v>
      </c>
      <c r="B26" s="565"/>
      <c r="C26" s="566"/>
      <c r="D26" s="680" t="s">
        <v>19</v>
      </c>
      <c r="E26" s="758">
        <f>MATERIALES!D65</f>
        <v>47000</v>
      </c>
      <c r="F26" s="712">
        <v>0.4</v>
      </c>
      <c r="G26" s="681">
        <f>E26*F26</f>
        <v>18800</v>
      </c>
      <c r="H26" s="72"/>
    </row>
    <row r="27" spans="1:8" ht="15.75" thickBot="1">
      <c r="A27" s="100" t="s">
        <v>1325</v>
      </c>
      <c r="B27" s="106"/>
      <c r="C27" s="101"/>
      <c r="D27" s="76"/>
      <c r="E27" s="77"/>
      <c r="F27" s="579"/>
      <c r="G27" s="453">
        <f>SUM(G22:G26)*5%</f>
        <v>15857.534999999998</v>
      </c>
      <c r="H27" s="80"/>
    </row>
    <row r="28" spans="1:8" ht="15.75" thickBot="1">
      <c r="A28" s="61"/>
      <c r="B28" s="61"/>
      <c r="C28" s="61"/>
      <c r="D28" s="61"/>
      <c r="E28" s="61"/>
      <c r="F28" s="61"/>
      <c r="G28" s="81" t="s">
        <v>491</v>
      </c>
      <c r="H28" s="82">
        <f>SUM(G22:G27)</f>
        <v>333008.23499999993</v>
      </c>
    </row>
    <row r="29" spans="1:8" ht="15.75" thickBot="1">
      <c r="A29" s="92" t="s">
        <v>496</v>
      </c>
      <c r="B29" s="92"/>
      <c r="C29" s="90"/>
      <c r="D29" s="61"/>
      <c r="E29" s="61"/>
      <c r="F29" s="61"/>
      <c r="G29" s="61"/>
      <c r="H29" s="61"/>
    </row>
    <row r="30" spans="1:8">
      <c r="A30" s="1454" t="s">
        <v>497</v>
      </c>
      <c r="B30" s="1456"/>
      <c r="C30" s="713" t="s">
        <v>498</v>
      </c>
      <c r="D30" s="698" t="s">
        <v>499</v>
      </c>
      <c r="E30" s="698" t="s">
        <v>500</v>
      </c>
      <c r="F30" s="698" t="s">
        <v>501</v>
      </c>
      <c r="G30" s="94" t="s">
        <v>489</v>
      </c>
      <c r="H30" s="67"/>
    </row>
    <row r="31" spans="1:8">
      <c r="A31" s="83" t="s">
        <v>73</v>
      </c>
      <c r="B31" s="84"/>
      <c r="C31" s="450">
        <f>F23</f>
        <v>0.48</v>
      </c>
      <c r="D31" s="96">
        <v>8</v>
      </c>
      <c r="E31" s="448">
        <f>D31*C31</f>
        <v>3.84</v>
      </c>
      <c r="F31" s="97">
        <f>'EQUIPOS '!D31</f>
        <v>1060</v>
      </c>
      <c r="G31" s="714">
        <f>F31*E31</f>
        <v>4070.3999999999996</v>
      </c>
      <c r="H31" s="72"/>
    </row>
    <row r="32" spans="1:8">
      <c r="A32" s="83" t="s">
        <v>18</v>
      </c>
      <c r="B32" s="84"/>
      <c r="C32" s="450">
        <f>F24</f>
        <v>0.95</v>
      </c>
      <c r="D32" s="68">
        <v>8</v>
      </c>
      <c r="E32" s="448">
        <f>D32*C32</f>
        <v>7.6</v>
      </c>
      <c r="F32" s="97">
        <f>'EQUIPOS '!D31</f>
        <v>1060</v>
      </c>
      <c r="G32" s="714">
        <f>F32*E32</f>
        <v>8056</v>
      </c>
      <c r="H32" s="72"/>
    </row>
    <row r="33" spans="1:8" ht="15.75" thickBot="1">
      <c r="A33" s="100" t="s">
        <v>1779</v>
      </c>
      <c r="B33" s="101"/>
      <c r="C33" s="211">
        <f>F26</f>
        <v>0.4</v>
      </c>
      <c r="D33" s="76">
        <v>8</v>
      </c>
      <c r="E33" s="211">
        <f>D33*C33</f>
        <v>3.2</v>
      </c>
      <c r="F33" s="211">
        <f>'EQUIPOS '!D31</f>
        <v>1060</v>
      </c>
      <c r="G33" s="715">
        <f>F33*E33</f>
        <v>3392</v>
      </c>
      <c r="H33" s="72"/>
    </row>
    <row r="34" spans="1:8" ht="15.75" thickBot="1">
      <c r="A34" s="61"/>
      <c r="B34" s="61"/>
      <c r="C34" s="61"/>
      <c r="D34" s="61"/>
      <c r="E34" s="61"/>
      <c r="F34" s="61"/>
      <c r="G34" s="81" t="s">
        <v>491</v>
      </c>
      <c r="H34" s="82">
        <f>SUM(G31:G33)</f>
        <v>15518.4</v>
      </c>
    </row>
    <row r="35" spans="1:8" ht="15.75" thickBot="1">
      <c r="A35" s="92" t="s">
        <v>502</v>
      </c>
      <c r="B35" s="92"/>
      <c r="C35" s="61"/>
      <c r="D35" s="61"/>
      <c r="E35" s="61"/>
      <c r="F35" s="61"/>
      <c r="G35" s="61"/>
      <c r="H35" s="61"/>
    </row>
    <row r="36" spans="1:8">
      <c r="A36" s="1454" t="s">
        <v>503</v>
      </c>
      <c r="B36" s="1456"/>
      <c r="C36" s="178" t="s">
        <v>504</v>
      </c>
      <c r="D36" s="178" t="s">
        <v>505</v>
      </c>
      <c r="E36" s="124" t="s">
        <v>506</v>
      </c>
      <c r="F36" s="102" t="s">
        <v>488</v>
      </c>
      <c r="G36" s="177" t="s">
        <v>489</v>
      </c>
      <c r="H36" s="67"/>
    </row>
    <row r="37" spans="1:8">
      <c r="A37" s="83" t="s">
        <v>624</v>
      </c>
      <c r="B37" s="84"/>
      <c r="C37" s="103">
        <f>+SALARIOS!C50</f>
        <v>41660</v>
      </c>
      <c r="D37" s="104">
        <f>+SALARIOS!C48</f>
        <v>1.7846558312967005</v>
      </c>
      <c r="E37" s="69">
        <f>+C37*D37</f>
        <v>74348.76193182054</v>
      </c>
      <c r="F37" s="161">
        <v>2.2999999999999998</v>
      </c>
      <c r="G37" s="105">
        <f>+E37/F37</f>
        <v>32325.548666008934</v>
      </c>
      <c r="H37" s="72"/>
    </row>
    <row r="38" spans="1:8">
      <c r="A38" s="83" t="s">
        <v>629</v>
      </c>
      <c r="B38" s="84"/>
      <c r="C38" s="103">
        <f>+SALARIOS!C49*4</f>
        <v>102288</v>
      </c>
      <c r="D38" s="104">
        <f>+SALARIOS!C48</f>
        <v>1.7846558312967005</v>
      </c>
      <c r="E38" s="69">
        <f>+C38*D38</f>
        <v>182548.87567167688</v>
      </c>
      <c r="F38" s="70">
        <v>2.9808066568384608</v>
      </c>
      <c r="G38" s="105">
        <f>+E38/F38</f>
        <v>61241.434513332068</v>
      </c>
      <c r="H38" s="72"/>
    </row>
    <row r="39" spans="1:8">
      <c r="A39" s="83"/>
      <c r="B39" s="84"/>
      <c r="C39" s="103"/>
      <c r="D39" s="104"/>
      <c r="E39" s="69"/>
      <c r="F39" s="69"/>
      <c r="G39" s="105"/>
      <c r="H39" s="72"/>
    </row>
    <row r="40" spans="1:8" ht="15.75" thickBot="1">
      <c r="A40" s="100"/>
      <c r="B40" s="106"/>
      <c r="C40" s="77"/>
      <c r="D40" s="91"/>
      <c r="E40" s="143"/>
      <c r="F40" s="91"/>
      <c r="G40" s="90"/>
      <c r="H40" s="80"/>
    </row>
    <row r="41" spans="1:8" ht="15.75" thickBot="1">
      <c r="A41" s="61"/>
      <c r="B41" s="61"/>
      <c r="C41" s="61"/>
      <c r="D41" s="61"/>
      <c r="E41" s="61"/>
      <c r="F41" s="61"/>
      <c r="G41" s="81" t="s">
        <v>491</v>
      </c>
      <c r="H41" s="82">
        <f>SUM(G37:G40)</f>
        <v>93566.983179340998</v>
      </c>
    </row>
    <row r="42" spans="1:8" ht="15.75" thickBot="1">
      <c r="A42" s="61"/>
      <c r="B42" s="61"/>
      <c r="C42" s="61"/>
      <c r="D42" s="61"/>
      <c r="E42" s="61"/>
      <c r="F42" s="61"/>
      <c r="G42" s="107"/>
      <c r="H42" s="58"/>
    </row>
    <row r="43" spans="1:8" ht="15.75" thickBot="1">
      <c r="A43" s="61"/>
      <c r="B43" s="61"/>
      <c r="C43" s="61"/>
      <c r="D43" s="61"/>
      <c r="E43" s="108" t="s">
        <v>508</v>
      </c>
      <c r="F43" s="109"/>
      <c r="G43" s="109"/>
      <c r="H43" s="82">
        <f>H19+H28+H34+H41</f>
        <v>463760.81649727508</v>
      </c>
    </row>
    <row r="44" spans="1:8" ht="15.75" thickBot="1">
      <c r="A44" s="63" t="s">
        <v>509</v>
      </c>
      <c r="B44" s="63"/>
      <c r="C44" s="61"/>
      <c r="D44" s="61"/>
      <c r="E44" s="61"/>
      <c r="F44" s="61"/>
      <c r="G44" s="61"/>
      <c r="H44" s="61"/>
    </row>
    <row r="45" spans="1:8">
      <c r="A45" s="110" t="s">
        <v>485</v>
      </c>
      <c r="B45" s="111"/>
      <c r="C45" s="111"/>
      <c r="D45" s="111"/>
      <c r="E45" s="112"/>
      <c r="F45" s="180" t="s">
        <v>510</v>
      </c>
      <c r="G45" s="179" t="s">
        <v>511</v>
      </c>
      <c r="H45" s="67"/>
    </row>
    <row r="46" spans="1:8">
      <c r="A46" s="83" t="s">
        <v>512</v>
      </c>
      <c r="B46" s="84"/>
      <c r="C46" s="84"/>
      <c r="D46" s="84"/>
      <c r="E46" s="85"/>
      <c r="F46" s="115">
        <f>(SALARIOS!C45)</f>
        <v>0.15</v>
      </c>
      <c r="G46" s="116">
        <f>++F46*H43</f>
        <v>69564.122474591262</v>
      </c>
      <c r="H46" s="117"/>
    </row>
    <row r="47" spans="1:8">
      <c r="A47" s="83" t="s">
        <v>513</v>
      </c>
      <c r="B47" s="84"/>
      <c r="C47" s="84"/>
      <c r="D47" s="84"/>
      <c r="E47" s="85"/>
      <c r="F47" s="115">
        <f>(SALARIOS!C46)</f>
        <v>0.05</v>
      </c>
      <c r="G47" s="116">
        <f>+F47*H43</f>
        <v>23188.040824863754</v>
      </c>
      <c r="H47" s="117"/>
    </row>
    <row r="48" spans="1:8" ht="15.75" thickBot="1">
      <c r="A48" s="89" t="s">
        <v>514</v>
      </c>
      <c r="B48" s="90"/>
      <c r="C48" s="90"/>
      <c r="D48" s="90"/>
      <c r="E48" s="91"/>
      <c r="F48" s="118">
        <f>SALARIOS!C47</f>
        <v>0.05</v>
      </c>
      <c r="G48" s="119">
        <f>+F48*H43</f>
        <v>23188.040824863754</v>
      </c>
      <c r="H48" s="80"/>
    </row>
    <row r="49" spans="1:8" ht="15.75" thickBot="1">
      <c r="A49" s="61"/>
      <c r="B49" s="61"/>
      <c r="C49" s="61"/>
      <c r="D49" s="61"/>
      <c r="E49" s="61"/>
      <c r="F49" s="61"/>
      <c r="G49" s="81" t="s">
        <v>491</v>
      </c>
      <c r="H49" s="120">
        <f>SUM(G46:G48)</f>
        <v>115940.20412431877</v>
      </c>
    </row>
    <row r="50" spans="1:8" ht="15.75" thickBot="1">
      <c r="A50" s="61"/>
      <c r="B50" s="61"/>
      <c r="C50" s="61"/>
      <c r="D50" s="61"/>
      <c r="E50" s="61"/>
      <c r="F50" s="61"/>
      <c r="G50" s="61"/>
      <c r="H50" s="61"/>
    </row>
    <row r="51" spans="1:8" ht="15.75" thickBot="1">
      <c r="A51" s="16"/>
      <c r="B51" s="16"/>
      <c r="C51" s="61"/>
      <c r="D51" s="108" t="s">
        <v>515</v>
      </c>
      <c r="E51" s="109"/>
      <c r="F51" s="109"/>
      <c r="G51" s="109"/>
      <c r="H51" s="82">
        <f>ROUND((H43+H49),0)</f>
        <v>579701</v>
      </c>
    </row>
  </sheetData>
  <mergeCells count="13">
    <mergeCell ref="A36:B36"/>
    <mergeCell ref="A3:C4"/>
    <mergeCell ref="A5:C5"/>
    <mergeCell ref="D5:H5"/>
    <mergeCell ref="A11:C11"/>
    <mergeCell ref="A13:C13"/>
    <mergeCell ref="A12:C12"/>
    <mergeCell ref="A16:C16"/>
    <mergeCell ref="A17:C17"/>
    <mergeCell ref="A18:C18"/>
    <mergeCell ref="A21:C21"/>
    <mergeCell ref="A30:B30"/>
    <mergeCell ref="A14:C14"/>
  </mergeCells>
  <pageMargins left="0.7" right="0.7" top="0.75" bottom="0.75" header="0.3" footer="0.3"/>
  <pageSetup paperSize="9" scale="9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1"/>
  <sheetViews>
    <sheetView topLeftCell="A15" zoomScaleNormal="100" workbookViewId="0">
      <selection activeCell="I26" sqref="I26"/>
    </sheetView>
  </sheetViews>
  <sheetFormatPr baseColWidth="10" defaultRowHeight="15"/>
  <cols>
    <col min="5" max="5" width="12" bestFit="1" customWidth="1"/>
    <col min="10" max="10" width="13" bestFit="1" customWidth="1"/>
    <col min="11" max="11"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628</v>
      </c>
      <c r="H7" s="61"/>
    </row>
    <row r="8" spans="1:8">
      <c r="A8" s="60" t="s">
        <v>1768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694" t="s">
        <v>486</v>
      </c>
      <c r="E11" s="65" t="s">
        <v>487</v>
      </c>
      <c r="F11" s="694" t="s">
        <v>488</v>
      </c>
      <c r="G11" s="693" t="s">
        <v>489</v>
      </c>
      <c r="H11" s="67"/>
    </row>
    <row r="12" spans="1:8">
      <c r="A12" s="1486" t="s">
        <v>1327</v>
      </c>
      <c r="B12" s="1487"/>
      <c r="C12" s="1488"/>
      <c r="D12" s="438"/>
      <c r="E12" s="439"/>
      <c r="F12" s="446"/>
      <c r="G12" s="447">
        <f>+H41*10%</f>
        <v>12273.468761984281</v>
      </c>
      <c r="H12" s="72"/>
    </row>
    <row r="13" spans="1:8">
      <c r="A13" s="1486" t="s">
        <v>1326</v>
      </c>
      <c r="B13" s="1487"/>
      <c r="C13" s="1488"/>
      <c r="D13" s="445" t="s">
        <v>6</v>
      </c>
      <c r="E13" s="445">
        <f>+'EQUIPOS '!D6</f>
        <v>5292.5</v>
      </c>
      <c r="F13" s="511">
        <v>1</v>
      </c>
      <c r="G13" s="434">
        <f>E13*F13</f>
        <v>5292.5</v>
      </c>
      <c r="H13" s="72"/>
    </row>
    <row r="14" spans="1:8">
      <c r="A14" s="1483" t="s">
        <v>1330</v>
      </c>
      <c r="B14" s="1484"/>
      <c r="C14" s="1485"/>
      <c r="D14" s="73" t="s">
        <v>17</v>
      </c>
      <c r="E14" s="73">
        <f>'EQUIPOS '!D7</f>
        <v>42340</v>
      </c>
      <c r="F14" s="97">
        <v>0.1</v>
      </c>
      <c r="G14" s="434">
        <f>E14*F14</f>
        <v>4234</v>
      </c>
      <c r="H14" s="72"/>
    </row>
    <row r="15" spans="1:8">
      <c r="A15" s="1463"/>
      <c r="B15" s="1464"/>
      <c r="C15" s="1465"/>
      <c r="D15" s="73"/>
      <c r="E15" s="74"/>
      <c r="F15" s="69"/>
      <c r="G15" s="71"/>
      <c r="H15" s="72"/>
    </row>
    <row r="16" spans="1:8">
      <c r="A16" s="1463"/>
      <c r="B16" s="1464"/>
      <c r="C16" s="1465"/>
      <c r="D16" s="73"/>
      <c r="E16" s="74"/>
      <c r="F16" s="69"/>
      <c r="G16" s="71"/>
      <c r="H16" s="72"/>
    </row>
    <row r="17" spans="1:11" ht="15.75" thickBot="1">
      <c r="A17" s="1466"/>
      <c r="B17" s="1467"/>
      <c r="C17" s="1468"/>
      <c r="D17" s="76"/>
      <c r="E17" s="77"/>
      <c r="F17" s="78"/>
      <c r="G17" s="79"/>
      <c r="H17" s="80"/>
    </row>
    <row r="18" spans="1:11" ht="15.75" thickBot="1">
      <c r="A18" s="61"/>
      <c r="B18" s="61"/>
      <c r="C18" s="61"/>
      <c r="D18" s="61"/>
      <c r="E18" s="61"/>
      <c r="F18" s="61"/>
      <c r="G18" s="81" t="s">
        <v>491</v>
      </c>
      <c r="H18" s="82">
        <f>SUM(G12:G17)</f>
        <v>21799.968761984281</v>
      </c>
    </row>
    <row r="19" spans="1:11" ht="15.75" thickBot="1">
      <c r="A19" s="63" t="s">
        <v>492</v>
      </c>
      <c r="B19" s="63"/>
      <c r="C19" s="61"/>
      <c r="D19" s="61"/>
      <c r="E19" s="61"/>
      <c r="F19" s="61"/>
      <c r="G19" s="61"/>
      <c r="H19" s="61"/>
    </row>
    <row r="20" spans="1:11">
      <c r="A20" s="1472" t="s">
        <v>485</v>
      </c>
      <c r="B20" s="1473"/>
      <c r="C20" s="1474"/>
      <c r="D20" s="697" t="s">
        <v>493</v>
      </c>
      <c r="E20" s="697" t="s">
        <v>494</v>
      </c>
      <c r="F20" s="697" t="s">
        <v>495</v>
      </c>
      <c r="G20" s="452" t="s">
        <v>489</v>
      </c>
      <c r="H20" s="67"/>
    </row>
    <row r="21" spans="1:11">
      <c r="A21" s="1492" t="s">
        <v>201</v>
      </c>
      <c r="B21" s="1493"/>
      <c r="C21" s="1494"/>
      <c r="D21" s="502" t="s">
        <v>44</v>
      </c>
      <c r="E21" s="504">
        <f>MATERIALES!D24</f>
        <v>698.92899999999997</v>
      </c>
      <c r="F21" s="502">
        <v>350</v>
      </c>
      <c r="G21" s="701">
        <f>+E21*F21</f>
        <v>244625.15</v>
      </c>
      <c r="H21" s="72"/>
    </row>
    <row r="22" spans="1:11">
      <c r="A22" s="1492" t="s">
        <v>73</v>
      </c>
      <c r="B22" s="1493"/>
      <c r="C22" s="1494"/>
      <c r="D22" s="502" t="s">
        <v>1328</v>
      </c>
      <c r="E22" s="502">
        <f>MATERIALES!D15</f>
        <v>32400</v>
      </c>
      <c r="F22" s="503">
        <v>0.56000000000000005</v>
      </c>
      <c r="G22" s="701">
        <f>+E22*F22</f>
        <v>18144</v>
      </c>
      <c r="H22" s="440"/>
      <c r="J22" s="33"/>
    </row>
    <row r="23" spans="1:11">
      <c r="A23" s="1492" t="s">
        <v>18</v>
      </c>
      <c r="B23" s="1493"/>
      <c r="C23" s="1494"/>
      <c r="D23" s="502" t="s">
        <v>1328</v>
      </c>
      <c r="E23" s="502">
        <f>MATERIALES!D62</f>
        <v>64800</v>
      </c>
      <c r="F23" s="503">
        <v>0.84</v>
      </c>
      <c r="G23" s="701">
        <f>+E23*F23</f>
        <v>54432</v>
      </c>
      <c r="H23" s="440"/>
    </row>
    <row r="24" spans="1:11">
      <c r="A24" s="1492" t="s">
        <v>1323</v>
      </c>
      <c r="B24" s="1493"/>
      <c r="C24" s="1494"/>
      <c r="D24" s="502" t="s">
        <v>1695</v>
      </c>
      <c r="E24" s="502">
        <f>MATERIALES!D8</f>
        <v>68</v>
      </c>
      <c r="F24" s="502">
        <v>180</v>
      </c>
      <c r="G24" s="701">
        <f>+E24*F24</f>
        <v>12240</v>
      </c>
      <c r="H24" s="440"/>
    </row>
    <row r="25" spans="1:11" ht="15.75" thickBot="1">
      <c r="A25" s="1489" t="s">
        <v>1325</v>
      </c>
      <c r="B25" s="1490"/>
      <c r="C25" s="1491"/>
      <c r="D25" s="702"/>
      <c r="E25" s="703"/>
      <c r="F25" s="704"/>
      <c r="G25" s="705">
        <f>SUM(G21:G24)*5%</f>
        <v>16472.057500000003</v>
      </c>
      <c r="H25" s="441"/>
      <c r="J25" s="33"/>
      <c r="K25" s="33"/>
    </row>
    <row r="26" spans="1:11" ht="15.75" thickBot="1">
      <c r="A26" s="442"/>
      <c r="B26" s="442"/>
      <c r="C26" s="442"/>
      <c r="D26" s="442"/>
      <c r="E26" s="442"/>
      <c r="F26" s="442"/>
      <c r="G26" s="443" t="s">
        <v>491</v>
      </c>
      <c r="H26" s="444">
        <f>SUM(G21:G25)</f>
        <v>345913.20750000002</v>
      </c>
      <c r="I26" s="189">
        <f>+H26+G13+H41</f>
        <v>473940.39511984284</v>
      </c>
    </row>
    <row r="27" spans="1:11" ht="15.75" thickBot="1">
      <c r="A27" s="92" t="s">
        <v>496</v>
      </c>
      <c r="B27" s="92"/>
      <c r="C27" s="90"/>
      <c r="D27" s="61"/>
      <c r="E27" s="61"/>
      <c r="F27" s="61"/>
      <c r="G27" s="61"/>
      <c r="H27" s="61"/>
    </row>
    <row r="28" spans="1:11">
      <c r="A28" s="1454" t="s">
        <v>497</v>
      </c>
      <c r="B28" s="1456"/>
      <c r="C28" s="93" t="s">
        <v>498</v>
      </c>
      <c r="D28" s="694" t="s">
        <v>499</v>
      </c>
      <c r="E28" s="694" t="s">
        <v>500</v>
      </c>
      <c r="F28" s="694" t="s">
        <v>501</v>
      </c>
      <c r="G28" s="94" t="s">
        <v>489</v>
      </c>
      <c r="H28" s="67"/>
    </row>
    <row r="29" spans="1:11">
      <c r="A29" s="83" t="s">
        <v>73</v>
      </c>
      <c r="B29" s="84"/>
      <c r="C29" s="450">
        <f>F22</f>
        <v>0.56000000000000005</v>
      </c>
      <c r="D29" s="96">
        <v>8</v>
      </c>
      <c r="E29" s="448">
        <f>D29*C29</f>
        <v>4.4800000000000004</v>
      </c>
      <c r="F29" s="97">
        <f>'EQUIPOS '!D31</f>
        <v>1060</v>
      </c>
      <c r="G29" s="449">
        <f>F29*E29</f>
        <v>4748.8</v>
      </c>
      <c r="H29" s="72"/>
    </row>
    <row r="30" spans="1:11">
      <c r="A30" s="83" t="s">
        <v>18</v>
      </c>
      <c r="B30" s="84"/>
      <c r="C30" s="450">
        <f>F23</f>
        <v>0.84</v>
      </c>
      <c r="D30" s="68">
        <v>8</v>
      </c>
      <c r="E30" s="448">
        <f>D30*C30</f>
        <v>6.72</v>
      </c>
      <c r="F30" s="97">
        <f>'EQUIPOS '!D31</f>
        <v>1060</v>
      </c>
      <c r="G30" s="449">
        <f>F30*E30</f>
        <v>7123.2</v>
      </c>
      <c r="H30" s="72"/>
    </row>
    <row r="31" spans="1:11">
      <c r="A31" s="505"/>
      <c r="B31" s="506"/>
      <c r="C31" s="507"/>
      <c r="D31" s="73"/>
      <c r="E31" s="448"/>
      <c r="F31" s="509"/>
      <c r="G31" s="449"/>
      <c r="H31" s="72"/>
    </row>
    <row r="32" spans="1:11">
      <c r="A32" s="505"/>
      <c r="B32" s="506"/>
      <c r="C32" s="507"/>
      <c r="D32" s="73"/>
      <c r="E32" s="508"/>
      <c r="F32" s="509"/>
      <c r="G32" s="510"/>
      <c r="H32" s="72"/>
    </row>
    <row r="33" spans="1:8" ht="15.75" thickBot="1">
      <c r="A33" s="100"/>
      <c r="B33" s="101"/>
      <c r="C33" s="76"/>
      <c r="D33" s="77"/>
      <c r="E33" s="78"/>
      <c r="F33" s="79"/>
      <c r="G33" s="76"/>
      <c r="H33" s="72"/>
    </row>
    <row r="34" spans="1:8" ht="15.75" thickBot="1">
      <c r="A34" s="61"/>
      <c r="B34" s="61"/>
      <c r="C34" s="61"/>
      <c r="D34" s="61"/>
      <c r="E34" s="61"/>
      <c r="F34" s="61"/>
      <c r="G34" s="81" t="s">
        <v>491</v>
      </c>
      <c r="H34" s="82">
        <f>SUM(G29:G33)</f>
        <v>11872</v>
      </c>
    </row>
    <row r="35" spans="1:8" ht="15.75" thickBot="1">
      <c r="A35" s="92" t="s">
        <v>502</v>
      </c>
      <c r="B35" s="92"/>
      <c r="C35" s="61"/>
      <c r="D35" s="61"/>
      <c r="E35" s="61"/>
      <c r="F35" s="61"/>
      <c r="G35" s="61"/>
      <c r="H35" s="61"/>
    </row>
    <row r="36" spans="1:8">
      <c r="A36" s="1454" t="s">
        <v>503</v>
      </c>
      <c r="B36" s="1456"/>
      <c r="C36" s="694" t="s">
        <v>504</v>
      </c>
      <c r="D36" s="694" t="s">
        <v>505</v>
      </c>
      <c r="E36" s="124" t="s">
        <v>506</v>
      </c>
      <c r="F36" s="102" t="s">
        <v>488</v>
      </c>
      <c r="G36" s="693" t="s">
        <v>489</v>
      </c>
      <c r="H36" s="67"/>
    </row>
    <row r="37" spans="1:8">
      <c r="A37" s="83" t="s">
        <v>624</v>
      </c>
      <c r="B37" s="84"/>
      <c r="C37" s="103">
        <f>+SALARIOS!C50</f>
        <v>41660</v>
      </c>
      <c r="D37" s="104">
        <f>+SALARIOS!C48</f>
        <v>1.7846558312967005</v>
      </c>
      <c r="E37" s="69">
        <f>+C37*D37</f>
        <v>74348.76193182054</v>
      </c>
      <c r="F37" s="161">
        <v>3</v>
      </c>
      <c r="G37" s="105">
        <f>+E37/F37</f>
        <v>24782.920643940179</v>
      </c>
      <c r="H37" s="72"/>
    </row>
    <row r="38" spans="1:8">
      <c r="A38" s="83" t="s">
        <v>629</v>
      </c>
      <c r="B38" s="84"/>
      <c r="C38" s="103">
        <f>+SALARIOS!C49*4</f>
        <v>102288</v>
      </c>
      <c r="D38" s="104">
        <f>+SALARIOS!C48</f>
        <v>1.7846558312967005</v>
      </c>
      <c r="E38" s="69">
        <f>+C38*D38</f>
        <v>182548.87567167688</v>
      </c>
      <c r="F38" s="70">
        <v>1.8636608741993008</v>
      </c>
      <c r="G38" s="105">
        <f>+E38/F38</f>
        <v>97951.766975902618</v>
      </c>
      <c r="H38" s="72"/>
    </row>
    <row r="39" spans="1:8">
      <c r="A39" s="83"/>
      <c r="B39" s="84"/>
      <c r="C39" s="103"/>
      <c r="D39" s="104"/>
      <c r="E39" s="69"/>
      <c r="F39" s="69"/>
      <c r="G39" s="105"/>
      <c r="H39" s="72"/>
    </row>
    <row r="40" spans="1:8" ht="15.75" thickBot="1">
      <c r="A40" s="100"/>
      <c r="B40" s="106"/>
      <c r="C40" s="77"/>
      <c r="D40" s="91"/>
      <c r="E40" s="143"/>
      <c r="F40" s="91"/>
      <c r="G40" s="90"/>
      <c r="H40" s="80"/>
    </row>
    <row r="41" spans="1:8" ht="15.75" thickBot="1">
      <c r="A41" s="61"/>
      <c r="B41" s="61"/>
      <c r="C41" s="61"/>
      <c r="D41" s="61"/>
      <c r="E41" s="61"/>
      <c r="F41" s="61"/>
      <c r="G41" s="81" t="s">
        <v>491</v>
      </c>
      <c r="H41" s="82">
        <f>SUM(G37:G40)</f>
        <v>122734.68761984279</v>
      </c>
    </row>
    <row r="42" spans="1:8" ht="15.75" thickBot="1">
      <c r="A42" s="61"/>
      <c r="B42" s="61"/>
      <c r="C42" s="61"/>
      <c r="D42" s="61"/>
      <c r="E42" s="61"/>
      <c r="F42" s="61"/>
      <c r="G42" s="107"/>
      <c r="H42" s="58"/>
    </row>
    <row r="43" spans="1:8" ht="15.75" thickBot="1">
      <c r="A43" s="61"/>
      <c r="B43" s="61"/>
      <c r="C43" s="61"/>
      <c r="D43" s="61"/>
      <c r="E43" s="108" t="s">
        <v>508</v>
      </c>
      <c r="F43" s="109"/>
      <c r="G43" s="109"/>
      <c r="H43" s="82">
        <f>H18+H26+H34+H41</f>
        <v>502319.8638818271</v>
      </c>
    </row>
    <row r="44" spans="1:8" ht="15.75" thickBot="1">
      <c r="A44" s="63" t="s">
        <v>509</v>
      </c>
      <c r="B44" s="63"/>
      <c r="C44" s="61"/>
      <c r="D44" s="61"/>
      <c r="E44" s="61"/>
      <c r="F44" s="61"/>
      <c r="G44" s="61"/>
      <c r="H44" s="61"/>
    </row>
    <row r="45" spans="1:8">
      <c r="A45" s="110" t="s">
        <v>485</v>
      </c>
      <c r="B45" s="111"/>
      <c r="C45" s="111"/>
      <c r="D45" s="111"/>
      <c r="E45" s="112"/>
      <c r="F45" s="697" t="s">
        <v>510</v>
      </c>
      <c r="G45" s="696" t="s">
        <v>511</v>
      </c>
      <c r="H45" s="67"/>
    </row>
    <row r="46" spans="1:8">
      <c r="A46" s="83" t="s">
        <v>512</v>
      </c>
      <c r="B46" s="84"/>
      <c r="C46" s="84"/>
      <c r="D46" s="84"/>
      <c r="E46" s="85"/>
      <c r="F46" s="115">
        <f>(SALARIOS!C45)</f>
        <v>0.15</v>
      </c>
      <c r="G46" s="116">
        <f>++F46*H43</f>
        <v>75347.979582274056</v>
      </c>
      <c r="H46" s="117"/>
    </row>
    <row r="47" spans="1:8">
      <c r="A47" s="83" t="s">
        <v>513</v>
      </c>
      <c r="B47" s="84"/>
      <c r="C47" s="84"/>
      <c r="D47" s="84"/>
      <c r="E47" s="85"/>
      <c r="F47" s="115">
        <f>(SALARIOS!C46)</f>
        <v>0.05</v>
      </c>
      <c r="G47" s="116">
        <f>+F47*H43</f>
        <v>25115.993194091356</v>
      </c>
      <c r="H47" s="117"/>
    </row>
    <row r="48" spans="1:8" ht="15.75" thickBot="1">
      <c r="A48" s="89" t="s">
        <v>514</v>
      </c>
      <c r="B48" s="90"/>
      <c r="C48" s="90"/>
      <c r="D48" s="90"/>
      <c r="E48" s="91"/>
      <c r="F48" s="118">
        <f>SALARIOS!C47</f>
        <v>0.05</v>
      </c>
      <c r="G48" s="119">
        <f>+F48*H43</f>
        <v>25115.993194091356</v>
      </c>
      <c r="H48" s="80"/>
    </row>
    <row r="49" spans="1:8" ht="15.75" thickBot="1">
      <c r="A49" s="61"/>
      <c r="B49" s="61"/>
      <c r="C49" s="61"/>
      <c r="D49" s="61"/>
      <c r="E49" s="61"/>
      <c r="F49" s="61"/>
      <c r="G49" s="81" t="s">
        <v>491</v>
      </c>
      <c r="H49" s="120">
        <f>SUM(G46:G48)</f>
        <v>125579.96597045676</v>
      </c>
    </row>
    <row r="50" spans="1:8" ht="15.75" thickBot="1">
      <c r="A50" s="61"/>
      <c r="B50" s="61"/>
      <c r="C50" s="61"/>
      <c r="D50" s="61"/>
      <c r="E50" s="61"/>
      <c r="F50" s="61"/>
      <c r="G50" s="61"/>
      <c r="H50" s="61"/>
    </row>
    <row r="51" spans="1:8" ht="15.75" thickBot="1">
      <c r="A51" s="16"/>
      <c r="B51" s="16"/>
      <c r="C51" s="61"/>
      <c r="D51" s="108" t="s">
        <v>515</v>
      </c>
      <c r="E51" s="109"/>
      <c r="F51" s="109"/>
      <c r="G51" s="109"/>
      <c r="H51" s="82">
        <f>ROUND((H43+H49),0)</f>
        <v>627900</v>
      </c>
    </row>
  </sheetData>
  <mergeCells count="18">
    <mergeCell ref="A13:C13"/>
    <mergeCell ref="A3:C4"/>
    <mergeCell ref="A5:C5"/>
    <mergeCell ref="D5:H5"/>
    <mergeCell ref="A11:C11"/>
    <mergeCell ref="A12:C12"/>
    <mergeCell ref="A36:B36"/>
    <mergeCell ref="A14:C14"/>
    <mergeCell ref="A15:C15"/>
    <mergeCell ref="A16:C16"/>
    <mergeCell ref="A17:C17"/>
    <mergeCell ref="A20:C20"/>
    <mergeCell ref="A21:C21"/>
    <mergeCell ref="A22:C22"/>
    <mergeCell ref="A23:C23"/>
    <mergeCell ref="A24:C24"/>
    <mergeCell ref="A25:C25"/>
    <mergeCell ref="A28:B28"/>
  </mergeCells>
  <pageMargins left="0.7" right="0.7" top="0.75" bottom="0.75" header="0.3" footer="0.3"/>
  <pageSetup paperSize="9" scale="9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zoomScaleNormal="100" workbookViewId="0">
      <selection activeCell="D15" sqref="D15"/>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630</v>
      </c>
      <c r="H7" s="61"/>
    </row>
    <row r="8" spans="1:8">
      <c r="A8" s="60" t="s">
        <v>1783</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2" t="s">
        <v>486</v>
      </c>
      <c r="E11" s="65" t="s">
        <v>487</v>
      </c>
      <c r="F11" s="182" t="s">
        <v>488</v>
      </c>
      <c r="G11" s="181" t="s">
        <v>489</v>
      </c>
      <c r="H11" s="67"/>
    </row>
    <row r="12" spans="1:8">
      <c r="A12" s="1480" t="s">
        <v>1487</v>
      </c>
      <c r="B12" s="1481"/>
      <c r="C12" s="1482"/>
      <c r="D12" s="68"/>
      <c r="E12" s="86"/>
      <c r="F12" s="161"/>
      <c r="G12" s="71">
        <f>H39*10%</f>
        <v>12273.468761984281</v>
      </c>
      <c r="H12" s="72"/>
    </row>
    <row r="13" spans="1:8">
      <c r="A13" s="1463" t="s">
        <v>1326</v>
      </c>
      <c r="B13" s="1464"/>
      <c r="C13" s="1465"/>
      <c r="D13" s="68" t="s">
        <v>6</v>
      </c>
      <c r="E13" s="69">
        <f>'EQUIPOS '!D6</f>
        <v>5292.5</v>
      </c>
      <c r="F13" s="97">
        <v>1</v>
      </c>
      <c r="G13" s="71">
        <f>+E13*F13</f>
        <v>5292.5</v>
      </c>
      <c r="H13" s="72"/>
    </row>
    <row r="14" spans="1:8">
      <c r="A14" s="1483" t="s">
        <v>1330</v>
      </c>
      <c r="B14" s="1484"/>
      <c r="C14" s="1485"/>
      <c r="D14" s="73" t="s">
        <v>17</v>
      </c>
      <c r="E14" s="73">
        <f>'EQUIPOS '!D7</f>
        <v>42340</v>
      </c>
      <c r="F14" s="69">
        <v>0.1</v>
      </c>
      <c r="G14" s="434">
        <f>E14*F14</f>
        <v>4234</v>
      </c>
      <c r="H14" s="72"/>
    </row>
    <row r="15" spans="1:8">
      <c r="A15" s="175" t="s">
        <v>626</v>
      </c>
      <c r="B15" s="176"/>
      <c r="C15" s="174"/>
      <c r="D15" s="174" t="s">
        <v>1809</v>
      </c>
      <c r="E15" s="173">
        <f>MATERIALES!D33</f>
        <v>1392</v>
      </c>
      <c r="F15" s="97">
        <v>2</v>
      </c>
      <c r="G15" s="173">
        <f>E15*F15</f>
        <v>2784</v>
      </c>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SUM(G12:G16)</f>
        <v>24583.968761984281</v>
      </c>
    </row>
    <row r="18" spans="1:8" ht="15.75" thickBot="1">
      <c r="A18" s="63" t="s">
        <v>492</v>
      </c>
      <c r="B18" s="63"/>
      <c r="C18" s="61"/>
      <c r="D18" s="61"/>
      <c r="E18" s="61"/>
      <c r="F18" s="61"/>
      <c r="G18" s="61"/>
      <c r="H18" s="61"/>
    </row>
    <row r="19" spans="1:8">
      <c r="A19" s="1472" t="s">
        <v>485</v>
      </c>
      <c r="B19" s="1473"/>
      <c r="C19" s="1474"/>
      <c r="D19" s="184" t="s">
        <v>493</v>
      </c>
      <c r="E19" s="184" t="s">
        <v>494</v>
      </c>
      <c r="F19" s="184" t="s">
        <v>495</v>
      </c>
      <c r="G19" s="183" t="s">
        <v>489</v>
      </c>
      <c r="H19" s="67"/>
    </row>
    <row r="20" spans="1:8">
      <c r="A20" s="127" t="s">
        <v>201</v>
      </c>
      <c r="B20" s="84"/>
      <c r="C20" s="85"/>
      <c r="D20" s="68" t="s">
        <v>44</v>
      </c>
      <c r="E20" s="142">
        <f>MATERIALES!D24</f>
        <v>698.92899999999997</v>
      </c>
      <c r="F20" s="86">
        <v>350</v>
      </c>
      <c r="G20" s="88">
        <f>+E20*F20</f>
        <v>244625.15</v>
      </c>
      <c r="H20" s="72"/>
    </row>
    <row r="21" spans="1:8">
      <c r="A21" s="127" t="s">
        <v>73</v>
      </c>
      <c r="B21" s="84"/>
      <c r="C21" s="85"/>
      <c r="D21" s="141" t="s">
        <v>19</v>
      </c>
      <c r="E21" s="139">
        <f>MATERIALES!D15</f>
        <v>32400</v>
      </c>
      <c r="F21" s="137">
        <v>0.56000000000000005</v>
      </c>
      <c r="G21" s="88">
        <f>+E21*F21</f>
        <v>18144</v>
      </c>
      <c r="H21" s="72"/>
    </row>
    <row r="22" spans="1:8">
      <c r="A22" s="127" t="s">
        <v>18</v>
      </c>
      <c r="B22" s="84"/>
      <c r="C22" s="85"/>
      <c r="D22" s="141" t="s">
        <v>19</v>
      </c>
      <c r="E22" s="142">
        <f>MATERIALES!D62</f>
        <v>64800</v>
      </c>
      <c r="F22" s="69">
        <v>0.84</v>
      </c>
      <c r="G22" s="88">
        <f>+E22*F22</f>
        <v>54432</v>
      </c>
      <c r="H22" s="72"/>
    </row>
    <row r="23" spans="1:8">
      <c r="A23" s="129" t="s">
        <v>1323</v>
      </c>
      <c r="B23" s="129"/>
      <c r="C23" s="130"/>
      <c r="D23" s="68" t="s">
        <v>1329</v>
      </c>
      <c r="E23" s="142">
        <f>MATERIALES!D8</f>
        <v>68</v>
      </c>
      <c r="F23" s="86">
        <v>180</v>
      </c>
      <c r="G23" s="71">
        <f>+E23*F23</f>
        <v>12240</v>
      </c>
      <c r="H23" s="72"/>
    </row>
    <row r="24" spans="1:8">
      <c r="A24" s="128" t="s">
        <v>1325</v>
      </c>
      <c r="B24" s="129"/>
      <c r="C24" s="130"/>
      <c r="D24" s="68"/>
      <c r="E24" s="86"/>
      <c r="F24" s="70"/>
      <c r="G24" s="155">
        <f>SUM(G20:G23)*5%</f>
        <v>16472.057500000003</v>
      </c>
      <c r="H24" s="72"/>
    </row>
    <row r="25" spans="1:8" ht="15.75" thickBot="1">
      <c r="A25" s="89"/>
      <c r="B25" s="90"/>
      <c r="C25" s="91"/>
      <c r="D25" s="76"/>
      <c r="E25" s="77"/>
      <c r="F25" s="520"/>
      <c r="G25" s="79"/>
      <c r="H25" s="80"/>
    </row>
    <row r="26" spans="1:8" ht="15.75" thickBot="1">
      <c r="A26" s="61"/>
      <c r="B26" s="61"/>
      <c r="C26" s="61"/>
      <c r="D26" s="61"/>
      <c r="E26" s="61"/>
      <c r="F26" s="61"/>
      <c r="G26" s="81" t="s">
        <v>491</v>
      </c>
      <c r="H26" s="82">
        <f>SUM(G20:G25)</f>
        <v>345913.20750000002</v>
      </c>
    </row>
    <row r="27" spans="1:8" ht="15.75" thickBot="1">
      <c r="A27" s="92" t="s">
        <v>496</v>
      </c>
      <c r="B27" s="92"/>
      <c r="C27" s="90"/>
      <c r="D27" s="61"/>
      <c r="E27" s="61"/>
      <c r="F27" s="61"/>
      <c r="G27" s="61"/>
      <c r="H27" s="61"/>
    </row>
    <row r="28" spans="1:8">
      <c r="A28" s="1454" t="s">
        <v>497</v>
      </c>
      <c r="B28" s="1456"/>
      <c r="C28" s="93" t="s">
        <v>498</v>
      </c>
      <c r="D28" s="182" t="s">
        <v>499</v>
      </c>
      <c r="E28" s="182" t="s">
        <v>500</v>
      </c>
      <c r="F28" s="182" t="s">
        <v>501</v>
      </c>
      <c r="G28" s="94" t="s">
        <v>489</v>
      </c>
      <c r="H28" s="67"/>
    </row>
    <row r="29" spans="1:8">
      <c r="A29" s="83" t="s">
        <v>73</v>
      </c>
      <c r="B29" s="84"/>
      <c r="C29" s="450">
        <f>F21</f>
        <v>0.56000000000000005</v>
      </c>
      <c r="D29" s="96">
        <v>8</v>
      </c>
      <c r="E29" s="96">
        <f>D29*C29</f>
        <v>4.4800000000000004</v>
      </c>
      <c r="F29" s="97">
        <f>'EQUIPOS '!D31</f>
        <v>1060</v>
      </c>
      <c r="G29" s="69">
        <f>F29*E29</f>
        <v>4748.8</v>
      </c>
      <c r="H29" s="72"/>
    </row>
    <row r="30" spans="1:8">
      <c r="A30" s="83" t="s">
        <v>18</v>
      </c>
      <c r="B30" s="84"/>
      <c r="C30" s="97">
        <f>F22</f>
        <v>0.84</v>
      </c>
      <c r="D30" s="68">
        <v>8</v>
      </c>
      <c r="E30" s="96">
        <f>D30*C30</f>
        <v>6.72</v>
      </c>
      <c r="F30" s="97">
        <f>'EQUIPOS '!D31</f>
        <v>1060</v>
      </c>
      <c r="G30" s="69">
        <f>F30*E30</f>
        <v>7123.2</v>
      </c>
      <c r="H30" s="72"/>
    </row>
    <row r="31" spans="1:8" ht="15.75" thickBot="1">
      <c r="A31" s="100"/>
      <c r="B31" s="101"/>
      <c r="C31" s="76"/>
      <c r="D31" s="77"/>
      <c r="E31" s="78"/>
      <c r="F31" s="79"/>
      <c r="G31" s="76"/>
      <c r="H31" s="72"/>
    </row>
    <row r="32" spans="1:8" ht="15.75" thickBot="1">
      <c r="A32" s="61"/>
      <c r="B32" s="61"/>
      <c r="C32" s="61"/>
      <c r="D32" s="61"/>
      <c r="E32" s="61"/>
      <c r="F32" s="61"/>
      <c r="G32" s="81" t="s">
        <v>491</v>
      </c>
      <c r="H32" s="82">
        <f>SUM(G29:G31)</f>
        <v>11872</v>
      </c>
    </row>
    <row r="33" spans="1:8" ht="15.75" thickBot="1">
      <c r="A33" s="92" t="s">
        <v>502</v>
      </c>
      <c r="B33" s="92"/>
      <c r="C33" s="61"/>
      <c r="D33" s="61"/>
      <c r="E33" s="61"/>
      <c r="F33" s="61"/>
      <c r="G33" s="61"/>
      <c r="H33" s="61"/>
    </row>
    <row r="34" spans="1:8">
      <c r="A34" s="1454" t="s">
        <v>503</v>
      </c>
      <c r="B34" s="1456"/>
      <c r="C34" s="182" t="s">
        <v>504</v>
      </c>
      <c r="D34" s="182" t="s">
        <v>505</v>
      </c>
      <c r="E34" s="124" t="s">
        <v>506</v>
      </c>
      <c r="F34" s="102" t="s">
        <v>488</v>
      </c>
      <c r="G34" s="181" t="s">
        <v>489</v>
      </c>
      <c r="H34" s="67"/>
    </row>
    <row r="35" spans="1:8">
      <c r="A35" s="83" t="s">
        <v>624</v>
      </c>
      <c r="B35" s="84"/>
      <c r="C35" s="103">
        <f>+SALARIOS!C50</f>
        <v>41660</v>
      </c>
      <c r="D35" s="104">
        <f>+SALARIOS!C48</f>
        <v>1.7846558312967005</v>
      </c>
      <c r="E35" s="69">
        <f>+C35*D35</f>
        <v>74348.76193182054</v>
      </c>
      <c r="F35" s="161">
        <v>3</v>
      </c>
      <c r="G35" s="105">
        <f>+E35/F35</f>
        <v>24782.920643940179</v>
      </c>
      <c r="H35" s="72"/>
    </row>
    <row r="36" spans="1:8">
      <c r="A36" s="83" t="s">
        <v>629</v>
      </c>
      <c r="B36" s="84"/>
      <c r="C36" s="103">
        <f>+SALARIOS!C49*4</f>
        <v>102288</v>
      </c>
      <c r="D36" s="104">
        <f>+SALARIOS!C48</f>
        <v>1.7846558312967005</v>
      </c>
      <c r="E36" s="69">
        <f>+C36*D36</f>
        <v>182548.87567167688</v>
      </c>
      <c r="F36" s="70">
        <v>1.8636608741993008</v>
      </c>
      <c r="G36" s="105">
        <f>+E36/F36</f>
        <v>97951.766975902618</v>
      </c>
      <c r="H36" s="72"/>
    </row>
    <row r="37" spans="1:8">
      <c r="A37" s="83"/>
      <c r="B37" s="84"/>
      <c r="C37" s="103"/>
      <c r="D37" s="104"/>
      <c r="E37" s="69"/>
      <c r="F37" s="69"/>
      <c r="G37" s="105"/>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122734.68761984279</v>
      </c>
    </row>
    <row r="40" spans="1:8" ht="15.75" thickBot="1">
      <c r="A40" s="61"/>
      <c r="B40" s="61"/>
      <c r="C40" s="61"/>
      <c r="D40" s="61"/>
      <c r="E40" s="61"/>
      <c r="F40" s="61"/>
      <c r="G40" s="107"/>
      <c r="H40" s="58"/>
    </row>
    <row r="41" spans="1:8" ht="15.75" thickBot="1">
      <c r="A41" s="61"/>
      <c r="B41" s="61"/>
      <c r="C41" s="61"/>
      <c r="D41" s="61"/>
      <c r="E41" s="108" t="s">
        <v>508</v>
      </c>
      <c r="F41" s="109"/>
      <c r="G41" s="109"/>
      <c r="H41" s="82">
        <f>H17+H26+H32+H39</f>
        <v>505103.8638818271</v>
      </c>
    </row>
    <row r="42" spans="1:8" ht="15.75" thickBot="1">
      <c r="A42" s="63" t="s">
        <v>509</v>
      </c>
      <c r="B42" s="63"/>
      <c r="C42" s="61"/>
      <c r="D42" s="61"/>
      <c r="E42" s="61"/>
      <c r="F42" s="61"/>
      <c r="G42" s="61"/>
      <c r="H42" s="61"/>
    </row>
    <row r="43" spans="1:8">
      <c r="A43" s="110" t="s">
        <v>485</v>
      </c>
      <c r="B43" s="111"/>
      <c r="C43" s="111"/>
      <c r="D43" s="111"/>
      <c r="E43" s="112"/>
      <c r="F43" s="184" t="s">
        <v>510</v>
      </c>
      <c r="G43" s="183" t="s">
        <v>511</v>
      </c>
      <c r="H43" s="67"/>
    </row>
    <row r="44" spans="1:8">
      <c r="A44" s="83" t="s">
        <v>512</v>
      </c>
      <c r="B44" s="84"/>
      <c r="C44" s="84"/>
      <c r="D44" s="84"/>
      <c r="E44" s="85"/>
      <c r="F44" s="115">
        <f>(SALARIOS!C45)</f>
        <v>0.15</v>
      </c>
      <c r="G44" s="116">
        <f>++F44*H41</f>
        <v>75765.579582274062</v>
      </c>
      <c r="H44" s="117"/>
    </row>
    <row r="45" spans="1:8">
      <c r="A45" s="83" t="s">
        <v>513</v>
      </c>
      <c r="B45" s="84"/>
      <c r="C45" s="84"/>
      <c r="D45" s="84"/>
      <c r="E45" s="85"/>
      <c r="F45" s="115">
        <f>(SALARIOS!C46)</f>
        <v>0.05</v>
      </c>
      <c r="G45" s="116">
        <f>+F45*H41</f>
        <v>25255.193194091356</v>
      </c>
      <c r="H45" s="117"/>
    </row>
    <row r="46" spans="1:8" ht="15.75" thickBot="1">
      <c r="A46" s="89" t="s">
        <v>514</v>
      </c>
      <c r="B46" s="90"/>
      <c r="C46" s="90"/>
      <c r="D46" s="90"/>
      <c r="E46" s="91"/>
      <c r="F46" s="118">
        <f>SALARIOS!C47</f>
        <v>0.05</v>
      </c>
      <c r="G46" s="119">
        <f>+F46*H41</f>
        <v>25255.193194091356</v>
      </c>
      <c r="H46" s="80"/>
    </row>
    <row r="47" spans="1:8" ht="15.75" thickBot="1">
      <c r="A47" s="61"/>
      <c r="B47" s="61"/>
      <c r="C47" s="61"/>
      <c r="D47" s="61"/>
      <c r="E47" s="61"/>
      <c r="F47" s="61"/>
      <c r="G47" s="81" t="s">
        <v>491</v>
      </c>
      <c r="H47" s="120">
        <f>SUM(G44:G46)</f>
        <v>126275.96597045677</v>
      </c>
    </row>
    <row r="48" spans="1:8" ht="15.75" thickBot="1">
      <c r="A48" s="61"/>
      <c r="B48" s="61"/>
      <c r="C48" s="61"/>
      <c r="D48" s="61"/>
      <c r="E48" s="61"/>
      <c r="F48" s="61"/>
      <c r="G48" s="61"/>
      <c r="H48" s="61"/>
    </row>
    <row r="49" spans="1:8" ht="15.75" thickBot="1">
      <c r="A49" s="16"/>
      <c r="B49" s="16"/>
      <c r="C49" s="61"/>
      <c r="D49" s="108" t="s">
        <v>515</v>
      </c>
      <c r="E49" s="109"/>
      <c r="F49" s="109"/>
      <c r="G49" s="109"/>
      <c r="H49" s="82">
        <f>ROUND((H41+H47),0)</f>
        <v>631380</v>
      </c>
    </row>
  </sheetData>
  <mergeCells count="11">
    <mergeCell ref="A34:B34"/>
    <mergeCell ref="A3:C4"/>
    <mergeCell ref="A5:C5"/>
    <mergeCell ref="D5:H5"/>
    <mergeCell ref="A11:C11"/>
    <mergeCell ref="A12:C12"/>
    <mergeCell ref="A16:C16"/>
    <mergeCell ref="A19:C19"/>
    <mergeCell ref="A28:B28"/>
    <mergeCell ref="A13:C13"/>
    <mergeCell ref="A14:C14"/>
  </mergeCells>
  <pageMargins left="0.7" right="0.7" top="0.75" bottom="0.75" header="0.3" footer="0.3"/>
  <pageSetup paperSize="9" scale="9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1"/>
  <sheetViews>
    <sheetView topLeftCell="A31" workbookViewId="0">
      <selection activeCell="H43" sqref="H43"/>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631</v>
      </c>
      <c r="H7" s="61"/>
    </row>
    <row r="8" spans="1:8">
      <c r="A8" s="60" t="s">
        <v>1784</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2" t="s">
        <v>486</v>
      </c>
      <c r="E11" s="65" t="s">
        <v>487</v>
      </c>
      <c r="F11" s="182" t="s">
        <v>488</v>
      </c>
      <c r="G11" s="181" t="s">
        <v>489</v>
      </c>
      <c r="H11" s="67"/>
    </row>
    <row r="12" spans="1:8">
      <c r="A12" s="1480" t="s">
        <v>1327</v>
      </c>
      <c r="B12" s="1481"/>
      <c r="C12" s="1482"/>
      <c r="D12" s="68"/>
      <c r="E12" s="86"/>
      <c r="F12" s="161"/>
      <c r="G12" s="71">
        <f>H41*10%</f>
        <v>12802.976148444541</v>
      </c>
      <c r="H12" s="72"/>
    </row>
    <row r="13" spans="1:8">
      <c r="A13" s="1463" t="s">
        <v>1326</v>
      </c>
      <c r="B13" s="1464"/>
      <c r="C13" s="1465"/>
      <c r="D13" s="68" t="s">
        <v>6</v>
      </c>
      <c r="E13" s="86">
        <f>'EQUIPOS '!D6</f>
        <v>5292.5</v>
      </c>
      <c r="F13" s="97">
        <v>1</v>
      </c>
      <c r="G13" s="71">
        <f>+E13*F13</f>
        <v>5292.5</v>
      </c>
      <c r="H13" s="72"/>
    </row>
    <row r="14" spans="1:8">
      <c r="A14" s="1483" t="s">
        <v>1330</v>
      </c>
      <c r="B14" s="1484"/>
      <c r="C14" s="1485"/>
      <c r="D14" s="73" t="s">
        <v>17</v>
      </c>
      <c r="E14" s="769">
        <f>'EQUIPOS '!D7</f>
        <v>42340</v>
      </c>
      <c r="F14" s="97">
        <v>0.1</v>
      </c>
      <c r="G14" s="434">
        <f>E14*F14</f>
        <v>4234</v>
      </c>
      <c r="H14" s="72"/>
    </row>
    <row r="15" spans="1:8">
      <c r="A15" s="176" t="s">
        <v>1833</v>
      </c>
      <c r="B15" s="176"/>
      <c r="C15" s="174"/>
      <c r="D15" s="141" t="s">
        <v>1809</v>
      </c>
      <c r="E15" s="769">
        <f>MATERIALES!D56</f>
        <v>4166.666666666667</v>
      </c>
      <c r="F15" s="97">
        <v>2.64</v>
      </c>
      <c r="G15" s="173">
        <f>E15*F15</f>
        <v>11000.000000000002</v>
      </c>
      <c r="H15" s="72"/>
    </row>
    <row r="16" spans="1:8">
      <c r="A16" s="176" t="s">
        <v>1834</v>
      </c>
      <c r="B16" s="176"/>
      <c r="C16" s="174"/>
      <c r="D16" s="141" t="s">
        <v>1809</v>
      </c>
      <c r="E16" s="769">
        <f>MATERIALES!D74</f>
        <v>1300</v>
      </c>
      <c r="F16" s="97">
        <v>7.26</v>
      </c>
      <c r="G16" s="173">
        <f>E16*F16</f>
        <v>9438</v>
      </c>
      <c r="H16" s="72"/>
    </row>
    <row r="17" spans="1:8">
      <c r="A17" s="176" t="s">
        <v>1835</v>
      </c>
      <c r="B17" s="176"/>
      <c r="C17" s="174"/>
      <c r="D17" s="141" t="s">
        <v>234</v>
      </c>
      <c r="E17" s="769">
        <f>MATERIALES!D64</f>
        <v>1575</v>
      </c>
      <c r="F17" s="97">
        <v>5</v>
      </c>
      <c r="G17" s="173">
        <f>E17*F17</f>
        <v>7875</v>
      </c>
      <c r="H17" s="72"/>
    </row>
    <row r="18" spans="1:8" ht="15.75" thickBot="1">
      <c r="A18" s="1466"/>
      <c r="B18" s="1467"/>
      <c r="C18" s="1468"/>
      <c r="D18" s="76"/>
      <c r="E18" s="77"/>
      <c r="F18" s="78"/>
      <c r="G18" s="79"/>
      <c r="H18" s="80"/>
    </row>
    <row r="19" spans="1:8" ht="15.75" thickBot="1">
      <c r="A19" s="61"/>
      <c r="B19" s="61"/>
      <c r="C19" s="61"/>
      <c r="D19" s="61"/>
      <c r="E19" s="61"/>
      <c r="F19" s="61"/>
      <c r="G19" s="81" t="s">
        <v>491</v>
      </c>
      <c r="H19" s="82">
        <f>SUM(G12:G18)</f>
        <v>50642.476148444541</v>
      </c>
    </row>
    <row r="20" spans="1:8" ht="15.75" thickBot="1">
      <c r="A20" s="63" t="s">
        <v>492</v>
      </c>
      <c r="B20" s="63"/>
      <c r="C20" s="61"/>
      <c r="D20" s="61"/>
      <c r="E20" s="61"/>
      <c r="F20" s="61"/>
      <c r="G20" s="61"/>
      <c r="H20" s="61"/>
    </row>
    <row r="21" spans="1:8">
      <c r="A21" s="1495" t="s">
        <v>485</v>
      </c>
      <c r="B21" s="1496"/>
      <c r="C21" s="1497"/>
      <c r="D21" s="184" t="s">
        <v>493</v>
      </c>
      <c r="E21" s="184" t="s">
        <v>494</v>
      </c>
      <c r="F21" s="184" t="s">
        <v>495</v>
      </c>
      <c r="G21" s="183" t="s">
        <v>489</v>
      </c>
      <c r="H21" s="67"/>
    </row>
    <row r="22" spans="1:8">
      <c r="A22" s="127" t="s">
        <v>201</v>
      </c>
      <c r="B22" s="84"/>
      <c r="C22" s="85"/>
      <c r="D22" s="68" t="s">
        <v>44</v>
      </c>
      <c r="E22" s="142">
        <f>MATERIALES!D24</f>
        <v>698.92899999999997</v>
      </c>
      <c r="F22" s="86">
        <v>350</v>
      </c>
      <c r="G22" s="88">
        <f>+E22*F22</f>
        <v>244625.15</v>
      </c>
      <c r="H22" s="72"/>
    </row>
    <row r="23" spans="1:8">
      <c r="A23" s="127" t="s">
        <v>73</v>
      </c>
      <c r="B23" s="84"/>
      <c r="C23" s="85"/>
      <c r="D23" s="141" t="s">
        <v>19</v>
      </c>
      <c r="E23" s="139">
        <f>MATERIALES!D15</f>
        <v>32400</v>
      </c>
      <c r="F23" s="137">
        <v>0.56000000000000005</v>
      </c>
      <c r="G23" s="88">
        <f>+E23*F23</f>
        <v>18144</v>
      </c>
      <c r="H23" s="72"/>
    </row>
    <row r="24" spans="1:8">
      <c r="A24" s="127" t="s">
        <v>18</v>
      </c>
      <c r="B24" s="84"/>
      <c r="C24" s="85"/>
      <c r="D24" s="141" t="s">
        <v>19</v>
      </c>
      <c r="E24" s="142">
        <f>MATERIALES!D62</f>
        <v>64800</v>
      </c>
      <c r="F24" s="69">
        <v>0.84</v>
      </c>
      <c r="G24" s="88">
        <f>+E24*F24</f>
        <v>54432</v>
      </c>
      <c r="H24" s="72"/>
    </row>
    <row r="25" spans="1:8">
      <c r="A25" s="129" t="s">
        <v>1323</v>
      </c>
      <c r="B25" s="129"/>
      <c r="C25" s="130"/>
      <c r="D25" s="68" t="s">
        <v>1329</v>
      </c>
      <c r="E25" s="142">
        <f>MATERIALES!D8</f>
        <v>68</v>
      </c>
      <c r="F25" s="86">
        <v>180</v>
      </c>
      <c r="G25" s="71">
        <f>+E25*F25</f>
        <v>12240</v>
      </c>
      <c r="H25" s="72"/>
    </row>
    <row r="26" spans="1:8">
      <c r="A26" s="128" t="s">
        <v>1325</v>
      </c>
      <c r="B26" s="129"/>
      <c r="C26" s="130"/>
      <c r="D26" s="68"/>
      <c r="E26" s="86"/>
      <c r="F26" s="70"/>
      <c r="G26" s="155">
        <f>SUM(G22:G25)*5%</f>
        <v>16472.057500000003</v>
      </c>
      <c r="H26" s="72"/>
    </row>
    <row r="27" spans="1:8" ht="15.75" thickBot="1">
      <c r="A27" s="89"/>
      <c r="B27" s="90"/>
      <c r="C27" s="91"/>
      <c r="D27" s="76"/>
      <c r="E27" s="77"/>
      <c r="F27" s="78"/>
      <c r="G27" s="79"/>
      <c r="H27" s="80"/>
    </row>
    <row r="28" spans="1:8" ht="15.75" thickBot="1">
      <c r="A28" s="61"/>
      <c r="B28" s="61"/>
      <c r="C28" s="61"/>
      <c r="D28" s="61"/>
      <c r="E28" s="61"/>
      <c r="F28" s="61"/>
      <c r="G28" s="81" t="s">
        <v>491</v>
      </c>
      <c r="H28" s="82">
        <f>SUM(G22:G27)</f>
        <v>345913.20750000002</v>
      </c>
    </row>
    <row r="29" spans="1:8" ht="15.75" thickBot="1">
      <c r="A29" s="92" t="s">
        <v>496</v>
      </c>
      <c r="B29" s="92"/>
      <c r="C29" s="90"/>
      <c r="D29" s="61"/>
      <c r="E29" s="61"/>
      <c r="F29" s="61"/>
      <c r="G29" s="61"/>
      <c r="H29" s="61"/>
    </row>
    <row r="30" spans="1:8">
      <c r="A30" s="1454" t="s">
        <v>497</v>
      </c>
      <c r="B30" s="1456"/>
      <c r="C30" s="93" t="s">
        <v>498</v>
      </c>
      <c r="D30" s="182" t="s">
        <v>499</v>
      </c>
      <c r="E30" s="182" t="s">
        <v>500</v>
      </c>
      <c r="F30" s="182" t="s">
        <v>501</v>
      </c>
      <c r="G30" s="94" t="s">
        <v>489</v>
      </c>
      <c r="H30" s="67"/>
    </row>
    <row r="31" spans="1:8">
      <c r="A31" s="83" t="s">
        <v>73</v>
      </c>
      <c r="B31" s="84"/>
      <c r="C31" s="450">
        <f>F23</f>
        <v>0.56000000000000005</v>
      </c>
      <c r="D31" s="96">
        <v>8</v>
      </c>
      <c r="E31" s="96">
        <f>D31*C31</f>
        <v>4.4800000000000004</v>
      </c>
      <c r="F31" s="97">
        <f>'EQUIPOS '!D31</f>
        <v>1060</v>
      </c>
      <c r="G31" s="69">
        <f>F31*E31</f>
        <v>4748.8</v>
      </c>
      <c r="H31" s="72"/>
    </row>
    <row r="32" spans="1:8">
      <c r="A32" s="83" t="s">
        <v>18</v>
      </c>
      <c r="B32" s="84"/>
      <c r="C32" s="97">
        <f>F24</f>
        <v>0.84</v>
      </c>
      <c r="D32" s="68">
        <v>8</v>
      </c>
      <c r="E32" s="96">
        <f>D32*C32</f>
        <v>6.72</v>
      </c>
      <c r="F32" s="97">
        <f>'EQUIPOS '!D31</f>
        <v>1060</v>
      </c>
      <c r="G32" s="69">
        <f>F32*E32</f>
        <v>7123.2</v>
      </c>
      <c r="H32" s="72"/>
    </row>
    <row r="33" spans="1:8" ht="15.75" thickBot="1">
      <c r="A33" s="100"/>
      <c r="B33" s="101"/>
      <c r="C33" s="76"/>
      <c r="D33" s="77"/>
      <c r="E33" s="78"/>
      <c r="F33" s="79"/>
      <c r="G33" s="76"/>
      <c r="H33" s="72"/>
    </row>
    <row r="34" spans="1:8" ht="15.75" thickBot="1">
      <c r="A34" s="61"/>
      <c r="B34" s="61"/>
      <c r="C34" s="61"/>
      <c r="D34" s="61"/>
      <c r="E34" s="61"/>
      <c r="F34" s="61"/>
      <c r="G34" s="81" t="s">
        <v>491</v>
      </c>
      <c r="H34" s="82">
        <f>SUM(G31:G33)</f>
        <v>11872</v>
      </c>
    </row>
    <row r="35" spans="1:8" ht="15.75" thickBot="1">
      <c r="A35" s="92" t="s">
        <v>502</v>
      </c>
      <c r="B35" s="92"/>
      <c r="C35" s="61"/>
      <c r="D35" s="61"/>
      <c r="E35" s="61"/>
      <c r="F35" s="61"/>
      <c r="G35" s="61"/>
      <c r="H35" s="61"/>
    </row>
    <row r="36" spans="1:8">
      <c r="A36" s="1454" t="s">
        <v>503</v>
      </c>
      <c r="B36" s="1456"/>
      <c r="C36" s="182" t="s">
        <v>504</v>
      </c>
      <c r="D36" s="182" t="s">
        <v>505</v>
      </c>
      <c r="E36" s="124" t="s">
        <v>506</v>
      </c>
      <c r="F36" s="102" t="s">
        <v>488</v>
      </c>
      <c r="G36" s="181" t="s">
        <v>489</v>
      </c>
      <c r="H36" s="67"/>
    </row>
    <row r="37" spans="1:8">
      <c r="A37" s="83" t="s">
        <v>624</v>
      </c>
      <c r="B37" s="84"/>
      <c r="C37" s="103">
        <f>+SALARIOS!C50</f>
        <v>41660</v>
      </c>
      <c r="D37" s="104">
        <f>+SALARIOS!C48</f>
        <v>1.7846558312967005</v>
      </c>
      <c r="E37" s="69">
        <f>+C37*D37</f>
        <v>74348.76193182054</v>
      </c>
      <c r="F37" s="69">
        <v>3</v>
      </c>
      <c r="G37" s="105">
        <f>+E37/F37</f>
        <v>24782.920643940179</v>
      </c>
      <c r="H37" s="72"/>
    </row>
    <row r="38" spans="1:8">
      <c r="A38" s="83" t="s">
        <v>629</v>
      </c>
      <c r="B38" s="84"/>
      <c r="C38" s="103">
        <f>+SALARIOS!C49*4</f>
        <v>102288</v>
      </c>
      <c r="D38" s="104">
        <f>+SALARIOS!C48</f>
        <v>1.7846558312967005</v>
      </c>
      <c r="E38" s="69">
        <f>+C38*D38</f>
        <v>182548.87567167688</v>
      </c>
      <c r="F38" s="69">
        <v>2.6430423558826428</v>
      </c>
      <c r="G38" s="105">
        <f>+E38/F38</f>
        <v>69067.707244787904</v>
      </c>
      <c r="H38" s="72"/>
    </row>
    <row r="39" spans="1:8">
      <c r="A39" s="83" t="s">
        <v>633</v>
      </c>
      <c r="B39" s="84"/>
      <c r="C39" s="103">
        <f>+SALARIOS!C51</f>
        <v>57455</v>
      </c>
      <c r="D39" s="104">
        <f>+SALARIOS!C48</f>
        <v>1.7846558312967005</v>
      </c>
      <c r="E39" s="69">
        <f>+C39*D39</f>
        <v>102537.40078715193</v>
      </c>
      <c r="F39" s="69">
        <v>3</v>
      </c>
      <c r="G39" s="105">
        <f>+E39/F39</f>
        <v>34179.133595717307</v>
      </c>
      <c r="H39" s="72"/>
    </row>
    <row r="40" spans="1:8" ht="15.75" thickBot="1">
      <c r="A40" s="100"/>
      <c r="B40" s="106"/>
      <c r="C40" s="77"/>
      <c r="D40" s="91"/>
      <c r="E40" s="143"/>
      <c r="F40" s="91"/>
      <c r="G40" s="90"/>
      <c r="H40" s="80"/>
    </row>
    <row r="41" spans="1:8" ht="15.75" thickBot="1">
      <c r="A41" s="61"/>
      <c r="B41" s="61"/>
      <c r="C41" s="61"/>
      <c r="D41" s="61"/>
      <c r="E41" s="61"/>
      <c r="F41" s="61"/>
      <c r="G41" s="81" t="s">
        <v>491</v>
      </c>
      <c r="H41" s="82">
        <f>SUM(G37:G40)</f>
        <v>128029.76148444539</v>
      </c>
    </row>
    <row r="42" spans="1:8" ht="15.75" thickBot="1">
      <c r="A42" s="61"/>
      <c r="B42" s="61"/>
      <c r="C42" s="61"/>
      <c r="D42" s="61"/>
      <c r="E42" s="61"/>
      <c r="F42" s="61"/>
      <c r="G42" s="107"/>
      <c r="H42" s="58"/>
    </row>
    <row r="43" spans="1:8" ht="15.75" thickBot="1">
      <c r="A43" s="61"/>
      <c r="B43" s="61"/>
      <c r="C43" s="61"/>
      <c r="D43" s="61"/>
      <c r="E43" s="108" t="s">
        <v>508</v>
      </c>
      <c r="F43" s="109"/>
      <c r="G43" s="109"/>
      <c r="H43" s="82">
        <f>H19+H28+H34+H41</f>
        <v>536457.4451328899</v>
      </c>
    </row>
    <row r="44" spans="1:8" ht="15.75" thickBot="1">
      <c r="A44" s="63" t="s">
        <v>509</v>
      </c>
      <c r="B44" s="63"/>
      <c r="C44" s="61"/>
      <c r="D44" s="61"/>
      <c r="E44" s="61"/>
      <c r="F44" s="61"/>
      <c r="G44" s="61"/>
      <c r="H44" s="61"/>
    </row>
    <row r="45" spans="1:8">
      <c r="A45" s="110" t="s">
        <v>485</v>
      </c>
      <c r="B45" s="111"/>
      <c r="C45" s="111"/>
      <c r="D45" s="111"/>
      <c r="E45" s="112"/>
      <c r="F45" s="184" t="s">
        <v>510</v>
      </c>
      <c r="G45" s="183" t="s">
        <v>511</v>
      </c>
      <c r="H45" s="67"/>
    </row>
    <row r="46" spans="1:8">
      <c r="A46" s="83" t="s">
        <v>512</v>
      </c>
      <c r="B46" s="84"/>
      <c r="C46" s="84"/>
      <c r="D46" s="84"/>
      <c r="E46" s="85"/>
      <c r="F46" s="115">
        <f>(SALARIOS!C45)</f>
        <v>0.15</v>
      </c>
      <c r="G46" s="116">
        <f>++F46*H43</f>
        <v>80468.616769933476</v>
      </c>
      <c r="H46" s="117"/>
    </row>
    <row r="47" spans="1:8">
      <c r="A47" s="83" t="s">
        <v>513</v>
      </c>
      <c r="B47" s="84"/>
      <c r="C47" s="84"/>
      <c r="D47" s="84"/>
      <c r="E47" s="85"/>
      <c r="F47" s="115">
        <f>(SALARIOS!C46)</f>
        <v>0.05</v>
      </c>
      <c r="G47" s="116">
        <f>+F47*H43</f>
        <v>26822.872256644496</v>
      </c>
      <c r="H47" s="117"/>
    </row>
    <row r="48" spans="1:8" ht="15.75" thickBot="1">
      <c r="A48" s="89" t="s">
        <v>514</v>
      </c>
      <c r="B48" s="90"/>
      <c r="C48" s="90"/>
      <c r="D48" s="90"/>
      <c r="E48" s="91"/>
      <c r="F48" s="118">
        <f>SALARIOS!C47</f>
        <v>0.05</v>
      </c>
      <c r="G48" s="119">
        <f>+F48*H43</f>
        <v>26822.872256644496</v>
      </c>
      <c r="H48" s="80"/>
    </row>
    <row r="49" spans="1:8" ht="15.75" thickBot="1">
      <c r="A49" s="61"/>
      <c r="B49" s="61"/>
      <c r="C49" s="61"/>
      <c r="D49" s="61"/>
      <c r="E49" s="61"/>
      <c r="F49" s="61"/>
      <c r="G49" s="81" t="s">
        <v>491</v>
      </c>
      <c r="H49" s="120">
        <f>SUM(G46:G48)</f>
        <v>134114.36128322248</v>
      </c>
    </row>
    <row r="50" spans="1:8" ht="15.75" thickBot="1">
      <c r="A50" s="61"/>
      <c r="B50" s="61"/>
      <c r="C50" s="61"/>
      <c r="D50" s="61"/>
      <c r="E50" s="61"/>
      <c r="F50" s="61"/>
      <c r="G50" s="61"/>
      <c r="H50" s="61"/>
    </row>
    <row r="51" spans="1:8" ht="15.75" thickBot="1">
      <c r="A51" s="16"/>
      <c r="B51" s="16"/>
      <c r="C51" s="61"/>
      <c r="D51" s="108" t="s">
        <v>515</v>
      </c>
      <c r="E51" s="109"/>
      <c r="F51" s="109"/>
      <c r="G51" s="109"/>
      <c r="H51" s="82">
        <f>ROUND((H43+H49),0)</f>
        <v>670572</v>
      </c>
    </row>
  </sheetData>
  <mergeCells count="11">
    <mergeCell ref="A36:B36"/>
    <mergeCell ref="A3:C4"/>
    <mergeCell ref="A5:C5"/>
    <mergeCell ref="D5:H5"/>
    <mergeCell ref="A11:C11"/>
    <mergeCell ref="A12:C12"/>
    <mergeCell ref="A18:C18"/>
    <mergeCell ref="A21:C21"/>
    <mergeCell ref="A30:B30"/>
    <mergeCell ref="A13:C13"/>
    <mergeCell ref="A14:C1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1"/>
  <sheetViews>
    <sheetView workbookViewId="0">
      <selection activeCell="D16" sqref="D16"/>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632</v>
      </c>
      <c r="H7" s="61"/>
    </row>
    <row r="8" spans="1:8">
      <c r="A8" s="60" t="s">
        <v>1785</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2" t="s">
        <v>486</v>
      </c>
      <c r="E11" s="65" t="s">
        <v>487</v>
      </c>
      <c r="F11" s="182" t="s">
        <v>488</v>
      </c>
      <c r="G11" s="181" t="s">
        <v>489</v>
      </c>
      <c r="H11" s="67"/>
    </row>
    <row r="12" spans="1:8">
      <c r="A12" s="1480" t="s">
        <v>1327</v>
      </c>
      <c r="B12" s="1481"/>
      <c r="C12" s="1482"/>
      <c r="D12" s="68"/>
      <c r="E12" s="86"/>
      <c r="F12" s="161"/>
      <c r="G12" s="71">
        <f>H41*10%</f>
        <v>12273.468761984281</v>
      </c>
      <c r="H12" s="72"/>
    </row>
    <row r="13" spans="1:8">
      <c r="A13" s="1463" t="s">
        <v>1326</v>
      </c>
      <c r="B13" s="1464"/>
      <c r="C13" s="1465"/>
      <c r="D13" s="68" t="s">
        <v>6</v>
      </c>
      <c r="E13" s="69">
        <f>'EQUIPOS '!D6</f>
        <v>5292.5</v>
      </c>
      <c r="F13" s="97">
        <v>1</v>
      </c>
      <c r="G13" s="71">
        <f>+E13*F13</f>
        <v>5292.5</v>
      </c>
      <c r="H13" s="72"/>
    </row>
    <row r="14" spans="1:8">
      <c r="A14" s="1483" t="s">
        <v>1330</v>
      </c>
      <c r="B14" s="1484"/>
      <c r="C14" s="1485"/>
      <c r="D14" s="73" t="s">
        <v>17</v>
      </c>
      <c r="E14" s="769">
        <f>'EQUIPOS '!D7</f>
        <v>42340</v>
      </c>
      <c r="F14" s="97">
        <v>0.1</v>
      </c>
      <c r="G14" s="434">
        <f>E14*F14</f>
        <v>4234</v>
      </c>
      <c r="H14" s="72"/>
    </row>
    <row r="15" spans="1:8">
      <c r="A15" s="175" t="s">
        <v>626</v>
      </c>
      <c r="B15" s="176"/>
      <c r="C15" s="174"/>
      <c r="D15" s="174" t="s">
        <v>1809</v>
      </c>
      <c r="E15" s="173">
        <f>MATERIALES!D33</f>
        <v>1392</v>
      </c>
      <c r="F15" s="97">
        <v>2</v>
      </c>
      <c r="G15" s="173">
        <f>E15*F15</f>
        <v>2784</v>
      </c>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24583.968761984281</v>
      </c>
    </row>
    <row r="19" spans="1:8" ht="15.75" thickBot="1">
      <c r="A19" s="63" t="s">
        <v>492</v>
      </c>
      <c r="B19" s="63"/>
      <c r="C19" s="61"/>
      <c r="D19" s="61"/>
      <c r="E19" s="61"/>
      <c r="F19" s="61"/>
      <c r="G19" s="61"/>
      <c r="H19" s="61"/>
    </row>
    <row r="20" spans="1:8">
      <c r="A20" s="1472" t="s">
        <v>485</v>
      </c>
      <c r="B20" s="1473"/>
      <c r="C20" s="1474"/>
      <c r="D20" s="184" t="s">
        <v>493</v>
      </c>
      <c r="E20" s="184" t="s">
        <v>494</v>
      </c>
      <c r="F20" s="184" t="s">
        <v>495</v>
      </c>
      <c r="G20" s="183" t="s">
        <v>489</v>
      </c>
      <c r="H20" s="67"/>
    </row>
    <row r="21" spans="1:8">
      <c r="A21" s="127" t="s">
        <v>201</v>
      </c>
      <c r="B21" s="84"/>
      <c r="C21" s="85"/>
      <c r="D21" s="68" t="s">
        <v>44</v>
      </c>
      <c r="E21" s="679">
        <f>MATERIALES!D24</f>
        <v>698.92899999999997</v>
      </c>
      <c r="F21" s="86">
        <v>350</v>
      </c>
      <c r="G21" s="88">
        <f>+E21*F21</f>
        <v>244625.15</v>
      </c>
      <c r="H21" s="72"/>
    </row>
    <row r="22" spans="1:8">
      <c r="A22" s="127" t="s">
        <v>73</v>
      </c>
      <c r="B22" s="84"/>
      <c r="C22" s="85"/>
      <c r="D22" s="141" t="s">
        <v>19</v>
      </c>
      <c r="E22" s="139">
        <f>MATERIALES!D15</f>
        <v>32400</v>
      </c>
      <c r="F22" s="137">
        <v>0.56000000000000005</v>
      </c>
      <c r="G22" s="88">
        <f>+E22*F22</f>
        <v>18144</v>
      </c>
      <c r="H22" s="72"/>
    </row>
    <row r="23" spans="1:8">
      <c r="A23" s="127" t="s">
        <v>18</v>
      </c>
      <c r="B23" s="84"/>
      <c r="C23" s="85"/>
      <c r="D23" s="141" t="s">
        <v>19</v>
      </c>
      <c r="E23" s="142">
        <f>MATERIALES!D62</f>
        <v>64800</v>
      </c>
      <c r="F23" s="69">
        <v>0.84</v>
      </c>
      <c r="G23" s="88">
        <f>+E23*F23</f>
        <v>54432</v>
      </c>
      <c r="H23" s="72"/>
    </row>
    <row r="24" spans="1:8">
      <c r="A24" s="129" t="s">
        <v>1323</v>
      </c>
      <c r="B24" s="129"/>
      <c r="C24" s="130"/>
      <c r="D24" s="68" t="s">
        <v>1329</v>
      </c>
      <c r="E24" s="142">
        <f>MATERIALES!D8</f>
        <v>68</v>
      </c>
      <c r="F24" s="69">
        <v>180</v>
      </c>
      <c r="G24" s="71">
        <f>+E24*F24</f>
        <v>12240</v>
      </c>
      <c r="H24" s="72"/>
    </row>
    <row r="25" spans="1:8">
      <c r="A25" s="127" t="s">
        <v>219</v>
      </c>
      <c r="B25" s="84"/>
      <c r="C25" s="85"/>
      <c r="D25" s="68" t="s">
        <v>44</v>
      </c>
      <c r="E25" s="142">
        <f>+MATERIALES!D40</f>
        <v>8270</v>
      </c>
      <c r="F25" s="161">
        <v>1.9</v>
      </c>
      <c r="G25" s="71">
        <f>+E25*F25</f>
        <v>15713</v>
      </c>
      <c r="H25" s="72"/>
    </row>
    <row r="26" spans="1:8">
      <c r="A26" s="128" t="s">
        <v>1325</v>
      </c>
      <c r="B26" s="129"/>
      <c r="C26" s="130"/>
      <c r="D26" s="131"/>
      <c r="E26" s="132"/>
      <c r="F26" s="133"/>
      <c r="G26" s="155">
        <f>SUM(G21:G25)*5%</f>
        <v>17257.7075</v>
      </c>
      <c r="H26" s="72"/>
    </row>
    <row r="27" spans="1:8" ht="15.75" thickBot="1">
      <c r="A27" s="89"/>
      <c r="B27" s="90"/>
      <c r="C27" s="91"/>
      <c r="D27" s="76"/>
      <c r="E27" s="77"/>
      <c r="F27" s="78"/>
      <c r="G27" s="79"/>
      <c r="H27" s="80"/>
    </row>
    <row r="28" spans="1:8" ht="15.75" thickBot="1">
      <c r="A28" s="61"/>
      <c r="B28" s="61"/>
      <c r="C28" s="61"/>
      <c r="D28" s="61"/>
      <c r="E28" s="61"/>
      <c r="F28" s="61"/>
      <c r="G28" s="81" t="s">
        <v>491</v>
      </c>
      <c r="H28" s="82">
        <f>SUM(G21:G27)</f>
        <v>362411.85750000004</v>
      </c>
    </row>
    <row r="29" spans="1:8" ht="15.75" thickBot="1">
      <c r="A29" s="92" t="s">
        <v>496</v>
      </c>
      <c r="B29" s="92"/>
      <c r="C29" s="90"/>
      <c r="D29" s="61"/>
      <c r="E29" s="61"/>
      <c r="F29" s="61"/>
      <c r="G29" s="61"/>
      <c r="H29" s="61"/>
    </row>
    <row r="30" spans="1:8">
      <c r="A30" s="1454" t="s">
        <v>497</v>
      </c>
      <c r="B30" s="1456"/>
      <c r="C30" s="93" t="s">
        <v>498</v>
      </c>
      <c r="D30" s="182" t="s">
        <v>499</v>
      </c>
      <c r="E30" s="182" t="s">
        <v>500</v>
      </c>
      <c r="F30" s="182" t="s">
        <v>501</v>
      </c>
      <c r="G30" s="94" t="s">
        <v>489</v>
      </c>
      <c r="H30" s="67"/>
    </row>
    <row r="31" spans="1:8">
      <c r="A31" s="83" t="s">
        <v>73</v>
      </c>
      <c r="B31" s="84"/>
      <c r="C31" s="450">
        <f>F22</f>
        <v>0.56000000000000005</v>
      </c>
      <c r="D31" s="96">
        <v>8</v>
      </c>
      <c r="E31" s="96">
        <f>D31*C31</f>
        <v>4.4800000000000004</v>
      </c>
      <c r="F31" s="97">
        <f>'EQUIPOS '!D31</f>
        <v>1060</v>
      </c>
      <c r="G31" s="69">
        <f>F31*E31</f>
        <v>4748.8</v>
      </c>
      <c r="H31" s="72"/>
    </row>
    <row r="32" spans="1:8">
      <c r="A32" s="83" t="s">
        <v>18</v>
      </c>
      <c r="B32" s="84"/>
      <c r="C32" s="97">
        <f>F23</f>
        <v>0.84</v>
      </c>
      <c r="D32" s="68">
        <v>8</v>
      </c>
      <c r="E32" s="96">
        <f>D32*C32</f>
        <v>6.72</v>
      </c>
      <c r="F32" s="97">
        <f>'EQUIPOS '!D31</f>
        <v>1060</v>
      </c>
      <c r="G32" s="69">
        <f>F32*E32</f>
        <v>7123.2</v>
      </c>
      <c r="H32" s="72"/>
    </row>
    <row r="33" spans="1:8" ht="15.75" thickBot="1">
      <c r="A33" s="100"/>
      <c r="B33" s="101"/>
      <c r="C33" s="76"/>
      <c r="D33" s="77"/>
      <c r="E33" s="78"/>
      <c r="F33" s="79"/>
      <c r="G33" s="76"/>
      <c r="H33" s="72"/>
    </row>
    <row r="34" spans="1:8" ht="15.75" thickBot="1">
      <c r="A34" s="61"/>
      <c r="B34" s="61"/>
      <c r="C34" s="61"/>
      <c r="D34" s="61"/>
      <c r="E34" s="61"/>
      <c r="F34" s="61"/>
      <c r="G34" s="81" t="s">
        <v>491</v>
      </c>
      <c r="H34" s="82">
        <f>SUM(G31:G33)</f>
        <v>11872</v>
      </c>
    </row>
    <row r="35" spans="1:8" ht="15.75" thickBot="1">
      <c r="A35" s="92" t="s">
        <v>502</v>
      </c>
      <c r="B35" s="92"/>
      <c r="C35" s="61"/>
      <c r="D35" s="61"/>
      <c r="E35" s="61"/>
      <c r="F35" s="61"/>
      <c r="G35" s="61"/>
      <c r="H35" s="61"/>
    </row>
    <row r="36" spans="1:8">
      <c r="A36" s="1454" t="s">
        <v>503</v>
      </c>
      <c r="B36" s="1456"/>
      <c r="C36" s="182" t="s">
        <v>504</v>
      </c>
      <c r="D36" s="182" t="s">
        <v>505</v>
      </c>
      <c r="E36" s="124" t="s">
        <v>506</v>
      </c>
      <c r="F36" s="102" t="s">
        <v>488</v>
      </c>
      <c r="G36" s="181" t="s">
        <v>489</v>
      </c>
      <c r="H36" s="67"/>
    </row>
    <row r="37" spans="1:8">
      <c r="A37" s="83" t="s">
        <v>624</v>
      </c>
      <c r="B37" s="84"/>
      <c r="C37" s="103">
        <f>+SALARIOS!C50</f>
        <v>41660</v>
      </c>
      <c r="D37" s="104">
        <f>+SALARIOS!C48</f>
        <v>1.7846558312967005</v>
      </c>
      <c r="E37" s="69">
        <f>+C37*D37</f>
        <v>74348.76193182054</v>
      </c>
      <c r="F37" s="69">
        <v>3</v>
      </c>
      <c r="G37" s="105">
        <f>+E37/F37</f>
        <v>24782.920643940179</v>
      </c>
      <c r="H37" s="72"/>
    </row>
    <row r="38" spans="1:8">
      <c r="A38" s="83" t="s">
        <v>629</v>
      </c>
      <c r="B38" s="84"/>
      <c r="C38" s="103">
        <f>+SALARIOS!C49*4</f>
        <v>102288</v>
      </c>
      <c r="D38" s="104">
        <f>+SALARIOS!C48</f>
        <v>1.7846558312967005</v>
      </c>
      <c r="E38" s="69">
        <f>+C38*D38</f>
        <v>182548.87567167688</v>
      </c>
      <c r="F38" s="70">
        <v>1.8636608741993008</v>
      </c>
      <c r="G38" s="105">
        <f>+E38/F38</f>
        <v>97951.766975902618</v>
      </c>
      <c r="H38" s="72"/>
    </row>
    <row r="39" spans="1:8">
      <c r="A39" s="83"/>
      <c r="B39" s="84"/>
      <c r="C39" s="103"/>
      <c r="D39" s="104"/>
      <c r="E39" s="69"/>
      <c r="F39" s="69"/>
      <c r="G39" s="105"/>
      <c r="H39" s="72"/>
    </row>
    <row r="40" spans="1:8" ht="15.75" thickBot="1">
      <c r="A40" s="100"/>
      <c r="B40" s="106"/>
      <c r="C40" s="77"/>
      <c r="D40" s="91"/>
      <c r="E40" s="143"/>
      <c r="F40" s="91"/>
      <c r="G40" s="90"/>
      <c r="H40" s="80"/>
    </row>
    <row r="41" spans="1:8" ht="15.75" thickBot="1">
      <c r="A41" s="61"/>
      <c r="B41" s="61"/>
      <c r="C41" s="61"/>
      <c r="D41" s="61"/>
      <c r="E41" s="61"/>
      <c r="F41" s="61"/>
      <c r="G41" s="81" t="s">
        <v>491</v>
      </c>
      <c r="H41" s="82">
        <f>SUM(G37:G40)</f>
        <v>122734.68761984279</v>
      </c>
    </row>
    <row r="42" spans="1:8" ht="15.75" thickBot="1">
      <c r="A42" s="61"/>
      <c r="B42" s="61"/>
      <c r="C42" s="61"/>
      <c r="D42" s="61"/>
      <c r="E42" s="61"/>
      <c r="F42" s="61"/>
      <c r="G42" s="107"/>
      <c r="H42" s="58"/>
    </row>
    <row r="43" spans="1:8" ht="15.75" thickBot="1">
      <c r="A43" s="61"/>
      <c r="B43" s="61"/>
      <c r="C43" s="61"/>
      <c r="D43" s="61"/>
      <c r="E43" s="108" t="s">
        <v>508</v>
      </c>
      <c r="F43" s="109"/>
      <c r="G43" s="109"/>
      <c r="H43" s="82">
        <f>H18+H28+H34+H41</f>
        <v>521602.51388182712</v>
      </c>
    </row>
    <row r="44" spans="1:8" ht="15.75" thickBot="1">
      <c r="A44" s="63" t="s">
        <v>509</v>
      </c>
      <c r="B44" s="63"/>
      <c r="C44" s="61"/>
      <c r="D44" s="61"/>
      <c r="E44" s="61"/>
      <c r="F44" s="61"/>
      <c r="G44" s="61"/>
      <c r="H44" s="61"/>
    </row>
    <row r="45" spans="1:8">
      <c r="A45" s="110" t="s">
        <v>485</v>
      </c>
      <c r="B45" s="111"/>
      <c r="C45" s="111"/>
      <c r="D45" s="111"/>
      <c r="E45" s="112"/>
      <c r="F45" s="184" t="s">
        <v>510</v>
      </c>
      <c r="G45" s="183" t="s">
        <v>511</v>
      </c>
      <c r="H45" s="67"/>
    </row>
    <row r="46" spans="1:8">
      <c r="A46" s="83" t="s">
        <v>512</v>
      </c>
      <c r="B46" s="84"/>
      <c r="C46" s="84"/>
      <c r="D46" s="84"/>
      <c r="E46" s="85"/>
      <c r="F46" s="115">
        <f>(SALARIOS!C45)</f>
        <v>0.15</v>
      </c>
      <c r="G46" s="116">
        <f>++F46*H43</f>
        <v>78240.377082274063</v>
      </c>
      <c r="H46" s="117"/>
    </row>
    <row r="47" spans="1:8">
      <c r="A47" s="83" t="s">
        <v>513</v>
      </c>
      <c r="B47" s="84"/>
      <c r="C47" s="84"/>
      <c r="D47" s="84"/>
      <c r="E47" s="85"/>
      <c r="F47" s="115">
        <f>(SALARIOS!C46)</f>
        <v>0.05</v>
      </c>
      <c r="G47" s="116">
        <f>+F47*H43</f>
        <v>26080.125694091359</v>
      </c>
      <c r="H47" s="117"/>
    </row>
    <row r="48" spans="1:8" ht="15.75" thickBot="1">
      <c r="A48" s="89" t="s">
        <v>514</v>
      </c>
      <c r="B48" s="90"/>
      <c r="C48" s="90"/>
      <c r="D48" s="90"/>
      <c r="E48" s="91"/>
      <c r="F48" s="118">
        <f>SALARIOS!C47</f>
        <v>0.05</v>
      </c>
      <c r="G48" s="119">
        <f>+F48*H43</f>
        <v>26080.125694091359</v>
      </c>
      <c r="H48" s="80"/>
    </row>
    <row r="49" spans="1:8" ht="15.75" thickBot="1">
      <c r="A49" s="61"/>
      <c r="B49" s="61"/>
      <c r="C49" s="61"/>
      <c r="D49" s="61"/>
      <c r="E49" s="61"/>
      <c r="F49" s="61"/>
      <c r="G49" s="81" t="s">
        <v>491</v>
      </c>
      <c r="H49" s="120">
        <f>SUM(G46:G48)</f>
        <v>130400.62847045678</v>
      </c>
    </row>
    <row r="50" spans="1:8" ht="15.75" thickBot="1">
      <c r="A50" s="61"/>
      <c r="B50" s="61"/>
      <c r="C50" s="61"/>
      <c r="D50" s="61"/>
      <c r="E50" s="61"/>
      <c r="F50" s="61"/>
      <c r="G50" s="61"/>
      <c r="H50" s="61"/>
    </row>
    <row r="51" spans="1:8" ht="15.75" thickBot="1">
      <c r="A51" s="16"/>
      <c r="B51" s="16"/>
      <c r="C51" s="61"/>
      <c r="D51" s="108" t="s">
        <v>515</v>
      </c>
      <c r="E51" s="109"/>
      <c r="F51" s="109"/>
      <c r="G51" s="109"/>
      <c r="H51" s="82">
        <f>ROUND((H43+H49),0)</f>
        <v>652003</v>
      </c>
    </row>
  </sheetData>
  <mergeCells count="12">
    <mergeCell ref="A36:B36"/>
    <mergeCell ref="A3:C4"/>
    <mergeCell ref="A5:C5"/>
    <mergeCell ref="D5:H5"/>
    <mergeCell ref="A11:C11"/>
    <mergeCell ref="A12:C12"/>
    <mergeCell ref="A16:C16"/>
    <mergeCell ref="A17:C17"/>
    <mergeCell ref="A20:C20"/>
    <mergeCell ref="A30:B30"/>
    <mergeCell ref="A13:C13"/>
    <mergeCell ref="A14:C1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1"/>
  <sheetViews>
    <sheetView zoomScaleNormal="100" workbookViewId="0">
      <selection activeCell="J16" sqref="J16"/>
    </sheetView>
  </sheetViews>
  <sheetFormatPr baseColWidth="10" defaultRowHeight="15"/>
  <cols>
    <col min="5" max="5" width="12" bestFit="1" customWidth="1"/>
    <col min="10" max="10" width="13" bestFit="1" customWidth="1"/>
    <col min="11" max="11"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634</v>
      </c>
      <c r="H7" s="61"/>
    </row>
    <row r="8" spans="1:8">
      <c r="A8" s="60" t="s">
        <v>1788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690" t="s">
        <v>486</v>
      </c>
      <c r="E11" s="65" t="s">
        <v>487</v>
      </c>
      <c r="F11" s="690" t="s">
        <v>488</v>
      </c>
      <c r="G11" s="689" t="s">
        <v>489</v>
      </c>
      <c r="H11" s="67"/>
    </row>
    <row r="12" spans="1:8">
      <c r="A12" s="1486" t="s">
        <v>1327</v>
      </c>
      <c r="B12" s="1487"/>
      <c r="C12" s="1488"/>
      <c r="D12" s="438"/>
      <c r="E12" s="439"/>
      <c r="F12" s="446"/>
      <c r="G12" s="447">
        <f>+H41*10%</f>
        <v>14273.468760649066</v>
      </c>
      <c r="H12" s="72"/>
    </row>
    <row r="13" spans="1:8">
      <c r="A13" s="1486" t="s">
        <v>1326</v>
      </c>
      <c r="B13" s="1487"/>
      <c r="C13" s="1488"/>
      <c r="D13" s="445" t="s">
        <v>6</v>
      </c>
      <c r="E13" s="511">
        <f>+'EQUIPOS '!D6</f>
        <v>5292.5</v>
      </c>
      <c r="F13" s="511">
        <v>1</v>
      </c>
      <c r="G13" s="434">
        <f>E13*F13</f>
        <v>5292.5</v>
      </c>
      <c r="H13" s="72"/>
    </row>
    <row r="14" spans="1:8">
      <c r="A14" s="1483" t="s">
        <v>1330</v>
      </c>
      <c r="B14" s="1484"/>
      <c r="C14" s="1485"/>
      <c r="D14" s="73" t="s">
        <v>17</v>
      </c>
      <c r="E14" s="73">
        <f>'EQUIPOS '!D7</f>
        <v>42340</v>
      </c>
      <c r="F14" s="97">
        <v>0.1</v>
      </c>
      <c r="G14" s="434">
        <f>E14*F14</f>
        <v>4234</v>
      </c>
      <c r="H14" s="72"/>
    </row>
    <row r="15" spans="1:8">
      <c r="A15" s="1463"/>
      <c r="B15" s="1464"/>
      <c r="C15" s="1465"/>
      <c r="D15" s="73"/>
      <c r="E15" s="74"/>
      <c r="F15" s="69"/>
      <c r="G15" s="71"/>
      <c r="H15" s="72"/>
    </row>
    <row r="16" spans="1:8">
      <c r="A16" s="1463"/>
      <c r="B16" s="1464"/>
      <c r="C16" s="1465"/>
      <c r="D16" s="73"/>
      <c r="E16" s="74"/>
      <c r="F16" s="69"/>
      <c r="G16" s="71"/>
      <c r="H16" s="72"/>
    </row>
    <row r="17" spans="1:11" ht="15.75" thickBot="1">
      <c r="A17" s="1466"/>
      <c r="B17" s="1467"/>
      <c r="C17" s="1468"/>
      <c r="D17" s="76"/>
      <c r="E17" s="77"/>
      <c r="F17" s="78"/>
      <c r="G17" s="79"/>
      <c r="H17" s="80"/>
    </row>
    <row r="18" spans="1:11" ht="15.75" thickBot="1">
      <c r="A18" s="61"/>
      <c r="B18" s="61"/>
      <c r="C18" s="61"/>
      <c r="D18" s="61"/>
      <c r="E18" s="61"/>
      <c r="F18" s="61"/>
      <c r="G18" s="81" t="s">
        <v>491</v>
      </c>
      <c r="H18" s="82">
        <f>SUM(G12:G17)</f>
        <v>23799.968760649066</v>
      </c>
    </row>
    <row r="19" spans="1:11" ht="15.75" thickBot="1">
      <c r="A19" s="63" t="s">
        <v>492</v>
      </c>
      <c r="B19" s="63"/>
      <c r="C19" s="61"/>
      <c r="D19" s="61"/>
      <c r="E19" s="61"/>
      <c r="F19" s="61"/>
      <c r="G19" s="61"/>
      <c r="H19" s="61"/>
    </row>
    <row r="20" spans="1:11">
      <c r="A20" s="1472" t="s">
        <v>485</v>
      </c>
      <c r="B20" s="1473"/>
      <c r="C20" s="1474"/>
      <c r="D20" s="697" t="s">
        <v>493</v>
      </c>
      <c r="E20" s="697" t="s">
        <v>494</v>
      </c>
      <c r="F20" s="697" t="s">
        <v>495</v>
      </c>
      <c r="G20" s="452" t="s">
        <v>489</v>
      </c>
      <c r="H20" s="67"/>
    </row>
    <row r="21" spans="1:11">
      <c r="A21" s="1492" t="s">
        <v>201</v>
      </c>
      <c r="B21" s="1493"/>
      <c r="C21" s="1494"/>
      <c r="D21" s="502" t="s">
        <v>44</v>
      </c>
      <c r="E21" s="504">
        <f>MATERIALES!D24</f>
        <v>698.92899999999997</v>
      </c>
      <c r="F21" s="502">
        <v>420</v>
      </c>
      <c r="G21" s="701">
        <f>+E21*F21</f>
        <v>293550.18</v>
      </c>
      <c r="H21" s="72"/>
    </row>
    <row r="22" spans="1:11">
      <c r="A22" s="1492" t="s">
        <v>73</v>
      </c>
      <c r="B22" s="1493"/>
      <c r="C22" s="1494"/>
      <c r="D22" s="502" t="s">
        <v>1328</v>
      </c>
      <c r="E22" s="502">
        <f>MATERIALES!D15</f>
        <v>32400</v>
      </c>
      <c r="F22" s="503">
        <v>0.67</v>
      </c>
      <c r="G22" s="701">
        <f>+E22*F22</f>
        <v>21708</v>
      </c>
      <c r="H22" s="440"/>
      <c r="J22" s="33"/>
    </row>
    <row r="23" spans="1:11">
      <c r="A23" s="1492" t="s">
        <v>18</v>
      </c>
      <c r="B23" s="1493"/>
      <c r="C23" s="1494"/>
      <c r="D23" s="502" t="s">
        <v>1328</v>
      </c>
      <c r="E23" s="502">
        <f>MATERIALES!D62</f>
        <v>64800</v>
      </c>
      <c r="F23" s="503">
        <v>0.67</v>
      </c>
      <c r="G23" s="701">
        <f>+E23*F23</f>
        <v>43416</v>
      </c>
      <c r="H23" s="440"/>
    </row>
    <row r="24" spans="1:11">
      <c r="A24" s="1492" t="s">
        <v>1323</v>
      </c>
      <c r="B24" s="1493"/>
      <c r="C24" s="1494"/>
      <c r="D24" s="502" t="s">
        <v>1695</v>
      </c>
      <c r="E24" s="504">
        <f>MATERIALES!D8</f>
        <v>68</v>
      </c>
      <c r="F24" s="502">
        <v>250</v>
      </c>
      <c r="G24" s="701">
        <f>+E24*F24</f>
        <v>17000</v>
      </c>
      <c r="H24" s="440"/>
    </row>
    <row r="25" spans="1:11" ht="15.75" thickBot="1">
      <c r="A25" s="1489" t="s">
        <v>1325</v>
      </c>
      <c r="B25" s="1490"/>
      <c r="C25" s="1491"/>
      <c r="D25" s="702"/>
      <c r="E25" s="703"/>
      <c r="F25" s="704"/>
      <c r="G25" s="705">
        <f>SUM(G21:G24)*5%</f>
        <v>18783.708999999999</v>
      </c>
      <c r="H25" s="441"/>
      <c r="J25" s="33"/>
      <c r="K25" s="33"/>
    </row>
    <row r="26" spans="1:11" ht="15.75" thickBot="1">
      <c r="A26" s="442"/>
      <c r="B26" s="442"/>
      <c r="C26" s="442"/>
      <c r="D26" s="442"/>
      <c r="E26" s="442"/>
      <c r="F26" s="442"/>
      <c r="G26" s="443" t="s">
        <v>491</v>
      </c>
      <c r="H26" s="444">
        <f>SUM(G21:G25)</f>
        <v>394457.88899999997</v>
      </c>
    </row>
    <row r="27" spans="1:11" ht="15.75" thickBot="1">
      <c r="A27" s="92" t="s">
        <v>496</v>
      </c>
      <c r="B27" s="92"/>
      <c r="C27" s="90"/>
      <c r="D27" s="61"/>
      <c r="E27" s="61"/>
      <c r="F27" s="61"/>
      <c r="G27" s="61"/>
      <c r="H27" s="61"/>
    </row>
    <row r="28" spans="1:11">
      <c r="A28" s="1454" t="s">
        <v>497</v>
      </c>
      <c r="B28" s="1456"/>
      <c r="C28" s="93" t="s">
        <v>498</v>
      </c>
      <c r="D28" s="690" t="s">
        <v>499</v>
      </c>
      <c r="E28" s="690" t="s">
        <v>500</v>
      </c>
      <c r="F28" s="690" t="s">
        <v>501</v>
      </c>
      <c r="G28" s="94" t="s">
        <v>489</v>
      </c>
      <c r="H28" s="67"/>
    </row>
    <row r="29" spans="1:11">
      <c r="A29" s="83" t="s">
        <v>73</v>
      </c>
      <c r="B29" s="84"/>
      <c r="C29" s="450">
        <f>F22</f>
        <v>0.67</v>
      </c>
      <c r="D29" s="96">
        <v>8</v>
      </c>
      <c r="E29" s="448">
        <f>D29*C29</f>
        <v>5.36</v>
      </c>
      <c r="F29" s="97">
        <f>'EQUIPOS '!D31</f>
        <v>1060</v>
      </c>
      <c r="G29" s="449">
        <f>F29*E29</f>
        <v>5681.6</v>
      </c>
      <c r="H29" s="72"/>
    </row>
    <row r="30" spans="1:11">
      <c r="A30" s="83" t="s">
        <v>18</v>
      </c>
      <c r="B30" s="84"/>
      <c r="C30" s="450">
        <f>F23</f>
        <v>0.67</v>
      </c>
      <c r="D30" s="68">
        <v>8</v>
      </c>
      <c r="E30" s="448">
        <f>D30*C30</f>
        <v>5.36</v>
      </c>
      <c r="F30" s="97">
        <f>'EQUIPOS '!D31</f>
        <v>1060</v>
      </c>
      <c r="G30" s="449">
        <f>F30*E30</f>
        <v>5681.6</v>
      </c>
      <c r="H30" s="72"/>
    </row>
    <row r="31" spans="1:11">
      <c r="A31" s="505"/>
      <c r="B31" s="506"/>
      <c r="C31" s="507"/>
      <c r="D31" s="73"/>
      <c r="E31" s="448"/>
      <c r="F31" s="509"/>
      <c r="G31" s="449"/>
      <c r="H31" s="72"/>
    </row>
    <row r="32" spans="1:11">
      <c r="A32" s="505"/>
      <c r="B32" s="506"/>
      <c r="C32" s="507"/>
      <c r="D32" s="73"/>
      <c r="E32" s="508"/>
      <c r="F32" s="509"/>
      <c r="G32" s="510"/>
      <c r="H32" s="72"/>
    </row>
    <row r="33" spans="1:8" ht="15.75" thickBot="1">
      <c r="A33" s="100"/>
      <c r="B33" s="101"/>
      <c r="C33" s="76"/>
      <c r="D33" s="77"/>
      <c r="E33" s="78"/>
      <c r="F33" s="79"/>
      <c r="G33" s="76"/>
      <c r="H33" s="72"/>
    </row>
    <row r="34" spans="1:8" ht="15.75" thickBot="1">
      <c r="A34" s="61"/>
      <c r="B34" s="61"/>
      <c r="C34" s="61"/>
      <c r="D34" s="61"/>
      <c r="E34" s="61"/>
      <c r="F34" s="61"/>
      <c r="G34" s="81" t="s">
        <v>491</v>
      </c>
      <c r="H34" s="82">
        <f>SUM(G29:G33)</f>
        <v>11363.2</v>
      </c>
    </row>
    <row r="35" spans="1:8" ht="15.75" thickBot="1">
      <c r="A35" s="92" t="s">
        <v>502</v>
      </c>
      <c r="B35" s="92"/>
      <c r="C35" s="61"/>
      <c r="D35" s="61"/>
      <c r="E35" s="61"/>
      <c r="F35" s="61"/>
      <c r="G35" s="61"/>
      <c r="H35" s="61"/>
    </row>
    <row r="36" spans="1:8">
      <c r="A36" s="1454" t="s">
        <v>503</v>
      </c>
      <c r="B36" s="1456"/>
      <c r="C36" s="690" t="s">
        <v>504</v>
      </c>
      <c r="D36" s="690" t="s">
        <v>505</v>
      </c>
      <c r="E36" s="124" t="s">
        <v>506</v>
      </c>
      <c r="F36" s="102" t="s">
        <v>488</v>
      </c>
      <c r="G36" s="689" t="s">
        <v>489</v>
      </c>
      <c r="H36" s="67"/>
    </row>
    <row r="37" spans="1:8">
      <c r="A37" s="83" t="s">
        <v>624</v>
      </c>
      <c r="B37" s="84"/>
      <c r="C37" s="103">
        <f>+SALARIOS!C50</f>
        <v>41660</v>
      </c>
      <c r="D37" s="104">
        <f>+SALARIOS!C48</f>
        <v>1.7846558312967005</v>
      </c>
      <c r="E37" s="69">
        <f>+C37*D37</f>
        <v>74348.76193182054</v>
      </c>
      <c r="F37" s="69">
        <v>3</v>
      </c>
      <c r="G37" s="105">
        <f>+E37/F37</f>
        <v>24782.920643940179</v>
      </c>
      <c r="H37" s="72"/>
    </row>
    <row r="38" spans="1:8">
      <c r="A38" s="83" t="s">
        <v>629</v>
      </c>
      <c r="B38" s="84"/>
      <c r="C38" s="103">
        <f>+SALARIOS!C49*4</f>
        <v>102288</v>
      </c>
      <c r="D38" s="104">
        <f>+SALARIOS!C48</f>
        <v>1.7846558312967005</v>
      </c>
      <c r="E38" s="69">
        <f>+C38*D38</f>
        <v>182548.87567167688</v>
      </c>
      <c r="F38" s="70">
        <v>1.5476569819393711</v>
      </c>
      <c r="G38" s="105">
        <f>+E38/F38</f>
        <v>117951.76696255048</v>
      </c>
      <c r="H38" s="72"/>
    </row>
    <row r="39" spans="1:8">
      <c r="A39" s="83"/>
      <c r="B39" s="84"/>
      <c r="C39" s="103"/>
      <c r="D39" s="104"/>
      <c r="E39" s="69"/>
      <c r="F39" s="69"/>
      <c r="G39" s="105"/>
      <c r="H39" s="72"/>
    </row>
    <row r="40" spans="1:8" ht="15.75" thickBot="1">
      <c r="A40" s="100"/>
      <c r="B40" s="106"/>
      <c r="C40" s="77"/>
      <c r="D40" s="91"/>
      <c r="E40" s="143"/>
      <c r="F40" s="91"/>
      <c r="G40" s="90"/>
      <c r="H40" s="80"/>
    </row>
    <row r="41" spans="1:8" ht="15.75" thickBot="1">
      <c r="A41" s="61"/>
      <c r="B41" s="61"/>
      <c r="C41" s="61"/>
      <c r="D41" s="61"/>
      <c r="E41" s="61"/>
      <c r="F41" s="61"/>
      <c r="G41" s="81" t="s">
        <v>491</v>
      </c>
      <c r="H41" s="82">
        <f>SUM(G37:G40)</f>
        <v>142734.68760649065</v>
      </c>
    </row>
    <row r="42" spans="1:8" ht="15.75" thickBot="1">
      <c r="A42" s="61"/>
      <c r="B42" s="61"/>
      <c r="C42" s="61"/>
      <c r="D42" s="61"/>
      <c r="E42" s="61"/>
      <c r="F42" s="61"/>
      <c r="G42" s="107"/>
      <c r="H42" s="58"/>
    </row>
    <row r="43" spans="1:8" ht="15.75" thickBot="1">
      <c r="A43" s="61"/>
      <c r="B43" s="61"/>
      <c r="C43" s="61"/>
      <c r="D43" s="61"/>
      <c r="E43" s="108" t="s">
        <v>508</v>
      </c>
      <c r="F43" s="109"/>
      <c r="G43" s="109"/>
      <c r="H43" s="82">
        <f>H18+H26+H34+H41</f>
        <v>572355.74536713969</v>
      </c>
    </row>
    <row r="44" spans="1:8" ht="15.75" thickBot="1">
      <c r="A44" s="63" t="s">
        <v>509</v>
      </c>
      <c r="B44" s="63"/>
      <c r="C44" s="61"/>
      <c r="D44" s="61"/>
      <c r="E44" s="61"/>
      <c r="F44" s="61"/>
      <c r="G44" s="61"/>
      <c r="H44" s="61"/>
    </row>
    <row r="45" spans="1:8">
      <c r="A45" s="110" t="s">
        <v>485</v>
      </c>
      <c r="B45" s="111"/>
      <c r="C45" s="111"/>
      <c r="D45" s="111"/>
      <c r="E45" s="112"/>
      <c r="F45" s="692" t="s">
        <v>510</v>
      </c>
      <c r="G45" s="691" t="s">
        <v>511</v>
      </c>
      <c r="H45" s="67"/>
    </row>
    <row r="46" spans="1:8">
      <c r="A46" s="83" t="s">
        <v>512</v>
      </c>
      <c r="B46" s="84"/>
      <c r="C46" s="84"/>
      <c r="D46" s="84"/>
      <c r="E46" s="85"/>
      <c r="F46" s="115">
        <f>(SALARIOS!C45)</f>
        <v>0.15</v>
      </c>
      <c r="G46" s="116">
        <f>++F46*H43</f>
        <v>85853.361805070948</v>
      </c>
      <c r="H46" s="117"/>
    </row>
    <row r="47" spans="1:8">
      <c r="A47" s="83" t="s">
        <v>513</v>
      </c>
      <c r="B47" s="84"/>
      <c r="C47" s="84"/>
      <c r="D47" s="84"/>
      <c r="E47" s="85"/>
      <c r="F47" s="115">
        <f>(SALARIOS!C46)</f>
        <v>0.05</v>
      </c>
      <c r="G47" s="116">
        <f>+F47*H43</f>
        <v>28617.787268356988</v>
      </c>
      <c r="H47" s="117"/>
    </row>
    <row r="48" spans="1:8" ht="15.75" thickBot="1">
      <c r="A48" s="89" t="s">
        <v>514</v>
      </c>
      <c r="B48" s="90"/>
      <c r="C48" s="90"/>
      <c r="D48" s="90"/>
      <c r="E48" s="91"/>
      <c r="F48" s="118">
        <f>SALARIOS!C47</f>
        <v>0.05</v>
      </c>
      <c r="G48" s="119">
        <f>+F48*H43</f>
        <v>28617.787268356988</v>
      </c>
      <c r="H48" s="80"/>
    </row>
    <row r="49" spans="1:8" ht="15.75" thickBot="1">
      <c r="A49" s="61"/>
      <c r="B49" s="61"/>
      <c r="C49" s="61"/>
      <c r="D49" s="61"/>
      <c r="E49" s="61"/>
      <c r="F49" s="61"/>
      <c r="G49" s="81" t="s">
        <v>491</v>
      </c>
      <c r="H49" s="120">
        <f>SUM(G46:G48)</f>
        <v>143088.93634178492</v>
      </c>
    </row>
    <row r="50" spans="1:8" ht="15.75" thickBot="1">
      <c r="A50" s="61"/>
      <c r="B50" s="61"/>
      <c r="C50" s="61"/>
      <c r="D50" s="61"/>
      <c r="E50" s="61"/>
      <c r="F50" s="61"/>
      <c r="G50" s="61"/>
      <c r="H50" s="61"/>
    </row>
    <row r="51" spans="1:8" ht="15.75" thickBot="1">
      <c r="A51" s="16"/>
      <c r="B51" s="16"/>
      <c r="C51" s="61"/>
      <c r="D51" s="108" t="s">
        <v>515</v>
      </c>
      <c r="E51" s="109"/>
      <c r="F51" s="109"/>
      <c r="G51" s="109"/>
      <c r="H51" s="82">
        <f>ROUND((H43+H49),0)</f>
        <v>715445</v>
      </c>
    </row>
  </sheetData>
  <mergeCells count="18">
    <mergeCell ref="A36:B36"/>
    <mergeCell ref="A14:C14"/>
    <mergeCell ref="A15:C15"/>
    <mergeCell ref="A16:C16"/>
    <mergeCell ref="A17:C17"/>
    <mergeCell ref="A20:C20"/>
    <mergeCell ref="A21:C21"/>
    <mergeCell ref="A22:C22"/>
    <mergeCell ref="A23:C23"/>
    <mergeCell ref="A24:C24"/>
    <mergeCell ref="A25:C25"/>
    <mergeCell ref="A28:B28"/>
    <mergeCell ref="A13:C13"/>
    <mergeCell ref="A3:C4"/>
    <mergeCell ref="A5:C5"/>
    <mergeCell ref="D5:H5"/>
    <mergeCell ref="A11:C11"/>
    <mergeCell ref="A12:C12"/>
  </mergeCells>
  <pageMargins left="0.7" right="0.7" top="0.75" bottom="0.75" header="0.3" footer="0.3"/>
  <pageSetup paperSize="9" scale="9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topLeftCell="A4" workbookViewId="0">
      <selection activeCell="D16" sqref="D16"/>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635</v>
      </c>
      <c r="H7" s="61"/>
    </row>
    <row r="8" spans="1:8">
      <c r="A8" s="60" t="s">
        <v>1790</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2" t="s">
        <v>486</v>
      </c>
      <c r="E11" s="65" t="s">
        <v>487</v>
      </c>
      <c r="F11" s="182" t="s">
        <v>488</v>
      </c>
      <c r="G11" s="181" t="s">
        <v>489</v>
      </c>
      <c r="H11" s="67"/>
    </row>
    <row r="12" spans="1:8">
      <c r="A12" s="1480" t="s">
        <v>1327</v>
      </c>
      <c r="B12" s="1481"/>
      <c r="C12" s="1482"/>
      <c r="D12" s="68"/>
      <c r="E12" s="86"/>
      <c r="F12" s="161"/>
      <c r="G12" s="71">
        <f>H39*10%</f>
        <v>14481.785688277196</v>
      </c>
      <c r="H12" s="72"/>
    </row>
    <row r="13" spans="1:8">
      <c r="A13" s="1463" t="s">
        <v>1326</v>
      </c>
      <c r="B13" s="1464"/>
      <c r="C13" s="1465"/>
      <c r="D13" s="68" t="s">
        <v>6</v>
      </c>
      <c r="E13" s="69">
        <f>'EQUIPOS '!D6</f>
        <v>5292.5</v>
      </c>
      <c r="F13" s="97">
        <v>1</v>
      </c>
      <c r="G13" s="71">
        <f>+E13*F13</f>
        <v>5292.5</v>
      </c>
      <c r="H13" s="72"/>
    </row>
    <row r="14" spans="1:8">
      <c r="A14" s="1483" t="s">
        <v>1330</v>
      </c>
      <c r="B14" s="1484"/>
      <c r="C14" s="1485"/>
      <c r="D14" s="73" t="s">
        <v>17</v>
      </c>
      <c r="E14" s="73">
        <f>'EQUIPOS '!D7</f>
        <v>42340</v>
      </c>
      <c r="F14" s="97">
        <v>0.1</v>
      </c>
      <c r="G14" s="434">
        <f>E14*F14</f>
        <v>4234</v>
      </c>
      <c r="H14" s="72"/>
    </row>
    <row r="15" spans="1:8">
      <c r="A15" s="175" t="s">
        <v>626</v>
      </c>
      <c r="B15" s="176"/>
      <c r="C15" s="174"/>
      <c r="D15" s="174" t="s">
        <v>1809</v>
      </c>
      <c r="E15" s="173">
        <f>MATERIALES!D33</f>
        <v>1392</v>
      </c>
      <c r="F15" s="97">
        <v>2</v>
      </c>
      <c r="G15" s="173">
        <f>E15*F15</f>
        <v>2784</v>
      </c>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26792.285688277196</v>
      </c>
    </row>
    <row r="19" spans="1:8" ht="15.75" thickBot="1">
      <c r="A19" s="63" t="s">
        <v>492</v>
      </c>
      <c r="B19" s="63"/>
      <c r="C19" s="61"/>
      <c r="D19" s="61"/>
      <c r="E19" s="61"/>
      <c r="F19" s="61"/>
      <c r="G19" s="61"/>
      <c r="H19" s="61"/>
    </row>
    <row r="20" spans="1:8">
      <c r="A20" s="1472" t="s">
        <v>485</v>
      </c>
      <c r="B20" s="1473"/>
      <c r="C20" s="1474"/>
      <c r="D20" s="699" t="s">
        <v>493</v>
      </c>
      <c r="E20" s="699" t="s">
        <v>494</v>
      </c>
      <c r="F20" s="699" t="s">
        <v>495</v>
      </c>
      <c r="G20" s="452" t="s">
        <v>489</v>
      </c>
      <c r="H20" s="684"/>
    </row>
    <row r="21" spans="1:8">
      <c r="A21" s="83" t="s">
        <v>201</v>
      </c>
      <c r="B21" s="84"/>
      <c r="C21" s="85"/>
      <c r="D21" s="68" t="s">
        <v>44</v>
      </c>
      <c r="E21" s="142">
        <f>MATERIALES!D24</f>
        <v>698.92899999999997</v>
      </c>
      <c r="F21" s="86">
        <v>420</v>
      </c>
      <c r="G21" s="685">
        <f>+E21*F21</f>
        <v>293550.18</v>
      </c>
      <c r="H21" s="59"/>
    </row>
    <row r="22" spans="1:8">
      <c r="A22" s="83" t="s">
        <v>73</v>
      </c>
      <c r="B22" s="84"/>
      <c r="C22" s="85"/>
      <c r="D22" s="141" t="s">
        <v>19</v>
      </c>
      <c r="E22" s="139">
        <f>MATERIALES!D15</f>
        <v>32400</v>
      </c>
      <c r="F22" s="137">
        <v>0.67</v>
      </c>
      <c r="G22" s="685">
        <f>+E22*F22</f>
        <v>21708</v>
      </c>
      <c r="H22" s="59"/>
    </row>
    <row r="23" spans="1:8">
      <c r="A23" s="83" t="s">
        <v>18</v>
      </c>
      <c r="B23" s="84"/>
      <c r="C23" s="85"/>
      <c r="D23" s="141" t="s">
        <v>19</v>
      </c>
      <c r="E23" s="142">
        <f>MATERIALES!D62</f>
        <v>64800</v>
      </c>
      <c r="F23" s="69">
        <v>0.67</v>
      </c>
      <c r="G23" s="685">
        <f>+E23*F23</f>
        <v>43416</v>
      </c>
      <c r="H23" s="59"/>
    </row>
    <row r="24" spans="1:8">
      <c r="A24" s="128" t="s">
        <v>1323</v>
      </c>
      <c r="B24" s="129"/>
      <c r="C24" s="130"/>
      <c r="D24" s="68" t="s">
        <v>1329</v>
      </c>
      <c r="E24" s="142">
        <f>MATERIALES!D8</f>
        <v>68</v>
      </c>
      <c r="F24" s="161">
        <v>250</v>
      </c>
      <c r="G24" s="105">
        <f>+E24*F24</f>
        <v>17000</v>
      </c>
      <c r="H24" s="59"/>
    </row>
    <row r="25" spans="1:8" ht="15.75" thickBot="1">
      <c r="A25" s="89" t="s">
        <v>1325</v>
      </c>
      <c r="B25" s="90"/>
      <c r="C25" s="91"/>
      <c r="D25" s="76"/>
      <c r="E25" s="77"/>
      <c r="F25" s="520"/>
      <c r="G25" s="687">
        <f>SUM(G21:G24)*5%</f>
        <v>18783.708999999999</v>
      </c>
      <c r="H25" s="59"/>
    </row>
    <row r="26" spans="1:8" ht="15.75" thickBot="1">
      <c r="A26" s="61"/>
      <c r="B26" s="61"/>
      <c r="C26" s="61"/>
      <c r="D26" s="61"/>
      <c r="E26" s="61"/>
      <c r="F26" s="61"/>
      <c r="G26" s="81" t="s">
        <v>491</v>
      </c>
      <c r="H26" s="82">
        <f>SUM(G21:G25)</f>
        <v>394457.88899999997</v>
      </c>
    </row>
    <row r="27" spans="1:8" ht="15.75" thickBot="1">
      <c r="A27" s="92" t="s">
        <v>496</v>
      </c>
      <c r="B27" s="92"/>
      <c r="C27" s="90"/>
      <c r="D27" s="61"/>
      <c r="E27" s="61"/>
      <c r="F27" s="61"/>
      <c r="G27" s="61"/>
      <c r="H27" s="61"/>
    </row>
    <row r="28" spans="1:8">
      <c r="A28" s="1454" t="s">
        <v>497</v>
      </c>
      <c r="B28" s="1456"/>
      <c r="C28" s="93" t="s">
        <v>498</v>
      </c>
      <c r="D28" s="182" t="s">
        <v>499</v>
      </c>
      <c r="E28" s="182" t="s">
        <v>500</v>
      </c>
      <c r="F28" s="182" t="s">
        <v>501</v>
      </c>
      <c r="G28" s="94" t="s">
        <v>489</v>
      </c>
      <c r="H28" s="67"/>
    </row>
    <row r="29" spans="1:8">
      <c r="A29" s="83" t="s">
        <v>73</v>
      </c>
      <c r="B29" s="84"/>
      <c r="C29" s="450">
        <f>F22</f>
        <v>0.67</v>
      </c>
      <c r="D29" s="96">
        <v>8</v>
      </c>
      <c r="E29" s="96">
        <f>D29*C29</f>
        <v>5.36</v>
      </c>
      <c r="F29" s="97">
        <f>'EQUIPOS '!D31</f>
        <v>1060</v>
      </c>
      <c r="G29" s="69">
        <f>F29*E29</f>
        <v>5681.6</v>
      </c>
      <c r="H29" s="72"/>
    </row>
    <row r="30" spans="1:8">
      <c r="A30" s="83" t="s">
        <v>18</v>
      </c>
      <c r="B30" s="84"/>
      <c r="C30" s="97">
        <f>F23</f>
        <v>0.67</v>
      </c>
      <c r="D30" s="68">
        <v>8</v>
      </c>
      <c r="E30" s="96">
        <f>D30*C30</f>
        <v>5.36</v>
      </c>
      <c r="F30" s="97">
        <f>'EQUIPOS '!D31</f>
        <v>1060</v>
      </c>
      <c r="G30" s="69">
        <f>F30*E30</f>
        <v>5681.6</v>
      </c>
      <c r="H30" s="72"/>
    </row>
    <row r="31" spans="1:8" ht="15.75" thickBot="1">
      <c r="A31" s="100"/>
      <c r="B31" s="101"/>
      <c r="C31" s="76"/>
      <c r="D31" s="77"/>
      <c r="E31" s="78"/>
      <c r="F31" s="79"/>
      <c r="G31" s="76"/>
      <c r="H31" s="72"/>
    </row>
    <row r="32" spans="1:8" ht="15.75" thickBot="1">
      <c r="A32" s="61"/>
      <c r="B32" s="61"/>
      <c r="C32" s="61"/>
      <c r="D32" s="61"/>
      <c r="E32" s="61"/>
      <c r="F32" s="61"/>
      <c r="G32" s="81" t="s">
        <v>491</v>
      </c>
      <c r="H32" s="82">
        <f>SUM(G29:G31)</f>
        <v>11363.2</v>
      </c>
    </row>
    <row r="33" spans="1:8" ht="15.75" thickBot="1">
      <c r="A33" s="92" t="s">
        <v>502</v>
      </c>
      <c r="B33" s="92"/>
      <c r="C33" s="61"/>
      <c r="D33" s="61"/>
      <c r="E33" s="61"/>
      <c r="F33" s="61"/>
      <c r="G33" s="61"/>
      <c r="H33" s="61"/>
    </row>
    <row r="34" spans="1:8">
      <c r="A34" s="1454" t="s">
        <v>503</v>
      </c>
      <c r="B34" s="1456"/>
      <c r="C34" s="182" t="s">
        <v>504</v>
      </c>
      <c r="D34" s="182" t="s">
        <v>505</v>
      </c>
      <c r="E34" s="124" t="s">
        <v>506</v>
      </c>
      <c r="F34" s="102" t="s">
        <v>488</v>
      </c>
      <c r="G34" s="181" t="s">
        <v>489</v>
      </c>
      <c r="H34" s="67"/>
    </row>
    <row r="35" spans="1:8">
      <c r="A35" s="83" t="s">
        <v>624</v>
      </c>
      <c r="B35" s="84"/>
      <c r="C35" s="103">
        <f>+SALARIOS!C50</f>
        <v>41660</v>
      </c>
      <c r="D35" s="104">
        <f>+SALARIOS!C48</f>
        <v>1.7846558312967005</v>
      </c>
      <c r="E35" s="69">
        <f>+C35*D35</f>
        <v>74348.76193182054</v>
      </c>
      <c r="F35" s="69">
        <v>5</v>
      </c>
      <c r="G35" s="105">
        <f>+E35/F35</f>
        <v>14869.752386364107</v>
      </c>
      <c r="H35" s="72"/>
    </row>
    <row r="36" spans="1:8">
      <c r="A36" s="83" t="s">
        <v>629</v>
      </c>
      <c r="B36" s="84"/>
      <c r="C36" s="103">
        <f>+SALARIOS!C49*4</f>
        <v>102288</v>
      </c>
      <c r="D36" s="104">
        <f>+SALARIOS!C48</f>
        <v>1.7846558312967005</v>
      </c>
      <c r="E36" s="69">
        <f>+C36*D36</f>
        <v>182548.87567167688</v>
      </c>
      <c r="F36" s="69">
        <v>1.6680174914413552</v>
      </c>
      <c r="G36" s="105">
        <f>+E36/F36</f>
        <v>109440.62433897745</v>
      </c>
      <c r="H36" s="72"/>
    </row>
    <row r="37" spans="1:8">
      <c r="A37" s="83" t="s">
        <v>633</v>
      </c>
      <c r="B37" s="84"/>
      <c r="C37" s="103">
        <f>+SALARIOS!C51</f>
        <v>57455</v>
      </c>
      <c r="D37" s="104">
        <f>+SALARIOS!C48</f>
        <v>1.7846558312967005</v>
      </c>
      <c r="E37" s="69">
        <f>+C37*D37</f>
        <v>102537.40078715193</v>
      </c>
      <c r="F37" s="69">
        <v>5</v>
      </c>
      <c r="G37" s="105">
        <f>+E37/F37</f>
        <v>20507.480157430386</v>
      </c>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144817.85688277194</v>
      </c>
    </row>
    <row r="40" spans="1:8" ht="15.75" thickBot="1">
      <c r="A40" s="61"/>
      <c r="B40" s="61"/>
      <c r="C40" s="61"/>
      <c r="D40" s="61"/>
      <c r="E40" s="61"/>
      <c r="F40" s="61"/>
      <c r="G40" s="107"/>
      <c r="H40" s="58"/>
    </row>
    <row r="41" spans="1:8" ht="15.75" thickBot="1">
      <c r="A41" s="61"/>
      <c r="B41" s="61"/>
      <c r="C41" s="61"/>
      <c r="D41" s="61"/>
      <c r="E41" s="108" t="s">
        <v>508</v>
      </c>
      <c r="F41" s="109"/>
      <c r="G41" s="109"/>
      <c r="H41" s="82">
        <f>H18+H26+H32+H39</f>
        <v>577431.2315710492</v>
      </c>
    </row>
    <row r="42" spans="1:8" ht="15.75" thickBot="1">
      <c r="A42" s="63" t="s">
        <v>509</v>
      </c>
      <c r="B42" s="63"/>
      <c r="C42" s="61"/>
      <c r="D42" s="61"/>
      <c r="E42" s="61"/>
      <c r="F42" s="61"/>
      <c r="G42" s="61"/>
      <c r="H42" s="61"/>
    </row>
    <row r="43" spans="1:8">
      <c r="A43" s="110" t="s">
        <v>485</v>
      </c>
      <c r="B43" s="111"/>
      <c r="C43" s="111"/>
      <c r="D43" s="111"/>
      <c r="E43" s="112"/>
      <c r="F43" s="184" t="s">
        <v>510</v>
      </c>
      <c r="G43" s="183" t="s">
        <v>511</v>
      </c>
      <c r="H43" s="67"/>
    </row>
    <row r="44" spans="1:8">
      <c r="A44" s="83" t="s">
        <v>512</v>
      </c>
      <c r="B44" s="84"/>
      <c r="C44" s="84"/>
      <c r="D44" s="84"/>
      <c r="E44" s="85"/>
      <c r="F44" s="115">
        <f>(SALARIOS!C45)</f>
        <v>0.15</v>
      </c>
      <c r="G44" s="116">
        <f>++F44*H41</f>
        <v>86614.684735657371</v>
      </c>
      <c r="H44" s="117"/>
    </row>
    <row r="45" spans="1:8">
      <c r="A45" s="83" t="s">
        <v>513</v>
      </c>
      <c r="B45" s="84"/>
      <c r="C45" s="84"/>
      <c r="D45" s="84"/>
      <c r="E45" s="85"/>
      <c r="F45" s="115">
        <f>(SALARIOS!C46)</f>
        <v>0.05</v>
      </c>
      <c r="G45" s="116">
        <f>+F45*H41</f>
        <v>28871.561578552461</v>
      </c>
      <c r="H45" s="117"/>
    </row>
    <row r="46" spans="1:8" ht="15.75" thickBot="1">
      <c r="A46" s="89" t="s">
        <v>514</v>
      </c>
      <c r="B46" s="90"/>
      <c r="C46" s="90"/>
      <c r="D46" s="90"/>
      <c r="E46" s="91"/>
      <c r="F46" s="118">
        <f>SALARIOS!C47</f>
        <v>0.05</v>
      </c>
      <c r="G46" s="119">
        <f>+F46*H41</f>
        <v>28871.561578552461</v>
      </c>
      <c r="H46" s="80"/>
    </row>
    <row r="47" spans="1:8" ht="15.75" thickBot="1">
      <c r="A47" s="61"/>
      <c r="B47" s="61"/>
      <c r="C47" s="61"/>
      <c r="D47" s="61"/>
      <c r="E47" s="61"/>
      <c r="F47" s="61"/>
      <c r="G47" s="81" t="s">
        <v>491</v>
      </c>
      <c r="H47" s="120">
        <f>SUM(G44:G46)</f>
        <v>144357.8078927623</v>
      </c>
    </row>
    <row r="48" spans="1:8" ht="15.75" thickBot="1">
      <c r="A48" s="61"/>
      <c r="B48" s="61"/>
      <c r="C48" s="61"/>
      <c r="D48" s="61"/>
      <c r="E48" s="61"/>
      <c r="F48" s="61"/>
      <c r="G48" s="61"/>
      <c r="H48" s="61"/>
    </row>
    <row r="49" spans="1:8" ht="15.75" thickBot="1">
      <c r="A49" s="16"/>
      <c r="B49" s="16"/>
      <c r="C49" s="61"/>
      <c r="D49" s="108" t="s">
        <v>515</v>
      </c>
      <c r="E49" s="109"/>
      <c r="F49" s="109"/>
      <c r="G49" s="109"/>
      <c r="H49" s="82">
        <f>ROUND((H41+H47),0)</f>
        <v>721789</v>
      </c>
    </row>
  </sheetData>
  <mergeCells count="12">
    <mergeCell ref="A34:B34"/>
    <mergeCell ref="A3:C4"/>
    <mergeCell ref="A5:C5"/>
    <mergeCell ref="D5:H5"/>
    <mergeCell ref="A11:C11"/>
    <mergeCell ref="A12:C12"/>
    <mergeCell ref="A16:C16"/>
    <mergeCell ref="A17:C17"/>
    <mergeCell ref="A20:C20"/>
    <mergeCell ref="A28:B28"/>
    <mergeCell ref="A13:C13"/>
    <mergeCell ref="A14:C1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1"/>
  <sheetViews>
    <sheetView topLeftCell="A3" zoomScaleNormal="100" workbookViewId="0">
      <selection activeCell="M19" sqref="M19"/>
    </sheetView>
  </sheetViews>
  <sheetFormatPr baseColWidth="10" defaultRowHeight="15"/>
  <cols>
    <col min="5" max="5" width="12" bestFit="1" customWidth="1"/>
    <col min="10" max="10" width="13" bestFit="1" customWidth="1"/>
    <col min="11" max="11"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636</v>
      </c>
      <c r="H7" s="61"/>
    </row>
    <row r="8" spans="1:8">
      <c r="A8" s="60" t="s">
        <v>1792</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694" t="s">
        <v>486</v>
      </c>
      <c r="E11" s="65" t="s">
        <v>487</v>
      </c>
      <c r="F11" s="694" t="s">
        <v>488</v>
      </c>
      <c r="G11" s="693" t="s">
        <v>489</v>
      </c>
      <c r="H11" s="67"/>
    </row>
    <row r="12" spans="1:8">
      <c r="A12" s="1486" t="s">
        <v>1327</v>
      </c>
      <c r="B12" s="1487"/>
      <c r="C12" s="1488"/>
      <c r="D12" s="438"/>
      <c r="E12" s="439"/>
      <c r="F12" s="446"/>
      <c r="G12" s="447">
        <f>+H41*10%</f>
        <v>14481.785718233892</v>
      </c>
      <c r="H12" s="72"/>
    </row>
    <row r="13" spans="1:8">
      <c r="A13" s="1486" t="s">
        <v>1326</v>
      </c>
      <c r="B13" s="1487"/>
      <c r="C13" s="1488"/>
      <c r="D13" s="445" t="s">
        <v>6</v>
      </c>
      <c r="E13" s="511">
        <f>+'EQUIPOS '!D6</f>
        <v>5292.5</v>
      </c>
      <c r="F13" s="511">
        <v>1</v>
      </c>
      <c r="G13" s="434">
        <f>E13*F13</f>
        <v>5292.5</v>
      </c>
      <c r="H13" s="72"/>
    </row>
    <row r="14" spans="1:8">
      <c r="A14" s="1483" t="s">
        <v>1330</v>
      </c>
      <c r="B14" s="1484"/>
      <c r="C14" s="1485"/>
      <c r="D14" s="73" t="s">
        <v>17</v>
      </c>
      <c r="E14" s="73">
        <f>'EQUIPOS '!D7</f>
        <v>42340</v>
      </c>
      <c r="F14" s="97">
        <v>0.1</v>
      </c>
      <c r="G14" s="434">
        <f>E14*F14</f>
        <v>4234</v>
      </c>
      <c r="H14" s="72"/>
    </row>
    <row r="15" spans="1:8">
      <c r="A15" s="1463"/>
      <c r="B15" s="1464"/>
      <c r="C15" s="1465"/>
      <c r="D15" s="73"/>
      <c r="E15" s="74"/>
      <c r="F15" s="69"/>
      <c r="G15" s="71"/>
      <c r="H15" s="72"/>
    </row>
    <row r="16" spans="1:8">
      <c r="A16" s="1463"/>
      <c r="B16" s="1464"/>
      <c r="C16" s="1465"/>
      <c r="D16" s="73"/>
      <c r="E16" s="74"/>
      <c r="F16" s="69"/>
      <c r="G16" s="71"/>
      <c r="H16" s="72"/>
    </row>
    <row r="17" spans="1:11" ht="15.75" thickBot="1">
      <c r="A17" s="1466"/>
      <c r="B17" s="1467"/>
      <c r="C17" s="1468"/>
      <c r="D17" s="76"/>
      <c r="E17" s="77"/>
      <c r="F17" s="78"/>
      <c r="G17" s="79"/>
      <c r="H17" s="80"/>
    </row>
    <row r="18" spans="1:11" ht="15.75" thickBot="1">
      <c r="A18" s="61"/>
      <c r="B18" s="61"/>
      <c r="C18" s="61"/>
      <c r="D18" s="61"/>
      <c r="E18" s="61"/>
      <c r="F18" s="61"/>
      <c r="G18" s="81" t="s">
        <v>491</v>
      </c>
      <c r="H18" s="82">
        <f>SUM(G12:G17)</f>
        <v>24008.285718233892</v>
      </c>
    </row>
    <row r="19" spans="1:11" ht="15.75" thickBot="1">
      <c r="A19" s="63" t="s">
        <v>492</v>
      </c>
      <c r="B19" s="63"/>
      <c r="C19" s="61"/>
      <c r="D19" s="61"/>
      <c r="E19" s="61"/>
      <c r="F19" s="61"/>
      <c r="G19" s="61"/>
      <c r="H19" s="61"/>
    </row>
    <row r="20" spans="1:11">
      <c r="A20" s="1472" t="s">
        <v>485</v>
      </c>
      <c r="B20" s="1473"/>
      <c r="C20" s="1474"/>
      <c r="D20" s="697" t="s">
        <v>493</v>
      </c>
      <c r="E20" s="697" t="s">
        <v>494</v>
      </c>
      <c r="F20" s="697" t="s">
        <v>495</v>
      </c>
      <c r="G20" s="696" t="s">
        <v>489</v>
      </c>
      <c r="H20" s="67"/>
    </row>
    <row r="21" spans="1:11">
      <c r="A21" s="716" t="s">
        <v>201</v>
      </c>
      <c r="B21" s="717"/>
      <c r="C21" s="718"/>
      <c r="D21" s="502" t="s">
        <v>44</v>
      </c>
      <c r="E21" s="504">
        <f>MATERIALES!D24</f>
        <v>698.92899999999997</v>
      </c>
      <c r="F21" s="502">
        <v>450</v>
      </c>
      <c r="G21" s="454">
        <f>+E21*F21</f>
        <v>314518.05</v>
      </c>
      <c r="H21" s="72"/>
    </row>
    <row r="22" spans="1:11">
      <c r="A22" s="716" t="s">
        <v>73</v>
      </c>
      <c r="B22" s="717"/>
      <c r="C22" s="718"/>
      <c r="D22" s="502" t="s">
        <v>1328</v>
      </c>
      <c r="E22" s="502">
        <f>MATERIALES!D15</f>
        <v>32400</v>
      </c>
      <c r="F22" s="503">
        <v>0.67</v>
      </c>
      <c r="G22" s="454">
        <f>+E22*F22</f>
        <v>21708</v>
      </c>
      <c r="H22" s="440"/>
      <c r="J22" s="33"/>
    </row>
    <row r="23" spans="1:11">
      <c r="A23" s="716" t="s">
        <v>18</v>
      </c>
      <c r="B23" s="717"/>
      <c r="C23" s="718"/>
      <c r="D23" s="502" t="s">
        <v>1328</v>
      </c>
      <c r="E23" s="502">
        <f>MATERIALES!D62</f>
        <v>64800</v>
      </c>
      <c r="F23" s="503">
        <v>0.67</v>
      </c>
      <c r="G23" s="454">
        <f>+E23*F23</f>
        <v>43416</v>
      </c>
      <c r="H23" s="440"/>
    </row>
    <row r="24" spans="1:11">
      <c r="A24" s="716" t="s">
        <v>1323</v>
      </c>
      <c r="B24" s="717"/>
      <c r="C24" s="718"/>
      <c r="D24" s="502" t="s">
        <v>1695</v>
      </c>
      <c r="E24" s="502">
        <f>MATERIALES!D8</f>
        <v>68</v>
      </c>
      <c r="F24" s="502">
        <v>250</v>
      </c>
      <c r="G24" s="454">
        <f>+E24*F24</f>
        <v>17000</v>
      </c>
      <c r="H24" s="440"/>
    </row>
    <row r="25" spans="1:11" ht="15.75" thickBot="1">
      <c r="A25" s="719" t="s">
        <v>1325</v>
      </c>
      <c r="B25" s="720"/>
      <c r="C25" s="721"/>
      <c r="D25" s="435"/>
      <c r="E25" s="436"/>
      <c r="F25" s="437"/>
      <c r="G25" s="434">
        <f>SUM(G21:G24)*5%</f>
        <v>19832.102500000001</v>
      </c>
      <c r="H25" s="441"/>
      <c r="J25" s="33"/>
      <c r="K25" s="33"/>
    </row>
    <row r="26" spans="1:11" ht="15.75" thickBot="1">
      <c r="A26" s="442"/>
      <c r="B26" s="442"/>
      <c r="C26" s="442"/>
      <c r="D26" s="442"/>
      <c r="E26" s="442"/>
      <c r="F26" s="442"/>
      <c r="G26" s="443" t="s">
        <v>491</v>
      </c>
      <c r="H26" s="444">
        <f>SUM(G21:G25)</f>
        <v>416474.15249999997</v>
      </c>
    </row>
    <row r="27" spans="1:11" ht="15.75" thickBot="1">
      <c r="A27" s="92" t="s">
        <v>496</v>
      </c>
      <c r="B27" s="92"/>
      <c r="C27" s="90"/>
      <c r="D27" s="61"/>
      <c r="E27" s="61"/>
      <c r="F27" s="61"/>
      <c r="G27" s="61"/>
      <c r="H27" s="61"/>
    </row>
    <row r="28" spans="1:11">
      <c r="A28" s="1454" t="s">
        <v>497</v>
      </c>
      <c r="B28" s="1456"/>
      <c r="C28" s="93" t="s">
        <v>498</v>
      </c>
      <c r="D28" s="694" t="s">
        <v>499</v>
      </c>
      <c r="E28" s="694" t="s">
        <v>500</v>
      </c>
      <c r="F28" s="694" t="s">
        <v>501</v>
      </c>
      <c r="G28" s="94" t="s">
        <v>489</v>
      </c>
      <c r="H28" s="67"/>
    </row>
    <row r="29" spans="1:11">
      <c r="A29" s="83" t="s">
        <v>73</v>
      </c>
      <c r="B29" s="84"/>
      <c r="C29" s="450">
        <f>F22</f>
        <v>0.67</v>
      </c>
      <c r="D29" s="96">
        <v>8</v>
      </c>
      <c r="E29" s="96">
        <f>D29*C29</f>
        <v>5.36</v>
      </c>
      <c r="F29" s="97">
        <f>'EQUIPOS '!D31</f>
        <v>1060</v>
      </c>
      <c r="G29" s="69">
        <f>F29*E29</f>
        <v>5681.6</v>
      </c>
      <c r="H29" s="72"/>
    </row>
    <row r="30" spans="1:11">
      <c r="A30" s="83" t="s">
        <v>18</v>
      </c>
      <c r="B30" s="84"/>
      <c r="C30" s="521">
        <f>F23</f>
        <v>0.67</v>
      </c>
      <c r="D30" s="68">
        <v>8</v>
      </c>
      <c r="E30" s="96">
        <f>D30*C30</f>
        <v>5.36</v>
      </c>
      <c r="F30" s="97">
        <f>'EQUIPOS '!D31</f>
        <v>1060</v>
      </c>
      <c r="G30" s="69">
        <f>F30*E30</f>
        <v>5681.6</v>
      </c>
      <c r="H30" s="72"/>
    </row>
    <row r="31" spans="1:11">
      <c r="A31" s="505"/>
      <c r="B31" s="506"/>
      <c r="C31" s="507"/>
      <c r="D31" s="73"/>
      <c r="E31" s="448"/>
      <c r="F31" s="509"/>
      <c r="G31" s="449"/>
      <c r="H31" s="72"/>
    </row>
    <row r="32" spans="1:11">
      <c r="A32" s="505"/>
      <c r="B32" s="506"/>
      <c r="C32" s="507"/>
      <c r="D32" s="73"/>
      <c r="E32" s="508"/>
      <c r="F32" s="509"/>
      <c r="G32" s="510"/>
      <c r="H32" s="72"/>
    </row>
    <row r="33" spans="1:8" ht="15.75" thickBot="1">
      <c r="A33" s="100"/>
      <c r="B33" s="101"/>
      <c r="C33" s="76"/>
      <c r="D33" s="77"/>
      <c r="E33" s="78"/>
      <c r="F33" s="79"/>
      <c r="G33" s="76"/>
      <c r="H33" s="72"/>
    </row>
    <row r="34" spans="1:8" ht="15.75" thickBot="1">
      <c r="A34" s="61"/>
      <c r="B34" s="61"/>
      <c r="C34" s="61"/>
      <c r="D34" s="61"/>
      <c r="E34" s="61"/>
      <c r="F34" s="61"/>
      <c r="G34" s="81" t="s">
        <v>491</v>
      </c>
      <c r="H34" s="82">
        <f>SUM(G29:G33)</f>
        <v>11363.2</v>
      </c>
    </row>
    <row r="35" spans="1:8" ht="15.75" thickBot="1">
      <c r="A35" s="92" t="s">
        <v>502</v>
      </c>
      <c r="B35" s="92"/>
      <c r="C35" s="61"/>
      <c r="D35" s="61"/>
      <c r="E35" s="61"/>
      <c r="F35" s="61"/>
      <c r="G35" s="61"/>
      <c r="H35" s="61"/>
    </row>
    <row r="36" spans="1:8">
      <c r="A36" s="1454" t="s">
        <v>503</v>
      </c>
      <c r="B36" s="1456"/>
      <c r="C36" s="694" t="s">
        <v>504</v>
      </c>
      <c r="D36" s="694" t="s">
        <v>505</v>
      </c>
      <c r="E36" s="124" t="s">
        <v>506</v>
      </c>
      <c r="F36" s="102" t="s">
        <v>488</v>
      </c>
      <c r="G36" s="693" t="s">
        <v>489</v>
      </c>
      <c r="H36" s="67"/>
    </row>
    <row r="37" spans="1:8">
      <c r="A37" s="83" t="s">
        <v>624</v>
      </c>
      <c r="B37" s="84"/>
      <c r="C37" s="103">
        <f>+SALARIOS!C50</f>
        <v>41660</v>
      </c>
      <c r="D37" s="104">
        <f>+SALARIOS!C48</f>
        <v>1.7846558312967005</v>
      </c>
      <c r="E37" s="69">
        <f>+C37*D37</f>
        <v>74348.76193182054</v>
      </c>
      <c r="F37" s="161">
        <v>5</v>
      </c>
      <c r="G37" s="105">
        <f>+E37/F37</f>
        <v>14869.752386364107</v>
      </c>
      <c r="H37" s="72"/>
    </row>
    <row r="38" spans="1:8">
      <c r="A38" s="83" t="s">
        <v>629</v>
      </c>
      <c r="B38" s="84"/>
      <c r="C38" s="103">
        <f>+SALARIOS!C49*4</f>
        <v>102288</v>
      </c>
      <c r="D38" s="104">
        <f>+SALARIOS!C48</f>
        <v>1.7846558312967005</v>
      </c>
      <c r="E38" s="69">
        <f>+C38*D38</f>
        <v>182548.87567167688</v>
      </c>
      <c r="F38" s="70">
        <v>1.6680174868755648</v>
      </c>
      <c r="G38" s="105">
        <f>+E38/F38</f>
        <v>109440.62463854442</v>
      </c>
      <c r="H38" s="72"/>
    </row>
    <row r="39" spans="1:8">
      <c r="A39" s="83" t="s">
        <v>633</v>
      </c>
      <c r="B39" s="84"/>
      <c r="C39" s="103">
        <f>SALARIOS!C51</f>
        <v>57455</v>
      </c>
      <c r="D39" s="104">
        <f>+SALARIOS!C48</f>
        <v>1.7846558312967005</v>
      </c>
      <c r="E39" s="69">
        <f>+C39*D39</f>
        <v>102537.40078715193</v>
      </c>
      <c r="F39" s="161">
        <v>5</v>
      </c>
      <c r="G39" s="105">
        <f>+E39/F39</f>
        <v>20507.480157430386</v>
      </c>
      <c r="H39" s="72"/>
    </row>
    <row r="40" spans="1:8" ht="15.75" thickBot="1">
      <c r="A40" s="100"/>
      <c r="B40" s="106"/>
      <c r="C40" s="77"/>
      <c r="D40" s="91"/>
      <c r="E40" s="143"/>
      <c r="F40" s="91"/>
      <c r="G40" s="90"/>
      <c r="H40" s="80"/>
    </row>
    <row r="41" spans="1:8" ht="15.75" thickBot="1">
      <c r="A41" s="61"/>
      <c r="B41" s="61"/>
      <c r="C41" s="61"/>
      <c r="D41" s="61"/>
      <c r="E41" s="61"/>
      <c r="F41" s="61"/>
      <c r="G41" s="81" t="s">
        <v>491</v>
      </c>
      <c r="H41" s="82">
        <f>SUM(G37:G40)</f>
        <v>144817.85718233892</v>
      </c>
    </row>
    <row r="42" spans="1:8" ht="15.75" thickBot="1">
      <c r="A42" s="61"/>
      <c r="B42" s="61"/>
      <c r="C42" s="61"/>
      <c r="D42" s="61"/>
      <c r="E42" s="61"/>
      <c r="F42" s="61"/>
      <c r="G42" s="107"/>
      <c r="H42" s="58"/>
    </row>
    <row r="43" spans="1:8" ht="15.75" thickBot="1">
      <c r="A43" s="61"/>
      <c r="B43" s="61"/>
      <c r="C43" s="61"/>
      <c r="D43" s="61"/>
      <c r="E43" s="108" t="s">
        <v>508</v>
      </c>
      <c r="F43" s="109"/>
      <c r="G43" s="109"/>
      <c r="H43" s="82">
        <f>H18+H26+H34+H41</f>
        <v>596663.49540057278</v>
      </c>
    </row>
    <row r="44" spans="1:8" ht="15.75" thickBot="1">
      <c r="A44" s="63" t="s">
        <v>509</v>
      </c>
      <c r="B44" s="63"/>
      <c r="C44" s="61"/>
      <c r="D44" s="61"/>
      <c r="E44" s="61"/>
      <c r="F44" s="61"/>
      <c r="G44" s="61"/>
      <c r="H44" s="61"/>
    </row>
    <row r="45" spans="1:8">
      <c r="A45" s="110" t="s">
        <v>485</v>
      </c>
      <c r="B45" s="111"/>
      <c r="C45" s="111"/>
      <c r="D45" s="111"/>
      <c r="E45" s="112"/>
      <c r="F45" s="697" t="s">
        <v>510</v>
      </c>
      <c r="G45" s="696" t="s">
        <v>511</v>
      </c>
      <c r="H45" s="67"/>
    </row>
    <row r="46" spans="1:8">
      <c r="A46" s="83" t="s">
        <v>512</v>
      </c>
      <c r="B46" s="84"/>
      <c r="C46" s="84"/>
      <c r="D46" s="84"/>
      <c r="E46" s="85"/>
      <c r="F46" s="115">
        <f>(SALARIOS!C45)</f>
        <v>0.15</v>
      </c>
      <c r="G46" s="116">
        <f>++F46*H43</f>
        <v>89499.524310085908</v>
      </c>
      <c r="H46" s="117"/>
    </row>
    <row r="47" spans="1:8">
      <c r="A47" s="83" t="s">
        <v>513</v>
      </c>
      <c r="B47" s="84"/>
      <c r="C47" s="84"/>
      <c r="D47" s="84"/>
      <c r="E47" s="85"/>
      <c r="F47" s="115">
        <f>(SALARIOS!C46)</f>
        <v>0.05</v>
      </c>
      <c r="G47" s="116">
        <f>+F47*H43</f>
        <v>29833.17477002864</v>
      </c>
      <c r="H47" s="117"/>
    </row>
    <row r="48" spans="1:8" ht="15.75" thickBot="1">
      <c r="A48" s="89" t="s">
        <v>514</v>
      </c>
      <c r="B48" s="90"/>
      <c r="C48" s="90"/>
      <c r="D48" s="90"/>
      <c r="E48" s="91"/>
      <c r="F48" s="118">
        <f>SALARIOS!C47</f>
        <v>0.05</v>
      </c>
      <c r="G48" s="119">
        <f>+F48*H43</f>
        <v>29833.17477002864</v>
      </c>
      <c r="H48" s="80"/>
    </row>
    <row r="49" spans="1:8" ht="15.75" thickBot="1">
      <c r="A49" s="61"/>
      <c r="B49" s="61"/>
      <c r="C49" s="61"/>
      <c r="D49" s="61"/>
      <c r="E49" s="61"/>
      <c r="F49" s="61"/>
      <c r="G49" s="81" t="s">
        <v>491</v>
      </c>
      <c r="H49" s="120">
        <f>SUM(G46:G48)</f>
        <v>149165.87385014319</v>
      </c>
    </row>
    <row r="50" spans="1:8" ht="15.75" thickBot="1">
      <c r="A50" s="61"/>
      <c r="B50" s="61"/>
      <c r="C50" s="61"/>
      <c r="D50" s="61"/>
      <c r="E50" s="61"/>
      <c r="F50" s="61"/>
      <c r="G50" s="61"/>
      <c r="H50" s="61"/>
    </row>
    <row r="51" spans="1:8" ht="15.75" thickBot="1">
      <c r="A51" s="16"/>
      <c r="B51" s="16"/>
      <c r="C51" s="61"/>
      <c r="D51" s="108" t="s">
        <v>515</v>
      </c>
      <c r="E51" s="109"/>
      <c r="F51" s="109"/>
      <c r="G51" s="109"/>
      <c r="H51" s="82">
        <f>ROUND((H43+H49),0)</f>
        <v>745829</v>
      </c>
    </row>
  </sheetData>
  <mergeCells count="13">
    <mergeCell ref="A13:C13"/>
    <mergeCell ref="A3:C4"/>
    <mergeCell ref="A5:C5"/>
    <mergeCell ref="D5:H5"/>
    <mergeCell ref="A11:C11"/>
    <mergeCell ref="A12:C12"/>
    <mergeCell ref="A36:B36"/>
    <mergeCell ref="A14:C14"/>
    <mergeCell ref="A15:C15"/>
    <mergeCell ref="A16:C16"/>
    <mergeCell ref="A17:C17"/>
    <mergeCell ref="A20:C20"/>
    <mergeCell ref="A28:B28"/>
  </mergeCells>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J37"/>
  <sheetViews>
    <sheetView topLeftCell="A13" workbookViewId="0">
      <selection activeCell="D31" sqref="D31"/>
    </sheetView>
  </sheetViews>
  <sheetFormatPr baseColWidth="10" defaultRowHeight="15"/>
  <cols>
    <col min="1" max="1" width="4.7109375" customWidth="1"/>
    <col min="2" max="2" width="51.140625" customWidth="1"/>
    <col min="3" max="3" width="10.28515625" customWidth="1"/>
    <col min="4" max="4" width="16" customWidth="1"/>
    <col min="5" max="6" width="16" style="17" customWidth="1"/>
    <col min="7" max="9" width="11.42578125" style="17"/>
  </cols>
  <sheetData>
    <row r="1" spans="1:10" ht="15.75" customHeight="1" thickBot="1">
      <c r="A1" s="1394" t="s">
        <v>1946</v>
      </c>
      <c r="B1" s="1395"/>
      <c r="C1" s="1395"/>
      <c r="D1" s="1395"/>
      <c r="E1" s="1395"/>
      <c r="F1" s="1396"/>
    </row>
    <row r="2" spans="1:10" ht="15.75" thickBot="1">
      <c r="A2" s="462" t="s">
        <v>534</v>
      </c>
      <c r="B2" s="462" t="s">
        <v>460</v>
      </c>
      <c r="C2" s="462" t="s">
        <v>0</v>
      </c>
      <c r="D2" s="462" t="s">
        <v>1576</v>
      </c>
      <c r="E2" s="462" t="s">
        <v>1620</v>
      </c>
      <c r="F2" s="455" t="s">
        <v>1932</v>
      </c>
    </row>
    <row r="3" spans="1:10">
      <c r="A3" s="907" t="s">
        <v>1619</v>
      </c>
      <c r="B3" s="1050" t="s">
        <v>1927</v>
      </c>
      <c r="C3" s="1051" t="s">
        <v>379</v>
      </c>
      <c r="D3" s="1124">
        <f>AVERAGE(E3:F3)</f>
        <v>87000</v>
      </c>
      <c r="E3" s="1052">
        <f>75000*1.16</f>
        <v>87000</v>
      </c>
      <c r="F3" s="1122">
        <f>75000*1.16</f>
        <v>87000</v>
      </c>
    </row>
    <row r="4" spans="1:10">
      <c r="A4" s="517" t="s">
        <v>1619</v>
      </c>
      <c r="B4" s="915" t="s">
        <v>380</v>
      </c>
      <c r="C4" s="942" t="s">
        <v>379</v>
      </c>
      <c r="D4" s="1125">
        <f>AVERAGE(E4:F4)</f>
        <v>87000</v>
      </c>
      <c r="E4" s="1084">
        <f>75000*1.16</f>
        <v>87000</v>
      </c>
      <c r="F4" s="1141"/>
    </row>
    <row r="5" spans="1:10">
      <c r="A5" s="477"/>
      <c r="B5" s="892" t="s">
        <v>381</v>
      </c>
      <c r="C5" s="896" t="s">
        <v>379</v>
      </c>
      <c r="D5" s="1126">
        <v>70000</v>
      </c>
      <c r="E5" s="903">
        <f>70000*1.16</f>
        <v>81200</v>
      </c>
      <c r="F5" s="1142"/>
    </row>
    <row r="6" spans="1:10">
      <c r="A6" s="517" t="s">
        <v>1619</v>
      </c>
      <c r="B6" s="915" t="s">
        <v>1925</v>
      </c>
      <c r="C6" s="942" t="s">
        <v>379</v>
      </c>
      <c r="D6" s="1125">
        <f>AVERAGE(E6:F6)/8</f>
        <v>5292.5</v>
      </c>
      <c r="E6" s="1053">
        <f>38000*1.16</f>
        <v>44080</v>
      </c>
      <c r="F6" s="1143">
        <f>35000*1.16</f>
        <v>40600</v>
      </c>
    </row>
    <row r="7" spans="1:10">
      <c r="A7" s="517" t="s">
        <v>1619</v>
      </c>
      <c r="B7" s="915" t="s">
        <v>1926</v>
      </c>
      <c r="C7" s="942" t="s">
        <v>60</v>
      </c>
      <c r="D7" s="1125">
        <f>AVERAGE(E7:F7)</f>
        <v>42340</v>
      </c>
      <c r="E7" s="1053">
        <f>38000*1.16</f>
        <v>44080</v>
      </c>
      <c r="F7" s="1144">
        <f>35000*1.16</f>
        <v>40600</v>
      </c>
    </row>
    <row r="8" spans="1:10">
      <c r="A8" s="517" t="s">
        <v>1619</v>
      </c>
      <c r="B8" s="915" t="s">
        <v>1637</v>
      </c>
      <c r="C8" s="942" t="s">
        <v>1</v>
      </c>
      <c r="D8" s="1127">
        <f>AVERAGE(E8:F8)</f>
        <v>4640</v>
      </c>
      <c r="E8" s="1053">
        <f>4000*1.16</f>
        <v>4640</v>
      </c>
      <c r="F8" s="1144">
        <f>4000*1.16</f>
        <v>4640</v>
      </c>
    </row>
    <row r="9" spans="1:10" s="456" customFormat="1">
      <c r="A9" s="517" t="s">
        <v>1619</v>
      </c>
      <c r="B9" s="915" t="s">
        <v>1924</v>
      </c>
      <c r="C9" s="942" t="s">
        <v>60</v>
      </c>
      <c r="D9" s="1125">
        <f>AVERAGE(E9:F9)</f>
        <v>84100</v>
      </c>
      <c r="E9" s="1120">
        <f>75000*1.16</f>
        <v>87000</v>
      </c>
      <c r="F9" s="1143">
        <f>70000*1.16</f>
        <v>81200</v>
      </c>
      <c r="G9" s="580"/>
      <c r="H9" s="580"/>
      <c r="I9" s="31"/>
      <c r="J9" s="888"/>
    </row>
    <row r="10" spans="1:10" s="456" customFormat="1">
      <c r="A10" s="517" t="s">
        <v>1928</v>
      </c>
      <c r="B10" s="1055" t="s">
        <v>469</v>
      </c>
      <c r="C10" s="1007" t="s">
        <v>1931</v>
      </c>
      <c r="D10" s="1121">
        <f>E10</f>
        <v>87000</v>
      </c>
      <c r="E10" s="1149">
        <f>75000*1.16</f>
        <v>87000</v>
      </c>
      <c r="F10" s="1122">
        <f>75000*1.16</f>
        <v>87000</v>
      </c>
      <c r="G10" s="580"/>
      <c r="H10" s="580"/>
      <c r="I10" s="31"/>
    </row>
    <row r="11" spans="1:10" s="456" customFormat="1">
      <c r="A11" s="622"/>
      <c r="B11" s="893" t="s">
        <v>1965</v>
      </c>
      <c r="C11" s="897" t="s">
        <v>1</v>
      </c>
      <c r="D11" s="1128">
        <v>1500</v>
      </c>
      <c r="E11" s="1123"/>
      <c r="F11" s="1145"/>
      <c r="G11" s="580"/>
      <c r="H11" s="580"/>
      <c r="I11" s="31"/>
    </row>
    <row r="12" spans="1:10" s="456" customFormat="1">
      <c r="A12" s="622" t="s">
        <v>1619</v>
      </c>
      <c r="B12" s="892" t="s">
        <v>382</v>
      </c>
      <c r="C12" s="896" t="s">
        <v>379</v>
      </c>
      <c r="D12" s="1129">
        <f>E12</f>
        <v>115999.99999999999</v>
      </c>
      <c r="E12" s="904">
        <f>100000*1.16</f>
        <v>115999.99999999999</v>
      </c>
      <c r="F12" s="1146"/>
      <c r="G12" s="31"/>
      <c r="H12" s="31"/>
      <c r="I12" s="31"/>
    </row>
    <row r="13" spans="1:10" s="456" customFormat="1">
      <c r="A13" s="517" t="s">
        <v>1619</v>
      </c>
      <c r="B13" s="1055" t="s">
        <v>472</v>
      </c>
      <c r="C13" s="1007" t="s">
        <v>60</v>
      </c>
      <c r="D13" s="1121">
        <f>AVERAGE(E13:F13)</f>
        <v>42340</v>
      </c>
      <c r="E13" s="1053">
        <f>38000*1.16</f>
        <v>44080</v>
      </c>
      <c r="F13" s="1143">
        <f>35000*1.16</f>
        <v>40600</v>
      </c>
      <c r="G13" s="31"/>
      <c r="H13" s="31"/>
      <c r="I13" s="31"/>
    </row>
    <row r="14" spans="1:10" s="456" customFormat="1">
      <c r="A14" s="517" t="s">
        <v>1619</v>
      </c>
      <c r="B14" s="915" t="s">
        <v>1803</v>
      </c>
      <c r="C14" s="942" t="s">
        <v>60</v>
      </c>
      <c r="D14" s="1125">
        <f>AVERAGE(E14:F14)</f>
        <v>44660</v>
      </c>
      <c r="E14" s="1053">
        <f>42000*1.16</f>
        <v>48720</v>
      </c>
      <c r="F14" s="1143">
        <f>35000*1.16</f>
        <v>40600</v>
      </c>
      <c r="G14" s="31"/>
      <c r="H14" s="31"/>
      <c r="I14" s="31"/>
    </row>
    <row r="15" spans="1:10" s="456" customFormat="1">
      <c r="A15" s="622" t="s">
        <v>1928</v>
      </c>
      <c r="B15" s="892" t="s">
        <v>385</v>
      </c>
      <c r="C15" s="896" t="s">
        <v>379</v>
      </c>
      <c r="D15" s="1126">
        <v>100000</v>
      </c>
      <c r="E15" s="905"/>
      <c r="F15" s="1146"/>
      <c r="G15" s="31"/>
      <c r="H15" s="31"/>
      <c r="I15" s="31"/>
    </row>
    <row r="16" spans="1:10" s="456" customFormat="1">
      <c r="A16" s="517" t="s">
        <v>1619</v>
      </c>
      <c r="B16" s="915" t="s">
        <v>388</v>
      </c>
      <c r="C16" s="942" t="s">
        <v>60</v>
      </c>
      <c r="D16" s="1130">
        <f>F16</f>
        <v>40600</v>
      </c>
      <c r="E16" s="1053">
        <f>38000*1.16</f>
        <v>44080</v>
      </c>
      <c r="F16" s="1143">
        <f>35000*1.16</f>
        <v>40600</v>
      </c>
      <c r="G16" s="31"/>
      <c r="H16" s="31"/>
      <c r="I16" s="31"/>
    </row>
    <row r="17" spans="1:9" s="456" customFormat="1">
      <c r="A17" s="517" t="s">
        <v>1619</v>
      </c>
      <c r="B17" s="915" t="s">
        <v>389</v>
      </c>
      <c r="C17" s="942" t="s">
        <v>60</v>
      </c>
      <c r="D17" s="1131">
        <f>AVERAGE(E17:F17)</f>
        <v>89900</v>
      </c>
      <c r="E17" s="1053">
        <f>85000*1.16</f>
        <v>98600</v>
      </c>
      <c r="F17" s="1143">
        <f>70000*1.16</f>
        <v>81200</v>
      </c>
      <c r="G17" s="31"/>
      <c r="H17" s="31"/>
      <c r="I17" s="31"/>
    </row>
    <row r="18" spans="1:9" s="456" customFormat="1">
      <c r="A18" s="517" t="s">
        <v>1619</v>
      </c>
      <c r="B18" s="915" t="s">
        <v>1577</v>
      </c>
      <c r="C18" s="1007" t="s">
        <v>1931</v>
      </c>
      <c r="D18" s="1132">
        <f>AVERAGE(E18:F18)/8</f>
        <v>11237.5</v>
      </c>
      <c r="E18" s="1086">
        <f>80000*1.16</f>
        <v>92800</v>
      </c>
      <c r="F18" s="1141">
        <f>75000*1.16</f>
        <v>87000</v>
      </c>
      <c r="G18" s="31"/>
      <c r="H18" s="31"/>
      <c r="I18" s="906"/>
    </row>
    <row r="19" spans="1:9" s="456" customFormat="1">
      <c r="A19" s="517" t="s">
        <v>1619</v>
      </c>
      <c r="B19" s="1055" t="s">
        <v>461</v>
      </c>
      <c r="C19" s="1007" t="s">
        <v>1931</v>
      </c>
      <c r="D19" s="1133">
        <f>AVERAGE(E19:F19)/8</f>
        <v>21061.25</v>
      </c>
      <c r="E19" s="1001">
        <f>180000*1.16</f>
        <v>208800</v>
      </c>
      <c r="F19" s="1143">
        <f>110500*1.16</f>
        <v>128179.99999999999</v>
      </c>
      <c r="G19" s="31"/>
      <c r="H19" s="31"/>
      <c r="I19" s="31"/>
    </row>
    <row r="20" spans="1:9" s="456" customFormat="1">
      <c r="A20" s="889"/>
      <c r="B20" s="891" t="s">
        <v>462</v>
      </c>
      <c r="C20" s="897" t="s">
        <v>1931</v>
      </c>
      <c r="D20" s="1134">
        <v>18400</v>
      </c>
      <c r="E20" s="622"/>
      <c r="F20" s="1146"/>
      <c r="G20" s="31"/>
      <c r="H20" s="31"/>
      <c r="I20" s="31"/>
    </row>
    <row r="21" spans="1:9" s="456" customFormat="1">
      <c r="A21" s="889"/>
      <c r="B21" s="891" t="s">
        <v>463</v>
      </c>
      <c r="C21" s="897" t="s">
        <v>1931</v>
      </c>
      <c r="D21" s="1134">
        <v>85950</v>
      </c>
      <c r="E21" s="622"/>
      <c r="F21" s="1146"/>
      <c r="G21" s="31"/>
      <c r="H21" s="31"/>
      <c r="I21" s="31"/>
    </row>
    <row r="22" spans="1:9" s="456" customFormat="1">
      <c r="A22" s="889"/>
      <c r="B22" s="891" t="s">
        <v>464</v>
      </c>
      <c r="C22" s="897" t="s">
        <v>1931</v>
      </c>
      <c r="D22" s="1134">
        <v>75840</v>
      </c>
      <c r="E22" s="622"/>
      <c r="F22" s="1146"/>
      <c r="G22" s="31"/>
      <c r="H22" s="31"/>
      <c r="I22" s="31"/>
    </row>
    <row r="23" spans="1:9" s="456" customFormat="1">
      <c r="A23" s="889"/>
      <c r="B23" s="891" t="s">
        <v>465</v>
      </c>
      <c r="C23" s="897" t="s">
        <v>1931</v>
      </c>
      <c r="D23" s="1134">
        <v>87970</v>
      </c>
      <c r="E23" s="622"/>
      <c r="F23" s="1146"/>
      <c r="G23" s="31"/>
      <c r="H23" s="31"/>
      <c r="I23" s="31"/>
    </row>
    <row r="24" spans="1:9" s="456" customFormat="1">
      <c r="A24" s="889"/>
      <c r="B24" s="891" t="s">
        <v>466</v>
      </c>
      <c r="C24" s="897" t="s">
        <v>1931</v>
      </c>
      <c r="D24" s="1134">
        <v>45500</v>
      </c>
      <c r="E24" s="622"/>
      <c r="F24" s="1146"/>
      <c r="G24" s="31"/>
      <c r="H24" s="31"/>
      <c r="I24" s="31"/>
    </row>
    <row r="25" spans="1:9" s="456" customFormat="1">
      <c r="A25" s="889"/>
      <c r="B25" s="891" t="s">
        <v>467</v>
      </c>
      <c r="C25" s="897" t="s">
        <v>1931</v>
      </c>
      <c r="D25" s="1134">
        <v>5050</v>
      </c>
      <c r="E25" s="622"/>
      <c r="F25" s="1146"/>
      <c r="G25" s="31"/>
      <c r="H25" s="31"/>
      <c r="I25" s="31"/>
    </row>
    <row r="26" spans="1:9" s="456" customFormat="1">
      <c r="A26" s="890" t="s">
        <v>1928</v>
      </c>
      <c r="B26" s="1055" t="s">
        <v>1947</v>
      </c>
      <c r="C26" s="1007" t="s">
        <v>60</v>
      </c>
      <c r="D26" s="1135">
        <f>AVERAGE(E26:F26)</f>
        <v>23200</v>
      </c>
      <c r="E26" s="1054">
        <f>20000*1.16</f>
        <v>23200</v>
      </c>
      <c r="F26" s="1147"/>
      <c r="G26" s="31"/>
      <c r="H26" s="31"/>
      <c r="I26" s="31"/>
    </row>
    <row r="27" spans="1:9" s="456" customFormat="1">
      <c r="A27" s="889"/>
      <c r="B27" s="891" t="s">
        <v>468</v>
      </c>
      <c r="C27" s="897" t="s">
        <v>1945</v>
      </c>
      <c r="D27" s="1128">
        <v>5550</v>
      </c>
      <c r="E27" s="622"/>
      <c r="F27" s="1146"/>
      <c r="G27" s="31"/>
      <c r="H27" s="31"/>
      <c r="I27" s="31"/>
    </row>
    <row r="28" spans="1:9" s="456" customFormat="1">
      <c r="A28" s="889"/>
      <c r="B28" s="891" t="s">
        <v>1269</v>
      </c>
      <c r="C28" s="897" t="s">
        <v>379</v>
      </c>
      <c r="D28" s="1136">
        <v>70000</v>
      </c>
      <c r="E28" s="622"/>
      <c r="F28" s="1146"/>
      <c r="G28" s="31"/>
      <c r="H28" s="31"/>
      <c r="I28" s="31"/>
    </row>
    <row r="29" spans="1:9" s="456" customFormat="1">
      <c r="A29" s="890" t="s">
        <v>1928</v>
      </c>
      <c r="B29" s="1055" t="s">
        <v>382</v>
      </c>
      <c r="C29" s="1007" t="s">
        <v>1931</v>
      </c>
      <c r="D29" s="1137">
        <f>AVERAGE(E29:F29)</f>
        <v>130000</v>
      </c>
      <c r="E29" s="904"/>
      <c r="F29" s="1141">
        <f>130000</f>
        <v>130000</v>
      </c>
      <c r="G29" s="31"/>
      <c r="H29" s="31"/>
      <c r="I29" s="31"/>
    </row>
    <row r="30" spans="1:9" s="456" customFormat="1">
      <c r="A30" s="890" t="s">
        <v>1929</v>
      </c>
      <c r="B30" s="894" t="s">
        <v>471</v>
      </c>
      <c r="C30" s="898" t="s">
        <v>1931</v>
      </c>
      <c r="D30" s="1138">
        <v>141600</v>
      </c>
      <c r="E30" s="622"/>
      <c r="F30" s="1146"/>
      <c r="G30" s="31"/>
      <c r="H30" s="31"/>
      <c r="I30" s="31"/>
    </row>
    <row r="31" spans="1:9" s="456" customFormat="1" ht="15" customHeight="1">
      <c r="A31" s="890" t="s">
        <v>1619</v>
      </c>
      <c r="B31" s="1055" t="s">
        <v>1953</v>
      </c>
      <c r="C31" s="1007" t="s">
        <v>5</v>
      </c>
      <c r="D31" s="1133">
        <f>AVERAGE(E31:F31)</f>
        <v>1060</v>
      </c>
      <c r="E31" s="1001">
        <v>960</v>
      </c>
      <c r="F31" s="1143">
        <f>1000*1.16</f>
        <v>1160</v>
      </c>
      <c r="G31" s="31"/>
      <c r="H31" s="31"/>
      <c r="I31" s="31"/>
    </row>
    <row r="32" spans="1:9" s="456" customFormat="1" ht="15" customHeight="1">
      <c r="A32" s="622"/>
      <c r="B32" s="895" t="s">
        <v>1621</v>
      </c>
      <c r="C32" s="899" t="s">
        <v>60</v>
      </c>
      <c r="D32" s="1139">
        <v>30000</v>
      </c>
      <c r="E32" s="622"/>
      <c r="F32" s="1146"/>
      <c r="G32" s="31"/>
      <c r="H32" s="31"/>
      <c r="I32" s="31"/>
    </row>
    <row r="33" spans="1:9" s="456" customFormat="1" ht="15" customHeight="1">
      <c r="A33" s="891"/>
      <c r="B33" s="893" t="s">
        <v>626</v>
      </c>
      <c r="C33" s="851" t="s">
        <v>1492</v>
      </c>
      <c r="D33" s="1128">
        <v>5000</v>
      </c>
      <c r="E33" s="622"/>
      <c r="F33" s="1146"/>
      <c r="G33" s="31"/>
      <c r="H33" s="31"/>
      <c r="I33" s="31"/>
    </row>
    <row r="34" spans="1:9" s="456" customFormat="1" ht="15" customHeight="1">
      <c r="A34" s="891"/>
      <c r="B34" s="893" t="s">
        <v>664</v>
      </c>
      <c r="C34" s="897"/>
      <c r="D34" s="1128">
        <v>45</v>
      </c>
      <c r="E34" s="622"/>
      <c r="F34" s="1146"/>
      <c r="G34" s="31"/>
      <c r="H34" s="31"/>
      <c r="I34" s="31"/>
    </row>
    <row r="35" spans="1:9" s="456" customFormat="1" ht="15" customHeight="1">
      <c r="A35" s="622"/>
      <c r="B35" s="893" t="s">
        <v>666</v>
      </c>
      <c r="C35" s="897"/>
      <c r="D35" s="1128">
        <v>272.73</v>
      </c>
      <c r="E35" s="622"/>
      <c r="F35" s="1146"/>
      <c r="G35" s="31"/>
      <c r="H35" s="31"/>
      <c r="I35" s="31"/>
    </row>
    <row r="36" spans="1:9" s="456" customFormat="1" ht="15" customHeight="1">
      <c r="A36" s="622"/>
      <c r="B36" s="893" t="s">
        <v>665</v>
      </c>
      <c r="C36" s="897"/>
      <c r="D36" s="1128">
        <v>225</v>
      </c>
      <c r="E36" s="622"/>
      <c r="F36" s="1146"/>
      <c r="G36" s="31"/>
      <c r="H36" s="31"/>
      <c r="I36" s="31"/>
    </row>
    <row r="37" spans="1:9" ht="15.75" thickBot="1">
      <c r="A37" s="480"/>
      <c r="B37" s="480" t="s">
        <v>949</v>
      </c>
      <c r="C37" s="475" t="s">
        <v>1930</v>
      </c>
      <c r="D37" s="1140">
        <v>50000</v>
      </c>
      <c r="E37" s="480"/>
      <c r="F37" s="1148"/>
    </row>
  </sheetData>
  <mergeCells count="1">
    <mergeCell ref="A1:F1"/>
  </mergeCells>
  <conditionalFormatting sqref="D13 D30">
    <cfRule type="cellIs" dxfId="1" priority="1" stopIfTrue="1" operator="equal">
      <formula>#REF!</formula>
    </cfRule>
  </conditionalFormatting>
  <conditionalFormatting sqref="D13 D30">
    <cfRule type="cellIs" dxfId="0" priority="3" stopIfTrue="1" operator="equal">
      <formula>#REF!</formula>
    </cfRule>
  </conditionalFormatting>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topLeftCell="A22" zoomScaleNormal="100" workbookViewId="0">
      <selection activeCell="D16" sqref="D16"/>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636</v>
      </c>
      <c r="H7" s="61"/>
    </row>
    <row r="8" spans="1:8">
      <c r="A8" s="60" t="s">
        <v>637</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2" t="s">
        <v>486</v>
      </c>
      <c r="E11" s="65" t="s">
        <v>487</v>
      </c>
      <c r="F11" s="182" t="s">
        <v>488</v>
      </c>
      <c r="G11" s="181" t="s">
        <v>489</v>
      </c>
      <c r="H11" s="67"/>
    </row>
    <row r="12" spans="1:8">
      <c r="A12" s="1480" t="s">
        <v>1327</v>
      </c>
      <c r="B12" s="1481"/>
      <c r="C12" s="1482"/>
      <c r="D12" s="68"/>
      <c r="E12" s="86"/>
      <c r="F12" s="161"/>
      <c r="G12" s="71">
        <f>H39*10%</f>
        <v>14481.785718233892</v>
      </c>
      <c r="H12" s="72"/>
    </row>
    <row r="13" spans="1:8">
      <c r="A13" s="1463" t="s">
        <v>1326</v>
      </c>
      <c r="B13" s="1464"/>
      <c r="C13" s="1465"/>
      <c r="D13" s="68" t="s">
        <v>6</v>
      </c>
      <c r="E13" s="69">
        <f>'EQUIPOS '!D6</f>
        <v>5292.5</v>
      </c>
      <c r="F13" s="156">
        <v>1</v>
      </c>
      <c r="G13" s="71">
        <f>+E13*F13</f>
        <v>5292.5</v>
      </c>
      <c r="H13" s="72"/>
    </row>
    <row r="14" spans="1:8">
      <c r="A14" s="1483" t="s">
        <v>1330</v>
      </c>
      <c r="B14" s="1484"/>
      <c r="C14" s="1485"/>
      <c r="D14" s="73" t="s">
        <v>17</v>
      </c>
      <c r="E14" s="769">
        <f>'EQUIPOS '!D7</f>
        <v>42340</v>
      </c>
      <c r="F14" s="97">
        <v>0.1</v>
      </c>
      <c r="G14" s="434">
        <f>E14*F14</f>
        <v>4234</v>
      </c>
      <c r="H14" s="72"/>
    </row>
    <row r="15" spans="1:8">
      <c r="A15" s="175" t="s">
        <v>626</v>
      </c>
      <c r="B15" s="176"/>
      <c r="C15" s="174"/>
      <c r="D15" s="174" t="s">
        <v>1809</v>
      </c>
      <c r="E15" s="173">
        <f>MATERIALES!D33</f>
        <v>1392</v>
      </c>
      <c r="F15" s="97">
        <v>2</v>
      </c>
      <c r="G15" s="173">
        <f>E15*F15</f>
        <v>2784</v>
      </c>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26792.285718233892</v>
      </c>
    </row>
    <row r="19" spans="1:8" ht="15.75" thickBot="1">
      <c r="A19" s="63" t="s">
        <v>492</v>
      </c>
      <c r="B19" s="63"/>
      <c r="C19" s="61"/>
      <c r="D19" s="61"/>
      <c r="E19" s="61"/>
      <c r="F19" s="61"/>
      <c r="G19" s="61"/>
      <c r="H19" s="61"/>
    </row>
    <row r="20" spans="1:8">
      <c r="A20" s="1472" t="s">
        <v>485</v>
      </c>
      <c r="B20" s="1473"/>
      <c r="C20" s="1474"/>
      <c r="D20" s="699" t="s">
        <v>493</v>
      </c>
      <c r="E20" s="699" t="s">
        <v>494</v>
      </c>
      <c r="F20" s="699" t="s">
        <v>495</v>
      </c>
      <c r="G20" s="452" t="s">
        <v>489</v>
      </c>
      <c r="H20" s="684"/>
    </row>
    <row r="21" spans="1:8">
      <c r="A21" s="716" t="s">
        <v>201</v>
      </c>
      <c r="B21" s="717"/>
      <c r="C21" s="718"/>
      <c r="D21" s="502" t="s">
        <v>44</v>
      </c>
      <c r="E21" s="504">
        <f>MATERIALES!D24</f>
        <v>698.92899999999997</v>
      </c>
      <c r="F21" s="503">
        <v>450</v>
      </c>
      <c r="G21" s="701">
        <f>+E21*F21</f>
        <v>314518.05</v>
      </c>
      <c r="H21" s="59"/>
    </row>
    <row r="22" spans="1:8">
      <c r="A22" s="716" t="s">
        <v>73</v>
      </c>
      <c r="B22" s="717"/>
      <c r="C22" s="718"/>
      <c r="D22" s="502" t="s">
        <v>1328</v>
      </c>
      <c r="E22" s="504">
        <f>MATERIALES!D15</f>
        <v>32400</v>
      </c>
      <c r="F22" s="504">
        <v>0.67</v>
      </c>
      <c r="G22" s="701">
        <f>+E22*F22</f>
        <v>21708</v>
      </c>
      <c r="H22" s="59"/>
    </row>
    <row r="23" spans="1:8">
      <c r="A23" s="716" t="s">
        <v>18</v>
      </c>
      <c r="B23" s="717"/>
      <c r="C23" s="718"/>
      <c r="D23" s="502" t="s">
        <v>1328</v>
      </c>
      <c r="E23" s="504">
        <f>MATERIALES!D62</f>
        <v>64800</v>
      </c>
      <c r="F23" s="504">
        <v>0.67</v>
      </c>
      <c r="G23" s="701">
        <f>+E23*F23</f>
        <v>43416</v>
      </c>
      <c r="H23" s="59"/>
    </row>
    <row r="24" spans="1:8">
      <c r="A24" s="716" t="s">
        <v>1323</v>
      </c>
      <c r="B24" s="717"/>
      <c r="C24" s="718"/>
      <c r="D24" s="502" t="s">
        <v>1695</v>
      </c>
      <c r="E24" s="504">
        <f>MATERIALES!D8</f>
        <v>68</v>
      </c>
      <c r="F24" s="502">
        <v>250</v>
      </c>
      <c r="G24" s="701">
        <f>+E24*F24</f>
        <v>17000</v>
      </c>
      <c r="H24" s="59"/>
    </row>
    <row r="25" spans="1:8" ht="15.75" thickBot="1">
      <c r="A25" s="722" t="s">
        <v>1325</v>
      </c>
      <c r="B25" s="723"/>
      <c r="C25" s="724"/>
      <c r="D25" s="725"/>
      <c r="E25" s="726"/>
      <c r="F25" s="727"/>
      <c r="G25" s="728">
        <f>SUM(G21:G24)*5%</f>
        <v>19832.102500000001</v>
      </c>
      <c r="H25" s="59"/>
    </row>
    <row r="26" spans="1:8" ht="15.75" thickBot="1">
      <c r="A26" s="61"/>
      <c r="B26" s="61"/>
      <c r="C26" s="61"/>
      <c r="D26" s="61"/>
      <c r="E26" s="61"/>
      <c r="F26" s="61"/>
      <c r="G26" s="81" t="s">
        <v>491</v>
      </c>
      <c r="H26" s="82">
        <f>SUM(G21:G25)</f>
        <v>416474.15249999997</v>
      </c>
    </row>
    <row r="27" spans="1:8" ht="15.75" thickBot="1">
      <c r="A27" s="92" t="s">
        <v>496</v>
      </c>
      <c r="B27" s="92"/>
      <c r="C27" s="90"/>
      <c r="D27" s="61"/>
      <c r="E27" s="61"/>
      <c r="F27" s="61"/>
      <c r="G27" s="61"/>
      <c r="H27" s="61"/>
    </row>
    <row r="28" spans="1:8">
      <c r="A28" s="1454" t="s">
        <v>497</v>
      </c>
      <c r="B28" s="1456"/>
      <c r="C28" s="93" t="s">
        <v>498</v>
      </c>
      <c r="D28" s="182" t="s">
        <v>499</v>
      </c>
      <c r="E28" s="182" t="s">
        <v>500</v>
      </c>
      <c r="F28" s="182" t="s">
        <v>501</v>
      </c>
      <c r="G28" s="94" t="s">
        <v>489</v>
      </c>
      <c r="H28" s="67"/>
    </row>
    <row r="29" spans="1:8">
      <c r="A29" s="83" t="s">
        <v>73</v>
      </c>
      <c r="B29" s="84"/>
      <c r="C29" s="450">
        <f>F22</f>
        <v>0.67</v>
      </c>
      <c r="D29" s="96">
        <v>8</v>
      </c>
      <c r="E29" s="96">
        <f>D29*C29</f>
        <v>5.36</v>
      </c>
      <c r="F29" s="97">
        <f>'EQUIPOS '!D31</f>
        <v>1060</v>
      </c>
      <c r="G29" s="69">
        <f>F29*E29</f>
        <v>5681.6</v>
      </c>
      <c r="H29" s="72"/>
    </row>
    <row r="30" spans="1:8">
      <c r="A30" s="83" t="s">
        <v>18</v>
      </c>
      <c r="B30" s="84"/>
      <c r="C30" s="97">
        <f>F23</f>
        <v>0.67</v>
      </c>
      <c r="D30" s="68">
        <v>8</v>
      </c>
      <c r="E30" s="96">
        <f>D30*C30</f>
        <v>5.36</v>
      </c>
      <c r="F30" s="97">
        <f>'EQUIPOS '!D31</f>
        <v>1060</v>
      </c>
      <c r="G30" s="69">
        <f>F30*E30</f>
        <v>5681.6</v>
      </c>
      <c r="H30" s="72"/>
    </row>
    <row r="31" spans="1:8" ht="15.75" thickBot="1">
      <c r="A31" s="100"/>
      <c r="B31" s="101"/>
      <c r="C31" s="76"/>
      <c r="D31" s="77"/>
      <c r="E31" s="78"/>
      <c r="F31" s="79"/>
      <c r="G31" s="76"/>
      <c r="H31" s="72"/>
    </row>
    <row r="32" spans="1:8" ht="15.75" thickBot="1">
      <c r="A32" s="61"/>
      <c r="B32" s="61"/>
      <c r="C32" s="61"/>
      <c r="D32" s="61"/>
      <c r="E32" s="61"/>
      <c r="F32" s="61"/>
      <c r="G32" s="81" t="s">
        <v>491</v>
      </c>
      <c r="H32" s="82">
        <f>SUM(G29:G31)</f>
        <v>11363.2</v>
      </c>
    </row>
    <row r="33" spans="1:8" ht="15.75" thickBot="1">
      <c r="A33" s="92" t="s">
        <v>502</v>
      </c>
      <c r="B33" s="92"/>
      <c r="C33" s="61"/>
      <c r="D33" s="61"/>
      <c r="E33" s="61"/>
      <c r="F33" s="61"/>
      <c r="G33" s="61"/>
      <c r="H33" s="61"/>
    </row>
    <row r="34" spans="1:8">
      <c r="A34" s="1454" t="s">
        <v>503</v>
      </c>
      <c r="B34" s="1456"/>
      <c r="C34" s="182" t="s">
        <v>504</v>
      </c>
      <c r="D34" s="182" t="s">
        <v>505</v>
      </c>
      <c r="E34" s="124" t="s">
        <v>506</v>
      </c>
      <c r="F34" s="102" t="s">
        <v>488</v>
      </c>
      <c r="G34" s="181" t="s">
        <v>489</v>
      </c>
      <c r="H34" s="67"/>
    </row>
    <row r="35" spans="1:8">
      <c r="A35" s="83" t="s">
        <v>624</v>
      </c>
      <c r="B35" s="84"/>
      <c r="C35" s="103">
        <f>+SALARIOS!C50</f>
        <v>41660</v>
      </c>
      <c r="D35" s="104">
        <f>+SALARIOS!C48</f>
        <v>1.7846558312967005</v>
      </c>
      <c r="E35" s="69">
        <f>+C35*D35</f>
        <v>74348.76193182054</v>
      </c>
      <c r="F35" s="69">
        <v>5</v>
      </c>
      <c r="G35" s="105">
        <f>+E35/F35</f>
        <v>14869.752386364107</v>
      </c>
      <c r="H35" s="72"/>
    </row>
    <row r="36" spans="1:8">
      <c r="A36" s="83" t="s">
        <v>629</v>
      </c>
      <c r="B36" s="84"/>
      <c r="C36" s="103">
        <f>+SALARIOS!C49*4</f>
        <v>102288</v>
      </c>
      <c r="D36" s="104">
        <f>+SALARIOS!C48</f>
        <v>1.7846558312967005</v>
      </c>
      <c r="E36" s="69">
        <f>+C36*D36</f>
        <v>182548.87567167688</v>
      </c>
      <c r="F36" s="70">
        <v>1.6680174868755648</v>
      </c>
      <c r="G36" s="105">
        <f>+E36/F36</f>
        <v>109440.62463854442</v>
      </c>
      <c r="H36" s="72"/>
    </row>
    <row r="37" spans="1:8">
      <c r="A37" s="83" t="s">
        <v>633</v>
      </c>
      <c r="B37" s="84"/>
      <c r="C37" s="103">
        <f>+SALARIOS!C51</f>
        <v>57455</v>
      </c>
      <c r="D37" s="104">
        <f>+SALARIOS!C48</f>
        <v>1.7846558312967005</v>
      </c>
      <c r="E37" s="69">
        <f>+C37*D37</f>
        <v>102537.40078715193</v>
      </c>
      <c r="F37" s="69">
        <v>5</v>
      </c>
      <c r="G37" s="105">
        <f>+E37/F37</f>
        <v>20507.480157430386</v>
      </c>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144817.85718233892</v>
      </c>
    </row>
    <row r="40" spans="1:8" ht="15.75" thickBot="1">
      <c r="A40" s="61"/>
      <c r="B40" s="61"/>
      <c r="C40" s="61"/>
      <c r="D40" s="61"/>
      <c r="E40" s="61"/>
      <c r="F40" s="61"/>
      <c r="G40" s="107"/>
      <c r="H40" s="58"/>
    </row>
    <row r="41" spans="1:8" ht="15.75" thickBot="1">
      <c r="A41" s="61"/>
      <c r="B41" s="61"/>
      <c r="C41" s="61"/>
      <c r="D41" s="61"/>
      <c r="E41" s="108" t="s">
        <v>508</v>
      </c>
      <c r="F41" s="109"/>
      <c r="G41" s="109"/>
      <c r="H41" s="82">
        <f>H18+H26+H32+H39</f>
        <v>599447.49540057278</v>
      </c>
    </row>
    <row r="42" spans="1:8" ht="15.75" thickBot="1">
      <c r="A42" s="63" t="s">
        <v>509</v>
      </c>
      <c r="B42" s="63"/>
      <c r="C42" s="61"/>
      <c r="D42" s="61"/>
      <c r="E42" s="61"/>
      <c r="F42" s="61"/>
      <c r="G42" s="61"/>
      <c r="H42" s="61"/>
    </row>
    <row r="43" spans="1:8">
      <c r="A43" s="110" t="s">
        <v>485</v>
      </c>
      <c r="B43" s="111"/>
      <c r="C43" s="111"/>
      <c r="D43" s="111"/>
      <c r="E43" s="112"/>
      <c r="F43" s="184" t="s">
        <v>510</v>
      </c>
      <c r="G43" s="183" t="s">
        <v>511</v>
      </c>
      <c r="H43" s="67"/>
    </row>
    <row r="44" spans="1:8">
      <c r="A44" s="83" t="s">
        <v>512</v>
      </c>
      <c r="B44" s="84"/>
      <c r="C44" s="84"/>
      <c r="D44" s="84"/>
      <c r="E44" s="85"/>
      <c r="F44" s="115">
        <f>(SALARIOS!C45)</f>
        <v>0.15</v>
      </c>
      <c r="G44" s="116">
        <f>++F44*H41</f>
        <v>89917.124310085914</v>
      </c>
      <c r="H44" s="117"/>
    </row>
    <row r="45" spans="1:8">
      <c r="A45" s="83" t="s">
        <v>513</v>
      </c>
      <c r="B45" s="84"/>
      <c r="C45" s="84"/>
      <c r="D45" s="84"/>
      <c r="E45" s="85"/>
      <c r="F45" s="115">
        <f>(SALARIOS!C46)</f>
        <v>0.05</v>
      </c>
      <c r="G45" s="116">
        <f>+F45*H41</f>
        <v>29972.37477002864</v>
      </c>
      <c r="H45" s="117"/>
    </row>
    <row r="46" spans="1:8" ht="15.75" thickBot="1">
      <c r="A46" s="89" t="s">
        <v>514</v>
      </c>
      <c r="B46" s="90"/>
      <c r="C46" s="90"/>
      <c r="D46" s="90"/>
      <c r="E46" s="91"/>
      <c r="F46" s="118">
        <f>SALARIOS!C47</f>
        <v>0.05</v>
      </c>
      <c r="G46" s="119">
        <f>+F46*H41</f>
        <v>29972.37477002864</v>
      </c>
      <c r="H46" s="80"/>
    </row>
    <row r="47" spans="1:8" ht="15.75" thickBot="1">
      <c r="A47" s="61"/>
      <c r="B47" s="61"/>
      <c r="C47" s="61"/>
      <c r="D47" s="61"/>
      <c r="E47" s="61"/>
      <c r="F47" s="61"/>
      <c r="G47" s="81" t="s">
        <v>491</v>
      </c>
      <c r="H47" s="120">
        <f>SUM(G44:G46)</f>
        <v>149861.87385014319</v>
      </c>
    </row>
    <row r="48" spans="1:8" ht="15.75" thickBot="1">
      <c r="A48" s="61"/>
      <c r="B48" s="61"/>
      <c r="C48" s="61"/>
      <c r="D48" s="61"/>
      <c r="E48" s="61"/>
      <c r="F48" s="61"/>
      <c r="G48" s="61"/>
      <c r="H48" s="61"/>
    </row>
    <row r="49" spans="1:8" ht="15.75" thickBot="1">
      <c r="A49" s="16"/>
      <c r="B49" s="16"/>
      <c r="C49" s="61"/>
      <c r="D49" s="108" t="s">
        <v>515</v>
      </c>
      <c r="E49" s="109"/>
      <c r="F49" s="109"/>
      <c r="G49" s="109"/>
      <c r="H49" s="82">
        <f>ROUND((H41+H47),0)</f>
        <v>749309</v>
      </c>
    </row>
  </sheetData>
  <mergeCells count="12">
    <mergeCell ref="A34:B34"/>
    <mergeCell ref="A3:C4"/>
    <mergeCell ref="A5:C5"/>
    <mergeCell ref="D5:H5"/>
    <mergeCell ref="A11:C11"/>
    <mergeCell ref="A12:C12"/>
    <mergeCell ref="A16:C16"/>
    <mergeCell ref="A17:C17"/>
    <mergeCell ref="A20:C20"/>
    <mergeCell ref="A28:B28"/>
    <mergeCell ref="A13:C13"/>
    <mergeCell ref="A14:C14"/>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49"/>
  <sheetViews>
    <sheetView topLeftCell="A31" workbookViewId="0">
      <selection activeCell="H41" sqref="H41"/>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639</v>
      </c>
      <c r="H7" s="61"/>
    </row>
    <row r="8" spans="1:8">
      <c r="A8" s="60" t="s">
        <v>638</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2" t="s">
        <v>486</v>
      </c>
      <c r="E11" s="65" t="s">
        <v>487</v>
      </c>
      <c r="F11" s="182" t="s">
        <v>488</v>
      </c>
      <c r="G11" s="181" t="s">
        <v>489</v>
      </c>
      <c r="H11" s="67"/>
    </row>
    <row r="12" spans="1:8">
      <c r="A12" s="1480" t="s">
        <v>1327</v>
      </c>
      <c r="B12" s="1481"/>
      <c r="C12" s="1482"/>
      <c r="D12" s="68"/>
      <c r="E12" s="86"/>
      <c r="F12" s="161"/>
      <c r="G12" s="71">
        <f>H39*10%</f>
        <v>1159.3623983736131</v>
      </c>
      <c r="H12" s="72"/>
    </row>
    <row r="13" spans="1:8">
      <c r="A13" s="1486" t="s">
        <v>1842</v>
      </c>
      <c r="B13" s="1487"/>
      <c r="C13" s="1488"/>
      <c r="D13" s="445" t="s">
        <v>17</v>
      </c>
      <c r="E13" s="511">
        <f>+'EQUIPOS '!D16</f>
        <v>40600</v>
      </c>
      <c r="F13" s="511">
        <v>25</v>
      </c>
      <c r="G13" s="434">
        <f>E13/F13</f>
        <v>1624</v>
      </c>
      <c r="H13" s="72"/>
    </row>
    <row r="14" spans="1:8">
      <c r="A14" s="1486" t="s">
        <v>1326</v>
      </c>
      <c r="B14" s="1487"/>
      <c r="C14" s="1488"/>
      <c r="D14" s="445" t="s">
        <v>6</v>
      </c>
      <c r="E14" s="511">
        <f>+'EQUIPOS '!D6</f>
        <v>5292.5</v>
      </c>
      <c r="F14" s="511">
        <v>1</v>
      </c>
      <c r="G14" s="434">
        <f>E14*F14</f>
        <v>5292.5</v>
      </c>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8075.8623983736134</v>
      </c>
    </row>
    <row r="19" spans="1:8" ht="15.75" thickBot="1">
      <c r="A19" s="63" t="s">
        <v>492</v>
      </c>
      <c r="B19" s="63"/>
      <c r="C19" s="61"/>
      <c r="D19" s="61"/>
      <c r="E19" s="61"/>
      <c r="F19" s="61"/>
      <c r="G19" s="61"/>
      <c r="H19" s="61"/>
    </row>
    <row r="20" spans="1:8">
      <c r="A20" s="1472" t="s">
        <v>485</v>
      </c>
      <c r="B20" s="1473"/>
      <c r="C20" s="1474"/>
      <c r="D20" s="747" t="s">
        <v>493</v>
      </c>
      <c r="E20" s="747" t="s">
        <v>494</v>
      </c>
      <c r="F20" s="747" t="s">
        <v>495</v>
      </c>
      <c r="G20" s="452" t="s">
        <v>489</v>
      </c>
      <c r="H20" s="684"/>
    </row>
    <row r="21" spans="1:8">
      <c r="A21" s="83" t="s">
        <v>627</v>
      </c>
      <c r="B21" s="84"/>
      <c r="C21" s="85"/>
      <c r="D21" s="141" t="s">
        <v>19</v>
      </c>
      <c r="E21" s="139">
        <f>'5,2'!H26</f>
        <v>313268.23499999993</v>
      </c>
      <c r="F21" s="137">
        <v>0.105</v>
      </c>
      <c r="G21" s="685">
        <f>+E21*F21</f>
        <v>32893.164674999993</v>
      </c>
      <c r="H21" s="59"/>
    </row>
    <row r="22" spans="1:8">
      <c r="A22" s="83" t="s">
        <v>1841</v>
      </c>
      <c r="B22" s="84"/>
      <c r="C22" s="85"/>
      <c r="D22" s="68" t="s">
        <v>19</v>
      </c>
      <c r="E22" s="142">
        <f>+MATERIALES!D68</f>
        <v>35410</v>
      </c>
      <c r="F22" s="70">
        <v>0.1</v>
      </c>
      <c r="G22" s="105">
        <f>E22*F22</f>
        <v>3541</v>
      </c>
      <c r="H22" s="59"/>
    </row>
    <row r="23" spans="1:8">
      <c r="A23" s="128" t="s">
        <v>1824</v>
      </c>
      <c r="B23" s="129"/>
      <c r="C23" s="130"/>
      <c r="D23" s="68" t="s">
        <v>1809</v>
      </c>
      <c r="E23" s="86">
        <f>MATERIALES!D56</f>
        <v>4166.666666666667</v>
      </c>
      <c r="F23" s="70">
        <v>1.02</v>
      </c>
      <c r="G23" s="685">
        <f>E23*F23</f>
        <v>4250</v>
      </c>
      <c r="H23" s="59"/>
    </row>
    <row r="24" spans="1:8">
      <c r="A24" s="752" t="s">
        <v>1822</v>
      </c>
      <c r="B24" s="58"/>
      <c r="C24" s="753"/>
      <c r="D24" s="131" t="s">
        <v>234</v>
      </c>
      <c r="E24" s="132">
        <f>MATERIALES!D64</f>
        <v>1575</v>
      </c>
      <c r="F24" s="133">
        <v>0.05</v>
      </c>
      <c r="G24" s="685">
        <f>E24*F24</f>
        <v>78.75</v>
      </c>
      <c r="H24" s="59"/>
    </row>
    <row r="25" spans="1:8" ht="15.75" thickBot="1">
      <c r="A25" s="100" t="s">
        <v>1825</v>
      </c>
      <c r="B25" s="106"/>
      <c r="C25" s="101"/>
      <c r="D25" s="76" t="s">
        <v>1809</v>
      </c>
      <c r="E25" s="77">
        <f>MATERIALES!D30</f>
        <v>1900</v>
      </c>
      <c r="F25" s="762">
        <v>0.5</v>
      </c>
      <c r="G25" s="453">
        <f>E25*F25</f>
        <v>950</v>
      </c>
      <c r="H25" s="59"/>
    </row>
    <row r="26" spans="1:8" ht="15.75" thickBot="1">
      <c r="A26" s="61"/>
      <c r="B26" s="61"/>
      <c r="C26" s="61"/>
      <c r="D26" s="61"/>
      <c r="E26" s="61"/>
      <c r="F26" s="61"/>
      <c r="G26" s="81" t="s">
        <v>491</v>
      </c>
      <c r="H26" s="82">
        <f>SUM(G21:G25)</f>
        <v>41712.914674999993</v>
      </c>
    </row>
    <row r="27" spans="1:8" ht="15.75" thickBot="1">
      <c r="A27" s="92" t="s">
        <v>496</v>
      </c>
      <c r="B27" s="92"/>
      <c r="C27" s="90"/>
      <c r="D27" s="61"/>
      <c r="E27" s="61"/>
      <c r="F27" s="61"/>
      <c r="G27" s="61"/>
      <c r="H27" s="61"/>
    </row>
    <row r="28" spans="1:8">
      <c r="A28" s="1454" t="s">
        <v>497</v>
      </c>
      <c r="B28" s="1456"/>
      <c r="C28" s="93" t="s">
        <v>498</v>
      </c>
      <c r="D28" s="182" t="s">
        <v>499</v>
      </c>
      <c r="E28" s="182" t="s">
        <v>500</v>
      </c>
      <c r="F28" s="182" t="s">
        <v>501</v>
      </c>
      <c r="G28" s="94" t="s">
        <v>489</v>
      </c>
      <c r="H28" s="67"/>
    </row>
    <row r="29" spans="1:8">
      <c r="A29" s="83"/>
      <c r="B29" s="84"/>
      <c r="C29" s="95"/>
      <c r="D29" s="96"/>
      <c r="E29" s="96"/>
      <c r="F29" s="97"/>
      <c r="G29" s="69"/>
      <c r="H29" s="72"/>
    </row>
    <row r="30" spans="1:8">
      <c r="A30" s="83"/>
      <c r="B30" s="84"/>
      <c r="C30" s="98"/>
      <c r="D30" s="68"/>
      <c r="E30" s="99"/>
      <c r="F30" s="69"/>
      <c r="G30" s="69"/>
      <c r="H30" s="72"/>
    </row>
    <row r="31" spans="1:8" ht="15.75" thickBot="1">
      <c r="A31" s="100"/>
      <c r="B31" s="101"/>
      <c r="C31" s="76"/>
      <c r="D31" s="77"/>
      <c r="E31" s="78"/>
      <c r="F31" s="79"/>
      <c r="G31" s="76"/>
      <c r="H31" s="72"/>
    </row>
    <row r="32" spans="1:8" ht="15.75" thickBot="1">
      <c r="A32" s="61"/>
      <c r="B32" s="61"/>
      <c r="C32" s="61"/>
      <c r="D32" s="61"/>
      <c r="E32" s="61"/>
      <c r="F32" s="61"/>
      <c r="G32" s="81" t="s">
        <v>491</v>
      </c>
      <c r="H32" s="82">
        <f>SUM(G29:G31)</f>
        <v>0</v>
      </c>
    </row>
    <row r="33" spans="1:8" ht="15.75" thickBot="1">
      <c r="A33" s="92" t="s">
        <v>502</v>
      </c>
      <c r="B33" s="92"/>
      <c r="C33" s="61"/>
      <c r="D33" s="61"/>
      <c r="E33" s="61"/>
      <c r="F33" s="61"/>
      <c r="G33" s="61"/>
      <c r="H33" s="61"/>
    </row>
    <row r="34" spans="1:8">
      <c r="A34" s="1454" t="s">
        <v>503</v>
      </c>
      <c r="B34" s="1456"/>
      <c r="C34" s="182" t="s">
        <v>504</v>
      </c>
      <c r="D34" s="182" t="s">
        <v>505</v>
      </c>
      <c r="E34" s="124" t="s">
        <v>506</v>
      </c>
      <c r="F34" s="102" t="s">
        <v>488</v>
      </c>
      <c r="G34" s="181" t="s">
        <v>489</v>
      </c>
      <c r="H34" s="67"/>
    </row>
    <row r="35" spans="1:8">
      <c r="A35" s="83" t="s">
        <v>624</v>
      </c>
      <c r="B35" s="84"/>
      <c r="C35" s="103">
        <f>+SALARIOS!C50</f>
        <v>41660</v>
      </c>
      <c r="D35" s="104">
        <f>+SALARIOS!C48</f>
        <v>1.7846558312967005</v>
      </c>
      <c r="E35" s="69">
        <f>+C35*D35</f>
        <v>74348.76193182054</v>
      </c>
      <c r="F35" s="69">
        <v>7.0000000000000007E-2</v>
      </c>
      <c r="G35" s="105">
        <f>+E35*F35</f>
        <v>5204.4133352274384</v>
      </c>
      <c r="H35" s="72"/>
    </row>
    <row r="36" spans="1:8">
      <c r="A36" s="83" t="s">
        <v>554</v>
      </c>
      <c r="B36" s="84"/>
      <c r="C36" s="103">
        <f>+SALARIOS!C49*2</f>
        <v>51144</v>
      </c>
      <c r="D36" s="104">
        <f>+SALARIOS!C48</f>
        <v>1.7846558312967005</v>
      </c>
      <c r="E36" s="69">
        <f>+C36*D36</f>
        <v>91274.437835838442</v>
      </c>
      <c r="F36" s="69">
        <v>7.0000000000000007E-2</v>
      </c>
      <c r="G36" s="105">
        <f>+E36*F36</f>
        <v>6389.2106485086915</v>
      </c>
      <c r="H36" s="72"/>
    </row>
    <row r="37" spans="1:8">
      <c r="A37" s="83"/>
      <c r="B37" s="84"/>
      <c r="C37" s="103"/>
      <c r="D37" s="104"/>
      <c r="E37" s="69"/>
      <c r="F37" s="69"/>
      <c r="G37" s="105"/>
      <c r="H37" s="72"/>
    </row>
    <row r="38" spans="1:8" ht="15.75" thickBot="1">
      <c r="A38" s="100"/>
      <c r="B38" s="106"/>
      <c r="C38" s="77"/>
      <c r="D38" s="91"/>
      <c r="E38" s="143"/>
      <c r="F38" s="91"/>
      <c r="G38" s="90"/>
      <c r="H38" s="80"/>
    </row>
    <row r="39" spans="1:8" ht="15.75" thickBot="1">
      <c r="A39" s="61"/>
      <c r="B39" s="61"/>
      <c r="C39" s="61"/>
      <c r="D39" s="61"/>
      <c r="E39" s="61"/>
      <c r="F39" s="61"/>
      <c r="G39" s="81" t="s">
        <v>491</v>
      </c>
      <c r="H39" s="82">
        <f>SUM(G35:G38)</f>
        <v>11593.62398373613</v>
      </c>
    </row>
    <row r="40" spans="1:8" ht="15.75" thickBot="1">
      <c r="A40" s="61"/>
      <c r="B40" s="61"/>
      <c r="C40" s="61"/>
      <c r="D40" s="61"/>
      <c r="E40" s="61"/>
      <c r="F40" s="61"/>
      <c r="G40" s="107"/>
      <c r="H40" s="58"/>
    </row>
    <row r="41" spans="1:8" ht="15.75" thickBot="1">
      <c r="A41" s="61"/>
      <c r="B41" s="61"/>
      <c r="C41" s="61"/>
      <c r="D41" s="61"/>
      <c r="E41" s="108" t="s">
        <v>508</v>
      </c>
      <c r="F41" s="109"/>
      <c r="G41" s="109"/>
      <c r="H41" s="82">
        <f>H18+H26+H32+H39</f>
        <v>61382.401057109731</v>
      </c>
    </row>
    <row r="42" spans="1:8" ht="15.75" thickBot="1">
      <c r="A42" s="63" t="s">
        <v>509</v>
      </c>
      <c r="B42" s="63"/>
      <c r="C42" s="61"/>
      <c r="D42" s="61"/>
      <c r="E42" s="61"/>
      <c r="F42" s="61"/>
      <c r="G42" s="61"/>
      <c r="H42" s="61"/>
    </row>
    <row r="43" spans="1:8">
      <c r="A43" s="110" t="s">
        <v>485</v>
      </c>
      <c r="B43" s="111"/>
      <c r="C43" s="111"/>
      <c r="D43" s="111"/>
      <c r="E43" s="112"/>
      <c r="F43" s="184" t="s">
        <v>510</v>
      </c>
      <c r="G43" s="183" t="s">
        <v>511</v>
      </c>
      <c r="H43" s="67"/>
    </row>
    <row r="44" spans="1:8">
      <c r="A44" s="83" t="s">
        <v>512</v>
      </c>
      <c r="B44" s="84"/>
      <c r="C44" s="84"/>
      <c r="D44" s="84"/>
      <c r="E44" s="85"/>
      <c r="F44" s="115">
        <f>(SALARIOS!C45)</f>
        <v>0.15</v>
      </c>
      <c r="G44" s="116">
        <f>++F44*H41</f>
        <v>9207.3601585664601</v>
      </c>
      <c r="H44" s="117"/>
    </row>
    <row r="45" spans="1:8">
      <c r="A45" s="83" t="s">
        <v>513</v>
      </c>
      <c r="B45" s="84"/>
      <c r="C45" s="84"/>
      <c r="D45" s="84"/>
      <c r="E45" s="85"/>
      <c r="F45" s="115">
        <f>(SALARIOS!C46)</f>
        <v>0.05</v>
      </c>
      <c r="G45" s="116">
        <f>+F45*H41</f>
        <v>3069.1200528554868</v>
      </c>
      <c r="H45" s="117"/>
    </row>
    <row r="46" spans="1:8" ht="15.75" thickBot="1">
      <c r="A46" s="89" t="s">
        <v>514</v>
      </c>
      <c r="B46" s="90"/>
      <c r="C46" s="90"/>
      <c r="D46" s="90"/>
      <c r="E46" s="91"/>
      <c r="F46" s="118">
        <f>SALARIOS!C47</f>
        <v>0.05</v>
      </c>
      <c r="G46" s="119">
        <f>+F46*H41</f>
        <v>3069.1200528554868</v>
      </c>
      <c r="H46" s="80"/>
    </row>
    <row r="47" spans="1:8" ht="15.75" thickBot="1">
      <c r="A47" s="61"/>
      <c r="B47" s="61"/>
      <c r="C47" s="61"/>
      <c r="D47" s="61"/>
      <c r="E47" s="61"/>
      <c r="F47" s="61"/>
      <c r="G47" s="81" t="s">
        <v>491</v>
      </c>
      <c r="H47" s="120">
        <f>SUM(G44:G46)</f>
        <v>15345.600264277435</v>
      </c>
    </row>
    <row r="48" spans="1:8" ht="15.75" thickBot="1">
      <c r="A48" s="61"/>
      <c r="B48" s="61"/>
      <c r="C48" s="61"/>
      <c r="D48" s="61"/>
      <c r="E48" s="61"/>
      <c r="F48" s="61"/>
      <c r="G48" s="61"/>
      <c r="H48" s="61"/>
    </row>
    <row r="49" spans="1:8" ht="15.75" thickBot="1">
      <c r="A49" s="16"/>
      <c r="B49" s="16"/>
      <c r="C49" s="61"/>
      <c r="D49" s="108" t="s">
        <v>515</v>
      </c>
      <c r="E49" s="109"/>
      <c r="F49" s="109"/>
      <c r="G49" s="109"/>
      <c r="H49" s="82">
        <f>ROUND((H41+H47),0)</f>
        <v>76728</v>
      </c>
    </row>
  </sheetData>
  <mergeCells count="13">
    <mergeCell ref="A34:B34"/>
    <mergeCell ref="A3:C4"/>
    <mergeCell ref="A5:C5"/>
    <mergeCell ref="D5:H5"/>
    <mergeCell ref="A11:C11"/>
    <mergeCell ref="A12:C12"/>
    <mergeCell ref="A14:C14"/>
    <mergeCell ref="A15:C15"/>
    <mergeCell ref="A16:C16"/>
    <mergeCell ref="A17:C17"/>
    <mergeCell ref="A20:C20"/>
    <mergeCell ref="A28:B28"/>
    <mergeCell ref="A13:C13"/>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J48"/>
  <sheetViews>
    <sheetView workbookViewId="0">
      <selection activeCell="D14" sqref="D14"/>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639</v>
      </c>
      <c r="H7" s="61"/>
    </row>
    <row r="8" spans="1:8">
      <c r="A8" s="60" t="s">
        <v>640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2" t="s">
        <v>486</v>
      </c>
      <c r="E11" s="65" t="s">
        <v>487</v>
      </c>
      <c r="F11" s="182" t="s">
        <v>488</v>
      </c>
      <c r="G11" s="181" t="s">
        <v>489</v>
      </c>
      <c r="H11" s="67"/>
    </row>
    <row r="12" spans="1:8">
      <c r="A12" s="1480" t="s">
        <v>1327</v>
      </c>
      <c r="B12" s="1481"/>
      <c r="C12" s="1482"/>
      <c r="D12" s="68"/>
      <c r="E12" s="86"/>
      <c r="F12" s="161"/>
      <c r="G12" s="71">
        <f>H38*10%</f>
        <v>719.91588509843859</v>
      </c>
      <c r="H12" s="72"/>
    </row>
    <row r="13" spans="1:8">
      <c r="A13" s="1486" t="s">
        <v>1326</v>
      </c>
      <c r="B13" s="1487"/>
      <c r="C13" s="1488"/>
      <c r="D13" s="445" t="s">
        <v>6</v>
      </c>
      <c r="E13" s="839">
        <f>+'EQUIPOS '!D6</f>
        <v>5292.5</v>
      </c>
      <c r="F13" s="840">
        <v>1</v>
      </c>
      <c r="G13" s="841">
        <f>E13*F13</f>
        <v>5292.5</v>
      </c>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10" ht="15.75" thickBot="1">
      <c r="A17" s="1466"/>
      <c r="B17" s="1467"/>
      <c r="C17" s="1468"/>
      <c r="D17" s="76"/>
      <c r="E17" s="77"/>
      <c r="F17" s="78"/>
      <c r="G17" s="79"/>
      <c r="H17" s="80"/>
    </row>
    <row r="18" spans="1:10" ht="15.75" thickBot="1">
      <c r="A18" s="61"/>
      <c r="B18" s="61"/>
      <c r="C18" s="61"/>
      <c r="D18" s="61"/>
      <c r="E18" s="61"/>
      <c r="F18" s="61"/>
      <c r="G18" s="81" t="s">
        <v>491</v>
      </c>
      <c r="H18" s="82">
        <f>SUM(G12:G17)</f>
        <v>6012.4158850984386</v>
      </c>
    </row>
    <row r="19" spans="1:10" ht="15.75" thickBot="1">
      <c r="A19" s="63" t="s">
        <v>492</v>
      </c>
      <c r="B19" s="63"/>
      <c r="C19" s="61"/>
      <c r="D19" s="61"/>
      <c r="E19" s="61"/>
      <c r="F19" s="61"/>
      <c r="G19" s="61"/>
      <c r="H19" s="61"/>
    </row>
    <row r="20" spans="1:10">
      <c r="A20" s="1472" t="s">
        <v>485</v>
      </c>
      <c r="B20" s="1473"/>
      <c r="C20" s="1474"/>
      <c r="D20" s="184" t="s">
        <v>493</v>
      </c>
      <c r="E20" s="184" t="s">
        <v>494</v>
      </c>
      <c r="F20" s="184" t="s">
        <v>495</v>
      </c>
      <c r="G20" s="183" t="s">
        <v>489</v>
      </c>
      <c r="H20" s="67"/>
    </row>
    <row r="21" spans="1:10">
      <c r="A21" s="127" t="s">
        <v>627</v>
      </c>
      <c r="B21" s="84"/>
      <c r="C21" s="85"/>
      <c r="D21" s="141" t="s">
        <v>19</v>
      </c>
      <c r="E21" s="139">
        <f>'5,2'!H26</f>
        <v>313268.23499999993</v>
      </c>
      <c r="F21" s="563">
        <v>7.0000000000000007E-2</v>
      </c>
      <c r="G21" s="137">
        <f>+E21*F21</f>
        <v>21928.776449999998</v>
      </c>
      <c r="H21" s="59"/>
      <c r="J21" s="137"/>
    </row>
    <row r="22" spans="1:10">
      <c r="A22" s="127" t="s">
        <v>220</v>
      </c>
      <c r="B22" s="84"/>
      <c r="C22" s="85"/>
      <c r="D22" s="68"/>
      <c r="E22" s="142">
        <f>MATERIALES!D33</f>
        <v>1392</v>
      </c>
      <c r="F22" s="156">
        <v>2.2999999999999998</v>
      </c>
      <c r="G22" s="69">
        <f>+E22*F22</f>
        <v>3201.6</v>
      </c>
      <c r="H22" s="59"/>
    </row>
    <row r="23" spans="1:10">
      <c r="A23" s="128"/>
      <c r="B23" s="129"/>
      <c r="C23" s="130"/>
      <c r="D23" s="131"/>
      <c r="E23" s="132"/>
      <c r="F23" s="133"/>
      <c r="G23" s="138"/>
      <c r="H23" s="59"/>
    </row>
    <row r="24" spans="1:10" ht="15.75" thickBot="1">
      <c r="A24" s="89"/>
      <c r="B24" s="90"/>
      <c r="C24" s="91"/>
      <c r="D24" s="76"/>
      <c r="E24" s="77"/>
      <c r="F24" s="78"/>
      <c r="G24" s="79"/>
      <c r="H24" s="80"/>
    </row>
    <row r="25" spans="1:10" ht="15.75" thickBot="1">
      <c r="A25" s="61"/>
      <c r="B25" s="61"/>
      <c r="C25" s="61"/>
      <c r="D25" s="61"/>
      <c r="E25" s="61"/>
      <c r="F25" s="61"/>
      <c r="G25" s="81" t="s">
        <v>491</v>
      </c>
      <c r="H25" s="82">
        <f>SUM(G21:G24)</f>
        <v>25130.376449999996</v>
      </c>
    </row>
    <row r="26" spans="1:10" ht="15.75" thickBot="1">
      <c r="A26" s="92" t="s">
        <v>496</v>
      </c>
      <c r="B26" s="92"/>
      <c r="C26" s="90"/>
      <c r="D26" s="61"/>
      <c r="E26" s="61"/>
      <c r="F26" s="61"/>
      <c r="G26" s="61"/>
      <c r="H26" s="61"/>
    </row>
    <row r="27" spans="1:10">
      <c r="A27" s="1454" t="s">
        <v>497</v>
      </c>
      <c r="B27" s="1456"/>
      <c r="C27" s="93" t="s">
        <v>498</v>
      </c>
      <c r="D27" s="182" t="s">
        <v>499</v>
      </c>
      <c r="E27" s="182" t="s">
        <v>500</v>
      </c>
      <c r="F27" s="182" t="s">
        <v>501</v>
      </c>
      <c r="G27" s="94" t="s">
        <v>489</v>
      </c>
      <c r="H27" s="67"/>
    </row>
    <row r="28" spans="1:10">
      <c r="A28" s="83"/>
      <c r="B28" s="84"/>
      <c r="C28" s="95"/>
      <c r="D28" s="96"/>
      <c r="E28" s="96"/>
      <c r="F28" s="97"/>
      <c r="G28" s="69"/>
      <c r="H28" s="72"/>
    </row>
    <row r="29" spans="1:10">
      <c r="A29" s="83"/>
      <c r="B29" s="84"/>
      <c r="C29" s="98"/>
      <c r="D29" s="68"/>
      <c r="E29" s="99"/>
      <c r="F29" s="69"/>
      <c r="G29" s="69"/>
      <c r="H29" s="72"/>
    </row>
    <row r="30" spans="1:10" ht="15.75" thickBot="1">
      <c r="A30" s="100"/>
      <c r="B30" s="101"/>
      <c r="C30" s="76"/>
      <c r="D30" s="77"/>
      <c r="E30" s="78"/>
      <c r="F30" s="79"/>
      <c r="G30" s="76"/>
      <c r="H30" s="72"/>
    </row>
    <row r="31" spans="1:10" ht="15.75" thickBot="1">
      <c r="A31" s="61"/>
      <c r="B31" s="61"/>
      <c r="C31" s="61"/>
      <c r="D31" s="61"/>
      <c r="E31" s="61"/>
      <c r="F31" s="61"/>
      <c r="G31" s="81" t="s">
        <v>491</v>
      </c>
      <c r="H31" s="82">
        <f>SUM(G28:G30)</f>
        <v>0</v>
      </c>
    </row>
    <row r="32" spans="1:10" ht="15.75" thickBot="1">
      <c r="A32" s="92" t="s">
        <v>502</v>
      </c>
      <c r="B32" s="92"/>
      <c r="C32" s="61"/>
      <c r="D32" s="61"/>
      <c r="E32" s="61"/>
      <c r="F32" s="61"/>
      <c r="G32" s="61"/>
      <c r="H32" s="61"/>
    </row>
    <row r="33" spans="1:8">
      <c r="A33" s="1454" t="s">
        <v>503</v>
      </c>
      <c r="B33" s="1456"/>
      <c r="C33" s="182" t="s">
        <v>504</v>
      </c>
      <c r="D33" s="182" t="s">
        <v>505</v>
      </c>
      <c r="E33" s="124" t="s">
        <v>506</v>
      </c>
      <c r="F33" s="102" t="s">
        <v>488</v>
      </c>
      <c r="G33" s="181" t="s">
        <v>489</v>
      </c>
      <c r="H33" s="67"/>
    </row>
    <row r="34" spans="1:8">
      <c r="A34" s="83" t="s">
        <v>624</v>
      </c>
      <c r="B34" s="84"/>
      <c r="C34" s="103">
        <f>+SALARIOS!C50</f>
        <v>41660</v>
      </c>
      <c r="D34" s="104">
        <f>+SALARIOS!C48</f>
        <v>1.7846558312967005</v>
      </c>
      <c r="E34" s="69">
        <f>+C34*D34</f>
        <v>74348.76193182054</v>
      </c>
      <c r="F34" s="69">
        <v>0.06</v>
      </c>
      <c r="G34" s="105">
        <f>+E34*F34</f>
        <v>4460.9257159092322</v>
      </c>
      <c r="H34" s="72"/>
    </row>
    <row r="35" spans="1:8">
      <c r="A35" s="83" t="s">
        <v>1132</v>
      </c>
      <c r="B35" s="84"/>
      <c r="C35" s="103">
        <f>+SALARIOS!C49</f>
        <v>25572</v>
      </c>
      <c r="D35" s="104">
        <f>+SALARIOS!C48</f>
        <v>1.7846558312967005</v>
      </c>
      <c r="E35" s="69">
        <f>+C35*D35</f>
        <v>45637.218917919221</v>
      </c>
      <c r="F35" s="69">
        <v>0.06</v>
      </c>
      <c r="G35" s="105">
        <f>+E35*F35</f>
        <v>2738.2331350751533</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7199.1588509843859</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38341.951186082821</v>
      </c>
    </row>
    <row r="41" spans="1:8" ht="15.75" thickBot="1">
      <c r="A41" s="63" t="s">
        <v>509</v>
      </c>
      <c r="B41" s="63"/>
      <c r="C41" s="61"/>
      <c r="D41" s="61"/>
      <c r="E41" s="61"/>
      <c r="F41" s="61"/>
      <c r="G41" s="61"/>
      <c r="H41" s="61"/>
    </row>
    <row r="42" spans="1:8">
      <c r="A42" s="110" t="s">
        <v>485</v>
      </c>
      <c r="B42" s="111"/>
      <c r="C42" s="111"/>
      <c r="D42" s="111"/>
      <c r="E42" s="112"/>
      <c r="F42" s="184" t="s">
        <v>510</v>
      </c>
      <c r="G42" s="183" t="s">
        <v>511</v>
      </c>
      <c r="H42" s="67"/>
    </row>
    <row r="43" spans="1:8">
      <c r="A43" s="83" t="s">
        <v>512</v>
      </c>
      <c r="B43" s="84"/>
      <c r="C43" s="84"/>
      <c r="D43" s="84"/>
      <c r="E43" s="85"/>
      <c r="F43" s="115">
        <f>(SALARIOS!C45)</f>
        <v>0.15</v>
      </c>
      <c r="G43" s="116">
        <f>++F43*H40</f>
        <v>5751.2926779124227</v>
      </c>
      <c r="H43" s="117"/>
    </row>
    <row r="44" spans="1:8">
      <c r="A44" s="83" t="s">
        <v>513</v>
      </c>
      <c r="B44" s="84"/>
      <c r="C44" s="84"/>
      <c r="D44" s="84"/>
      <c r="E44" s="85"/>
      <c r="F44" s="115">
        <f>(SALARIOS!C46)</f>
        <v>0.05</v>
      </c>
      <c r="G44" s="116">
        <f>+F44*H40</f>
        <v>1917.0975593041412</v>
      </c>
      <c r="H44" s="117"/>
    </row>
    <row r="45" spans="1:8" ht="15.75" thickBot="1">
      <c r="A45" s="89" t="s">
        <v>514</v>
      </c>
      <c r="B45" s="90"/>
      <c r="C45" s="90"/>
      <c r="D45" s="90"/>
      <c r="E45" s="91"/>
      <c r="F45" s="118">
        <f>SALARIOS!C47</f>
        <v>0.05</v>
      </c>
      <c r="G45" s="119">
        <f>+F45*H40</f>
        <v>1917.0975593041412</v>
      </c>
      <c r="H45" s="80"/>
    </row>
    <row r="46" spans="1:8" ht="15.75" thickBot="1">
      <c r="A46" s="61"/>
      <c r="B46" s="61"/>
      <c r="C46" s="61"/>
      <c r="D46" s="61"/>
      <c r="E46" s="61"/>
      <c r="F46" s="61"/>
      <c r="G46" s="81" t="s">
        <v>491</v>
      </c>
      <c r="H46" s="120">
        <f>SUM(G43:G45)</f>
        <v>9585.4877965207052</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47927</v>
      </c>
    </row>
  </sheetData>
  <mergeCells count="13">
    <mergeCell ref="A33:B33"/>
    <mergeCell ref="A3:C4"/>
    <mergeCell ref="A5:C5"/>
    <mergeCell ref="D5:H5"/>
    <mergeCell ref="A11:C11"/>
    <mergeCell ref="A12:C12"/>
    <mergeCell ref="A14:C14"/>
    <mergeCell ref="A15:C15"/>
    <mergeCell ref="A16:C16"/>
    <mergeCell ref="A17:C17"/>
    <mergeCell ref="A20:C20"/>
    <mergeCell ref="A27:B27"/>
    <mergeCell ref="A13:C13"/>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8"/>
  <sheetViews>
    <sheetView zoomScaleNormal="100" workbookViewId="0"/>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1640</v>
      </c>
      <c r="H7" s="61"/>
    </row>
    <row r="8" spans="1:8">
      <c r="A8" s="60" t="s">
        <v>1641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588" t="s">
        <v>486</v>
      </c>
      <c r="E11" s="65" t="s">
        <v>487</v>
      </c>
      <c r="F11" s="588" t="s">
        <v>488</v>
      </c>
      <c r="G11" s="587" t="s">
        <v>489</v>
      </c>
      <c r="H11" s="67"/>
    </row>
    <row r="12" spans="1:8">
      <c r="A12" s="1480" t="s">
        <v>1642</v>
      </c>
      <c r="B12" s="1481"/>
      <c r="C12" s="1482"/>
      <c r="D12" s="68"/>
      <c r="E12" s="86"/>
      <c r="F12" s="161"/>
      <c r="G12" s="71">
        <f>H38*10%</f>
        <v>2312.0787384314767</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10" ht="15.75" thickBot="1">
      <c r="A17" s="1466"/>
      <c r="B17" s="1467"/>
      <c r="C17" s="1468"/>
      <c r="D17" s="76"/>
      <c r="E17" s="77"/>
      <c r="F17" s="78"/>
      <c r="G17" s="79"/>
      <c r="H17" s="80"/>
    </row>
    <row r="18" spans="1:10" ht="15.75" thickBot="1">
      <c r="A18" s="61"/>
      <c r="B18" s="61"/>
      <c r="C18" s="61"/>
      <c r="D18" s="61"/>
      <c r="E18" s="61"/>
      <c r="F18" s="61"/>
      <c r="G18" s="81" t="s">
        <v>491</v>
      </c>
      <c r="H18" s="82">
        <f>SUM(G12:G17)</f>
        <v>2312.0787384314767</v>
      </c>
    </row>
    <row r="19" spans="1:10" ht="15.75" thickBot="1">
      <c r="A19" s="63" t="s">
        <v>492</v>
      </c>
      <c r="B19" s="63"/>
      <c r="C19" s="61"/>
      <c r="D19" s="61"/>
      <c r="E19" s="61"/>
      <c r="F19" s="61"/>
      <c r="G19" s="61"/>
      <c r="H19" s="61"/>
    </row>
    <row r="20" spans="1:10">
      <c r="A20" s="1472" t="s">
        <v>485</v>
      </c>
      <c r="B20" s="1473"/>
      <c r="C20" s="1474"/>
      <c r="D20" s="590" t="s">
        <v>493</v>
      </c>
      <c r="E20" s="590" t="s">
        <v>494</v>
      </c>
      <c r="F20" s="590" t="s">
        <v>495</v>
      </c>
      <c r="G20" s="589" t="s">
        <v>489</v>
      </c>
      <c r="H20" s="67"/>
    </row>
    <row r="21" spans="1:10">
      <c r="A21" s="1478" t="s">
        <v>201</v>
      </c>
      <c r="B21" s="1470"/>
      <c r="C21" s="1471"/>
      <c r="D21" s="141" t="s">
        <v>44</v>
      </c>
      <c r="E21" s="139">
        <f>MATERIALES!D24</f>
        <v>698.92899999999997</v>
      </c>
      <c r="F21" s="74">
        <v>454</v>
      </c>
      <c r="G21" s="137">
        <f>+E21*F21</f>
        <v>317313.766</v>
      </c>
      <c r="H21" s="59"/>
    </row>
    <row r="22" spans="1:10">
      <c r="A22" s="127" t="s">
        <v>73</v>
      </c>
      <c r="B22" s="84"/>
      <c r="C22" s="85"/>
      <c r="D22" s="68" t="s">
        <v>19</v>
      </c>
      <c r="E22" s="142">
        <f>MATERIALES!D15</f>
        <v>32400</v>
      </c>
      <c r="F22" s="69">
        <v>1.0900000000000001</v>
      </c>
      <c r="G22" s="69">
        <f>+E22*F22</f>
        <v>35316</v>
      </c>
      <c r="H22" s="59"/>
    </row>
    <row r="23" spans="1:10">
      <c r="A23" s="128" t="s">
        <v>1323</v>
      </c>
      <c r="B23" s="129"/>
      <c r="C23" s="130"/>
      <c r="D23" s="131" t="s">
        <v>68</v>
      </c>
      <c r="E23" s="132">
        <f>MATERIALES!D8</f>
        <v>68</v>
      </c>
      <c r="F23" s="132">
        <v>240</v>
      </c>
      <c r="G23" s="69">
        <f>+E23*F23</f>
        <v>16320</v>
      </c>
      <c r="H23" s="59"/>
    </row>
    <row r="24" spans="1:10" ht="15.75" thickBot="1">
      <c r="A24" s="1489" t="s">
        <v>1325</v>
      </c>
      <c r="B24" s="1490"/>
      <c r="C24" s="1491"/>
      <c r="D24" s="702"/>
      <c r="E24" s="703"/>
      <c r="F24" s="704"/>
      <c r="G24" s="705">
        <f>SUM(G21:G23)*5%</f>
        <v>18447.488300000001</v>
      </c>
      <c r="H24" s="80"/>
      <c r="J24" s="189"/>
    </row>
    <row r="25" spans="1:10" ht="15.75" thickBot="1">
      <c r="A25" s="61"/>
      <c r="B25" s="61"/>
      <c r="C25" s="61"/>
      <c r="D25" s="61"/>
      <c r="E25" s="61"/>
      <c r="F25" s="61"/>
      <c r="G25" s="81" t="s">
        <v>491</v>
      </c>
      <c r="H25" s="82">
        <f>SUM(G21:G24)</f>
        <v>387397.25430000003</v>
      </c>
    </row>
    <row r="26" spans="1:10" ht="15.75" thickBot="1">
      <c r="A26" s="92" t="s">
        <v>496</v>
      </c>
      <c r="B26" s="92"/>
      <c r="C26" s="90"/>
      <c r="D26" s="61"/>
      <c r="E26" s="61"/>
      <c r="F26" s="61"/>
      <c r="G26" s="61"/>
      <c r="H26" s="61"/>
      <c r="J26" s="189"/>
    </row>
    <row r="27" spans="1:10">
      <c r="A27" s="1454" t="s">
        <v>497</v>
      </c>
      <c r="B27" s="1456"/>
      <c r="C27" s="93" t="s">
        <v>498</v>
      </c>
      <c r="D27" s="588" t="s">
        <v>499</v>
      </c>
      <c r="E27" s="588" t="s">
        <v>500</v>
      </c>
      <c r="F27" s="588" t="s">
        <v>501</v>
      </c>
      <c r="G27" s="94" t="s">
        <v>489</v>
      </c>
      <c r="H27" s="67"/>
    </row>
    <row r="28" spans="1:10">
      <c r="A28" s="83"/>
      <c r="B28" s="84"/>
      <c r="C28" s="95"/>
      <c r="D28" s="96"/>
      <c r="E28" s="96"/>
      <c r="F28" s="97"/>
      <c r="G28" s="69"/>
      <c r="H28" s="72"/>
      <c r="J28" s="189"/>
    </row>
    <row r="29" spans="1:10">
      <c r="A29" s="83"/>
      <c r="B29" s="84"/>
      <c r="C29" s="98"/>
      <c r="D29" s="68"/>
      <c r="E29" s="99"/>
      <c r="F29" s="69"/>
      <c r="G29" s="69"/>
      <c r="H29" s="72"/>
    </row>
    <row r="30" spans="1:10" ht="15.75" thickBot="1">
      <c r="A30" s="100"/>
      <c r="B30" s="101"/>
      <c r="C30" s="76"/>
      <c r="D30" s="77"/>
      <c r="E30" s="78"/>
      <c r="F30" s="79"/>
      <c r="G30" s="76"/>
      <c r="H30" s="72"/>
    </row>
    <row r="31" spans="1:10" ht="15.75" thickBot="1">
      <c r="A31" s="61"/>
      <c r="B31" s="61"/>
      <c r="C31" s="61"/>
      <c r="D31" s="61"/>
      <c r="E31" s="61"/>
      <c r="F31" s="61"/>
      <c r="G31" s="81" t="s">
        <v>491</v>
      </c>
      <c r="H31" s="82">
        <f>SUM(G28:G30)</f>
        <v>0</v>
      </c>
    </row>
    <row r="32" spans="1:10" ht="15.75" thickBot="1">
      <c r="A32" s="92" t="s">
        <v>502</v>
      </c>
      <c r="B32" s="92"/>
      <c r="C32" s="61"/>
      <c r="D32" s="61"/>
      <c r="E32" s="61"/>
      <c r="F32" s="61"/>
      <c r="G32" s="61"/>
      <c r="H32" s="61"/>
    </row>
    <row r="33" spans="1:8">
      <c r="A33" s="1454" t="s">
        <v>503</v>
      </c>
      <c r="B33" s="1456"/>
      <c r="C33" s="588" t="s">
        <v>504</v>
      </c>
      <c r="D33" s="588" t="s">
        <v>505</v>
      </c>
      <c r="E33" s="124" t="s">
        <v>506</v>
      </c>
      <c r="F33" s="102" t="s">
        <v>488</v>
      </c>
      <c r="G33" s="587" t="s">
        <v>489</v>
      </c>
      <c r="H33" s="67"/>
    </row>
    <row r="34" spans="1:8">
      <c r="A34" s="83" t="s">
        <v>624</v>
      </c>
      <c r="B34" s="84"/>
      <c r="C34" s="103">
        <f>+SALARIOS!C50</f>
        <v>41660</v>
      </c>
      <c r="D34" s="104">
        <f>+SALARIOS!C48</f>
        <v>1.7846558312967005</v>
      </c>
      <c r="E34" s="69">
        <f>+C34*D34</f>
        <v>74348.76193182054</v>
      </c>
      <c r="F34" s="69">
        <v>0.09</v>
      </c>
      <c r="G34" s="105">
        <f>+E34*F34</f>
        <v>6691.3885738638483</v>
      </c>
      <c r="H34" s="72"/>
    </row>
    <row r="35" spans="1:8">
      <c r="A35" s="83" t="s">
        <v>629</v>
      </c>
      <c r="B35" s="84"/>
      <c r="C35" s="103">
        <f>+SALARIOS!C49*4</f>
        <v>102288</v>
      </c>
      <c r="D35" s="104">
        <f>+SALARIOS!C48</f>
        <v>1.7846558312967005</v>
      </c>
      <c r="E35" s="69">
        <f>+C35*D35</f>
        <v>182548.87567167688</v>
      </c>
      <c r="F35" s="69">
        <v>0.09</v>
      </c>
      <c r="G35" s="105">
        <f>+E35*F35</f>
        <v>16429.398810450919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23120.787384314768</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412830.12042274629</v>
      </c>
    </row>
    <row r="41" spans="1:8" ht="15.75" thickBot="1">
      <c r="A41" s="63" t="s">
        <v>509</v>
      </c>
      <c r="B41" s="63"/>
      <c r="C41" s="61"/>
      <c r="D41" s="61"/>
      <c r="E41" s="61"/>
      <c r="F41" s="61"/>
      <c r="G41" s="61"/>
      <c r="H41" s="61"/>
    </row>
    <row r="42" spans="1:8">
      <c r="A42" s="110" t="s">
        <v>485</v>
      </c>
      <c r="B42" s="111"/>
      <c r="C42" s="111"/>
      <c r="D42" s="111"/>
      <c r="E42" s="112"/>
      <c r="F42" s="590" t="s">
        <v>510</v>
      </c>
      <c r="G42" s="589" t="s">
        <v>511</v>
      </c>
      <c r="H42" s="67"/>
    </row>
    <row r="43" spans="1:8">
      <c r="A43" s="83" t="s">
        <v>512</v>
      </c>
      <c r="B43" s="84"/>
      <c r="C43" s="84"/>
      <c r="D43" s="84"/>
      <c r="E43" s="85"/>
      <c r="F43" s="115">
        <f>(SALARIOS!C45)</f>
        <v>0.15</v>
      </c>
      <c r="G43" s="116">
        <f>++F43*H40</f>
        <v>61924.518063411939</v>
      </c>
      <c r="H43" s="117"/>
    </row>
    <row r="44" spans="1:8">
      <c r="A44" s="83" t="s">
        <v>513</v>
      </c>
      <c r="B44" s="84"/>
      <c r="C44" s="84"/>
      <c r="D44" s="84"/>
      <c r="E44" s="85"/>
      <c r="F44" s="115">
        <f>(SALARIOS!C46)</f>
        <v>0.05</v>
      </c>
      <c r="G44" s="116">
        <f>+F44*H40</f>
        <v>20641.506021137317</v>
      </c>
      <c r="H44" s="117"/>
    </row>
    <row r="45" spans="1:8" ht="15.75" thickBot="1">
      <c r="A45" s="89" t="s">
        <v>514</v>
      </c>
      <c r="B45" s="90"/>
      <c r="C45" s="90"/>
      <c r="D45" s="90"/>
      <c r="E45" s="91"/>
      <c r="F45" s="118">
        <f>SALARIOS!C47</f>
        <v>0.05</v>
      </c>
      <c r="G45" s="119">
        <f>+F45*H40</f>
        <v>20641.506021137317</v>
      </c>
      <c r="H45" s="80"/>
    </row>
    <row r="46" spans="1:8" ht="15.75" thickBot="1">
      <c r="A46" s="61"/>
      <c r="B46" s="61"/>
      <c r="C46" s="61"/>
      <c r="D46" s="61"/>
      <c r="E46" s="61"/>
      <c r="F46" s="61"/>
      <c r="G46" s="81" t="s">
        <v>491</v>
      </c>
      <c r="H46" s="120">
        <f>SUM(G43:G45)</f>
        <v>103207.53010568657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516038</v>
      </c>
    </row>
  </sheetData>
  <mergeCells count="14">
    <mergeCell ref="A33:B33"/>
    <mergeCell ref="A21:C21"/>
    <mergeCell ref="A3:C4"/>
    <mergeCell ref="A5:C5"/>
    <mergeCell ref="D5:H5"/>
    <mergeCell ref="A11:C11"/>
    <mergeCell ref="A12:C12"/>
    <mergeCell ref="A14:C14"/>
    <mergeCell ref="A15:C15"/>
    <mergeCell ref="A16:C16"/>
    <mergeCell ref="A17:C17"/>
    <mergeCell ref="A20:C20"/>
    <mergeCell ref="A27:B27"/>
    <mergeCell ref="A24:C24"/>
  </mergeCells>
  <pageMargins left="0.7" right="0.7" top="0.75" bottom="0.75" header="0.3" footer="0.3"/>
  <pageSetup paperSize="9" scale="9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8"/>
  <sheetViews>
    <sheetView workbookViewId="0"/>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36</v>
      </c>
      <c r="B7" s="62"/>
      <c r="C7" s="61"/>
      <c r="D7" s="16"/>
      <c r="E7" s="62"/>
      <c r="F7" s="16"/>
      <c r="G7" s="62" t="s">
        <v>1644</v>
      </c>
      <c r="H7" s="61"/>
    </row>
    <row r="8" spans="1:8">
      <c r="A8" s="60" t="s">
        <v>1643</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588" t="s">
        <v>486</v>
      </c>
      <c r="E11" s="65" t="s">
        <v>487</v>
      </c>
      <c r="F11" s="588" t="s">
        <v>488</v>
      </c>
      <c r="G11" s="587" t="s">
        <v>489</v>
      </c>
      <c r="H11" s="67"/>
    </row>
    <row r="12" spans="1:8">
      <c r="A12" s="1480" t="s">
        <v>1642</v>
      </c>
      <c r="B12" s="1481"/>
      <c r="C12" s="1482"/>
      <c r="D12" s="68"/>
      <c r="E12" s="86"/>
      <c r="F12" s="161"/>
      <c r="G12" s="71">
        <f>H38*10%</f>
        <v>2312.0787384314767</v>
      </c>
      <c r="H12" s="72"/>
    </row>
    <row r="13" spans="1:8">
      <c r="A13" s="175"/>
      <c r="B13" s="176"/>
      <c r="C13" s="174"/>
      <c r="D13" s="174"/>
      <c r="E13" s="173"/>
      <c r="F13" s="173"/>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2312.0787384314767</v>
      </c>
    </row>
    <row r="19" spans="1:8" ht="15.75" thickBot="1">
      <c r="A19" s="63" t="s">
        <v>492</v>
      </c>
      <c r="B19" s="63"/>
      <c r="C19" s="61"/>
      <c r="D19" s="61"/>
      <c r="E19" s="61"/>
      <c r="F19" s="61"/>
      <c r="G19" s="61"/>
      <c r="H19" s="61"/>
    </row>
    <row r="20" spans="1:8">
      <c r="A20" s="1472" t="s">
        <v>485</v>
      </c>
      <c r="B20" s="1473"/>
      <c r="C20" s="1474"/>
      <c r="D20" s="590" t="s">
        <v>493</v>
      </c>
      <c r="E20" s="590" t="s">
        <v>494</v>
      </c>
      <c r="F20" s="590" t="s">
        <v>495</v>
      </c>
      <c r="G20" s="589" t="s">
        <v>489</v>
      </c>
      <c r="H20" s="67"/>
    </row>
    <row r="21" spans="1:8">
      <c r="A21" s="1478" t="s">
        <v>1697</v>
      </c>
      <c r="B21" s="1470"/>
      <c r="C21" s="1471"/>
      <c r="D21" s="141" t="s">
        <v>44</v>
      </c>
      <c r="E21" s="682">
        <f>MATERIALES!D24</f>
        <v>698.92899999999997</v>
      </c>
      <c r="F21" s="73">
        <v>364</v>
      </c>
      <c r="G21" s="88">
        <f>+E21*F21</f>
        <v>254410.15599999999</v>
      </c>
      <c r="H21" s="72"/>
    </row>
    <row r="22" spans="1:8">
      <c r="A22" s="127" t="s">
        <v>73</v>
      </c>
      <c r="B22" s="84"/>
      <c r="C22" s="85"/>
      <c r="D22" s="68" t="s">
        <v>19</v>
      </c>
      <c r="E22" s="683">
        <f>MATERIALES!D15</f>
        <v>32400</v>
      </c>
      <c r="F22" s="97">
        <v>1.1599999999999999</v>
      </c>
      <c r="G22" s="71">
        <f>+E22*F22</f>
        <v>37584</v>
      </c>
      <c r="H22" s="72"/>
    </row>
    <row r="23" spans="1:8">
      <c r="A23" s="128" t="s">
        <v>1323</v>
      </c>
      <c r="B23" s="129"/>
      <c r="C23" s="130"/>
      <c r="D23" s="131" t="s">
        <v>68</v>
      </c>
      <c r="E23" s="131">
        <f>MATERIALES!D8</f>
        <v>68</v>
      </c>
      <c r="F23" s="131">
        <v>220</v>
      </c>
      <c r="G23" s="71">
        <f>+E23*F23</f>
        <v>14960</v>
      </c>
      <c r="H23" s="72"/>
    </row>
    <row r="24" spans="1:8" ht="15.75" thickBot="1">
      <c r="A24" s="1489" t="s">
        <v>1325</v>
      </c>
      <c r="B24" s="1490"/>
      <c r="C24" s="1491"/>
      <c r="D24" s="702"/>
      <c r="E24" s="703"/>
      <c r="F24" s="704"/>
      <c r="G24" s="705">
        <f>SUM(G21:G23)*5%</f>
        <v>15347.707799999998</v>
      </c>
      <c r="H24" s="80"/>
    </row>
    <row r="25" spans="1:8" ht="15.75" thickBot="1">
      <c r="A25" s="61"/>
      <c r="B25" s="61"/>
      <c r="C25" s="61"/>
      <c r="D25" s="61"/>
      <c r="E25" s="61"/>
      <c r="F25" s="61"/>
      <c r="G25" s="81" t="s">
        <v>491</v>
      </c>
      <c r="H25" s="82">
        <f>SUM(G21:G24)</f>
        <v>322301.86379999993</v>
      </c>
    </row>
    <row r="26" spans="1:8" ht="15.75" thickBot="1">
      <c r="A26" s="92" t="s">
        <v>496</v>
      </c>
      <c r="B26" s="92"/>
      <c r="C26" s="90"/>
      <c r="D26" s="61"/>
      <c r="E26" s="61"/>
      <c r="F26" s="61"/>
      <c r="G26" s="61"/>
      <c r="H26" s="61"/>
    </row>
    <row r="27" spans="1:8">
      <c r="A27" s="1454" t="s">
        <v>497</v>
      </c>
      <c r="B27" s="1456"/>
      <c r="C27" s="93" t="s">
        <v>498</v>
      </c>
      <c r="D27" s="588" t="s">
        <v>499</v>
      </c>
      <c r="E27" s="588" t="s">
        <v>500</v>
      </c>
      <c r="F27" s="588"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588" t="s">
        <v>504</v>
      </c>
      <c r="D33" s="588" t="s">
        <v>505</v>
      </c>
      <c r="E33" s="124" t="s">
        <v>506</v>
      </c>
      <c r="F33" s="102" t="s">
        <v>488</v>
      </c>
      <c r="G33" s="587" t="s">
        <v>489</v>
      </c>
      <c r="H33" s="67"/>
    </row>
    <row r="34" spans="1:8">
      <c r="A34" s="83" t="s">
        <v>624</v>
      </c>
      <c r="B34" s="84"/>
      <c r="C34" s="103">
        <f>+SALARIOS!C50</f>
        <v>41660</v>
      </c>
      <c r="D34" s="104">
        <f>+SALARIOS!C48</f>
        <v>1.7846558312967005</v>
      </c>
      <c r="E34" s="69">
        <f>+C34*D34</f>
        <v>74348.76193182054</v>
      </c>
      <c r="F34" s="69">
        <v>0.09</v>
      </c>
      <c r="G34" s="105">
        <f>+E34*F34</f>
        <v>6691.3885738638483</v>
      </c>
      <c r="H34" s="72"/>
    </row>
    <row r="35" spans="1:8">
      <c r="A35" s="83" t="s">
        <v>629</v>
      </c>
      <c r="B35" s="84"/>
      <c r="C35" s="103">
        <f>+SALARIOS!C49*4</f>
        <v>102288</v>
      </c>
      <c r="D35" s="104">
        <f>+SALARIOS!C48</f>
        <v>1.7846558312967005</v>
      </c>
      <c r="E35" s="69">
        <f>+C35*D35</f>
        <v>182548.87567167688</v>
      </c>
      <c r="F35" s="69">
        <v>0.09</v>
      </c>
      <c r="G35" s="105">
        <f>+E35*F35</f>
        <v>16429.398810450919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23120.787384314768</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347734.72992274619</v>
      </c>
    </row>
    <row r="41" spans="1:8" ht="15.75" thickBot="1">
      <c r="A41" s="63" t="s">
        <v>509</v>
      </c>
      <c r="B41" s="63"/>
      <c r="C41" s="61"/>
      <c r="D41" s="61"/>
      <c r="E41" s="61"/>
      <c r="F41" s="61"/>
      <c r="G41" s="61"/>
      <c r="H41" s="61"/>
    </row>
    <row r="42" spans="1:8">
      <c r="A42" s="110" t="s">
        <v>485</v>
      </c>
      <c r="B42" s="111"/>
      <c r="C42" s="111"/>
      <c r="D42" s="111"/>
      <c r="E42" s="112"/>
      <c r="F42" s="590" t="s">
        <v>510</v>
      </c>
      <c r="G42" s="589" t="s">
        <v>511</v>
      </c>
      <c r="H42" s="67"/>
    </row>
    <row r="43" spans="1:8">
      <c r="A43" s="83" t="s">
        <v>512</v>
      </c>
      <c r="B43" s="84"/>
      <c r="C43" s="84"/>
      <c r="D43" s="84"/>
      <c r="E43" s="85"/>
      <c r="F43" s="115">
        <f>(SALARIOS!C45)</f>
        <v>0.15</v>
      </c>
      <c r="G43" s="116">
        <f>++F43*H40</f>
        <v>52160.209488411929</v>
      </c>
      <c r="H43" s="117"/>
    </row>
    <row r="44" spans="1:8">
      <c r="A44" s="83" t="s">
        <v>513</v>
      </c>
      <c r="B44" s="84"/>
      <c r="C44" s="84"/>
      <c r="D44" s="84"/>
      <c r="E44" s="85"/>
      <c r="F44" s="115">
        <f>(SALARIOS!C46)</f>
        <v>0.05</v>
      </c>
      <c r="G44" s="116">
        <f>+F44*H40</f>
        <v>17386.73649613731</v>
      </c>
      <c r="H44" s="117"/>
    </row>
    <row r="45" spans="1:8" ht="15.75" thickBot="1">
      <c r="A45" s="89" t="s">
        <v>514</v>
      </c>
      <c r="B45" s="90"/>
      <c r="C45" s="90"/>
      <c r="D45" s="90"/>
      <c r="E45" s="91"/>
      <c r="F45" s="118">
        <f>SALARIOS!C47</f>
        <v>0.05</v>
      </c>
      <c r="G45" s="119">
        <f>+F45*H40</f>
        <v>17386.73649613731</v>
      </c>
      <c r="H45" s="80"/>
    </row>
    <row r="46" spans="1:8" ht="15.75" thickBot="1">
      <c r="A46" s="61"/>
      <c r="B46" s="61"/>
      <c r="C46" s="61"/>
      <c r="D46" s="61"/>
      <c r="E46" s="61"/>
      <c r="F46" s="61"/>
      <c r="G46" s="81" t="s">
        <v>491</v>
      </c>
      <c r="H46" s="120">
        <f>SUM(G43:G45)</f>
        <v>86933.682480686548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434668</v>
      </c>
    </row>
  </sheetData>
  <mergeCells count="14">
    <mergeCell ref="A33:B33"/>
    <mergeCell ref="A15:C15"/>
    <mergeCell ref="A16:C16"/>
    <mergeCell ref="A17:C17"/>
    <mergeCell ref="A20:C20"/>
    <mergeCell ref="A21:C21"/>
    <mergeCell ref="A27:B27"/>
    <mergeCell ref="A24:C24"/>
    <mergeCell ref="A14:C14"/>
    <mergeCell ref="A3:C4"/>
    <mergeCell ref="A5:C5"/>
    <mergeCell ref="D5:H5"/>
    <mergeCell ref="A11:C11"/>
    <mergeCell ref="A12:C12"/>
  </mergeCells>
  <pageMargins left="0.7" right="0.7" top="0.75" bottom="0.75" header="0.3" footer="0.3"/>
  <pageSetup paperSize="9" scale="9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topLeftCell="A25" workbookViewId="0">
      <selection activeCell="H40" sqref="H4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644</v>
      </c>
      <c r="H7" s="61"/>
    </row>
    <row r="8" spans="1:8">
      <c r="A8" s="60" t="s">
        <v>642</v>
      </c>
      <c r="B8" s="62"/>
      <c r="C8" s="61"/>
      <c r="D8" s="62"/>
      <c r="E8" s="62"/>
      <c r="F8" s="62"/>
      <c r="G8" s="62" t="s">
        <v>641</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2" t="s">
        <v>486</v>
      </c>
      <c r="E11" s="65" t="s">
        <v>487</v>
      </c>
      <c r="F11" s="182" t="s">
        <v>488</v>
      </c>
      <c r="G11" s="181" t="s">
        <v>489</v>
      </c>
      <c r="H11" s="67"/>
    </row>
    <row r="12" spans="1:8">
      <c r="A12" s="83" t="s">
        <v>1327</v>
      </c>
      <c r="B12" s="84"/>
      <c r="C12" s="85"/>
      <c r="D12" s="68"/>
      <c r="E12" s="86"/>
      <c r="F12" s="161"/>
      <c r="G12" s="71">
        <f>H38*10%</f>
        <v>456.37218917919222</v>
      </c>
      <c r="H12" s="72"/>
    </row>
    <row r="13" spans="1:8">
      <c r="A13" s="175" t="s">
        <v>643</v>
      </c>
      <c r="B13" s="176"/>
      <c r="C13" s="174"/>
      <c r="D13" s="174" t="s">
        <v>6</v>
      </c>
      <c r="E13" s="173">
        <f>+'EQUIPOS '!D4</f>
        <v>87000</v>
      </c>
      <c r="F13" s="69">
        <v>13</v>
      </c>
      <c r="G13" s="173">
        <f>+E13/F13</f>
        <v>6692.3076923076924</v>
      </c>
      <c r="H13" s="72"/>
    </row>
    <row r="14" spans="1:8">
      <c r="A14" s="1483" t="s">
        <v>110</v>
      </c>
      <c r="B14" s="1484"/>
      <c r="C14" s="1485"/>
      <c r="D14" s="73" t="s">
        <v>6</v>
      </c>
      <c r="E14" s="74">
        <f>+'EQUIPOS '!D12</f>
        <v>115999.99999999999</v>
      </c>
      <c r="F14" s="69">
        <v>13</v>
      </c>
      <c r="G14" s="708">
        <f>+E14/F14</f>
        <v>8923.076923076922</v>
      </c>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16071.756804563807</v>
      </c>
    </row>
    <row r="19" spans="1:8" ht="15.75" thickBot="1">
      <c r="A19" s="63" t="s">
        <v>492</v>
      </c>
      <c r="B19" s="63"/>
      <c r="C19" s="61"/>
      <c r="D19" s="61"/>
      <c r="E19" s="61"/>
      <c r="F19" s="61"/>
      <c r="G19" s="61"/>
      <c r="H19" s="61"/>
    </row>
    <row r="20" spans="1:8">
      <c r="A20" s="1472" t="s">
        <v>485</v>
      </c>
      <c r="B20" s="1473"/>
      <c r="C20" s="1474"/>
      <c r="D20" s="184" t="s">
        <v>493</v>
      </c>
      <c r="E20" s="184" t="s">
        <v>494</v>
      </c>
      <c r="F20" s="184" t="s">
        <v>495</v>
      </c>
      <c r="G20" s="183" t="s">
        <v>489</v>
      </c>
      <c r="H20" s="67"/>
    </row>
    <row r="21" spans="1:8">
      <c r="A21" s="127" t="s">
        <v>1840</v>
      </c>
      <c r="B21" s="84"/>
      <c r="C21" s="85"/>
      <c r="D21" s="141" t="s">
        <v>19</v>
      </c>
      <c r="E21" s="139">
        <f>+MATERIALES!D18</f>
        <v>41064</v>
      </c>
      <c r="F21" s="137">
        <v>1.3</v>
      </c>
      <c r="G21" s="137">
        <f>+E21*F21</f>
        <v>53383.200000000004</v>
      </c>
      <c r="H21" s="59"/>
    </row>
    <row r="22" spans="1:8">
      <c r="A22" s="127" t="s">
        <v>1323</v>
      </c>
      <c r="B22" s="84"/>
      <c r="C22" s="85"/>
      <c r="D22" s="68" t="s">
        <v>1329</v>
      </c>
      <c r="E22" s="741">
        <f>MATERIALES!D8</f>
        <v>68</v>
      </c>
      <c r="F22" s="161">
        <v>60</v>
      </c>
      <c r="G22" s="69">
        <f>E22*F22</f>
        <v>4080</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57463.200000000004</v>
      </c>
    </row>
    <row r="26" spans="1:8" ht="15.75" thickBot="1">
      <c r="A26" s="92" t="s">
        <v>496</v>
      </c>
      <c r="B26" s="92"/>
      <c r="C26" s="90"/>
      <c r="D26" s="61"/>
      <c r="E26" s="61"/>
      <c r="F26" s="61"/>
      <c r="G26" s="61"/>
      <c r="H26" s="61"/>
    </row>
    <row r="27" spans="1:8">
      <c r="A27" s="1454" t="s">
        <v>497</v>
      </c>
      <c r="B27" s="1456"/>
      <c r="C27" s="93" t="s">
        <v>498</v>
      </c>
      <c r="D27" s="182" t="s">
        <v>499</v>
      </c>
      <c r="E27" s="182" t="s">
        <v>500</v>
      </c>
      <c r="F27" s="182" t="s">
        <v>501</v>
      </c>
      <c r="G27" s="94" t="s">
        <v>489</v>
      </c>
      <c r="H27" s="67"/>
    </row>
    <row r="28" spans="1:8">
      <c r="A28" s="83" t="s">
        <v>1840</v>
      </c>
      <c r="B28" s="84"/>
      <c r="C28" s="450">
        <f>F21</f>
        <v>1.3</v>
      </c>
      <c r="D28" s="96">
        <v>16</v>
      </c>
      <c r="E28" s="96">
        <f>C28*D28</f>
        <v>20.8</v>
      </c>
      <c r="F28" s="97">
        <f>'EQUIPOS '!D31</f>
        <v>1060</v>
      </c>
      <c r="G28" s="69">
        <f>E28*F28</f>
        <v>22048</v>
      </c>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22048</v>
      </c>
    </row>
    <row r="32" spans="1:8" ht="15.75" thickBot="1">
      <c r="A32" s="92" t="s">
        <v>502</v>
      </c>
      <c r="B32" s="92"/>
      <c r="C32" s="61"/>
      <c r="D32" s="61"/>
      <c r="E32" s="61"/>
      <c r="F32" s="61"/>
      <c r="G32" s="61"/>
      <c r="H32" s="61"/>
    </row>
    <row r="33" spans="1:8">
      <c r="A33" s="1454" t="s">
        <v>503</v>
      </c>
      <c r="B33" s="1456"/>
      <c r="C33" s="182" t="s">
        <v>504</v>
      </c>
      <c r="D33" s="182" t="s">
        <v>505</v>
      </c>
      <c r="E33" s="124" t="s">
        <v>506</v>
      </c>
      <c r="F33" s="102" t="s">
        <v>488</v>
      </c>
      <c r="G33" s="181" t="s">
        <v>489</v>
      </c>
      <c r="H33" s="67"/>
    </row>
    <row r="34" spans="1:8">
      <c r="A34" s="83" t="s">
        <v>554</v>
      </c>
      <c r="B34" s="84"/>
      <c r="C34" s="103">
        <f>+SALARIOS!C49*2</f>
        <v>51144</v>
      </c>
      <c r="D34" s="104">
        <f>+SALARIOS!C48</f>
        <v>1.7846558312967005</v>
      </c>
      <c r="E34" s="69">
        <f>+C34*D34</f>
        <v>91274.437835838442</v>
      </c>
      <c r="F34" s="69">
        <v>20</v>
      </c>
      <c r="G34" s="105">
        <f>+E34/F34</f>
        <v>4563.7218917919217</v>
      </c>
      <c r="H34" s="72"/>
    </row>
    <row r="35" spans="1:8">
      <c r="A35" s="164"/>
      <c r="B35" s="166"/>
      <c r="C35" s="167"/>
      <c r="D35" s="167"/>
      <c r="E35" s="167"/>
      <c r="F35" s="167"/>
      <c r="G35" s="167"/>
      <c r="H35" s="59"/>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4563.7218917919217</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100146.67869635574</v>
      </c>
    </row>
    <row r="41" spans="1:8" ht="15.75" thickBot="1">
      <c r="A41" s="63" t="s">
        <v>509</v>
      </c>
      <c r="B41" s="63"/>
      <c r="C41" s="61"/>
      <c r="D41" s="61"/>
      <c r="E41" s="61"/>
      <c r="F41" s="61"/>
      <c r="G41" s="61"/>
      <c r="H41" s="61"/>
    </row>
    <row r="42" spans="1:8">
      <c r="A42" s="110" t="s">
        <v>485</v>
      </c>
      <c r="B42" s="111"/>
      <c r="C42" s="111"/>
      <c r="D42" s="111"/>
      <c r="E42" s="112"/>
      <c r="F42" s="184" t="s">
        <v>510</v>
      </c>
      <c r="G42" s="183" t="s">
        <v>511</v>
      </c>
      <c r="H42" s="67"/>
    </row>
    <row r="43" spans="1:8">
      <c r="A43" s="83" t="s">
        <v>512</v>
      </c>
      <c r="B43" s="84"/>
      <c r="C43" s="84"/>
      <c r="D43" s="84"/>
      <c r="E43" s="85"/>
      <c r="F43" s="115">
        <f>(SALARIOS!C45)</f>
        <v>0.15</v>
      </c>
      <c r="G43" s="116">
        <f>++F43*H40</f>
        <v>15022.001804453361</v>
      </c>
      <c r="H43" s="117"/>
    </row>
    <row r="44" spans="1:8">
      <c r="A44" s="83" t="s">
        <v>513</v>
      </c>
      <c r="B44" s="84"/>
      <c r="C44" s="84"/>
      <c r="D44" s="84"/>
      <c r="E44" s="85"/>
      <c r="F44" s="115">
        <f>(SALARIOS!C46)</f>
        <v>0.05</v>
      </c>
      <c r="G44" s="116">
        <f>+F44*H40</f>
        <v>5007.3339348177869</v>
      </c>
      <c r="H44" s="117"/>
    </row>
    <row r="45" spans="1:8" ht="15.75" thickBot="1">
      <c r="A45" s="89" t="s">
        <v>514</v>
      </c>
      <c r="B45" s="90"/>
      <c r="C45" s="90"/>
      <c r="D45" s="90"/>
      <c r="E45" s="91"/>
      <c r="F45" s="118">
        <f>SALARIOS!C47</f>
        <v>0.05</v>
      </c>
      <c r="G45" s="119">
        <f>+F45*H40</f>
        <v>5007.3339348177869</v>
      </c>
      <c r="H45" s="80"/>
    </row>
    <row r="46" spans="1:8" ht="15.75" thickBot="1">
      <c r="A46" s="61"/>
      <c r="B46" s="61"/>
      <c r="C46" s="61"/>
      <c r="D46" s="61"/>
      <c r="E46" s="61"/>
      <c r="F46" s="61"/>
      <c r="G46" s="81" t="s">
        <v>491</v>
      </c>
      <c r="H46" s="120">
        <f>SUM(G43:G45)</f>
        <v>25036.669674088935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125183</v>
      </c>
    </row>
  </sheetData>
  <mergeCells count="11">
    <mergeCell ref="A33:B33"/>
    <mergeCell ref="A3:C4"/>
    <mergeCell ref="A5:C5"/>
    <mergeCell ref="D5:H5"/>
    <mergeCell ref="A11:C11"/>
    <mergeCell ref="A14:C14"/>
    <mergeCell ref="A15:C15"/>
    <mergeCell ref="A16:C16"/>
    <mergeCell ref="A17:C17"/>
    <mergeCell ref="A20:C20"/>
    <mergeCell ref="A27:B27"/>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topLeftCell="A25" zoomScaleNormal="100"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645</v>
      </c>
      <c r="H7" s="61"/>
    </row>
    <row r="8" spans="1:8">
      <c r="A8" s="60" t="s">
        <v>646</v>
      </c>
      <c r="B8" s="62"/>
      <c r="C8" s="61"/>
      <c r="D8" s="62"/>
      <c r="E8" s="62"/>
      <c r="F8" s="62"/>
      <c r="G8" s="62" t="s">
        <v>641</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83" t="s">
        <v>1327</v>
      </c>
      <c r="B12" s="84"/>
      <c r="C12" s="85"/>
      <c r="D12" s="68"/>
      <c r="E12" s="86"/>
      <c r="F12" s="161"/>
      <c r="G12" s="71">
        <f>H38*10%</f>
        <v>456.37218917919222</v>
      </c>
      <c r="H12" s="72"/>
    </row>
    <row r="13" spans="1:8">
      <c r="A13" s="175" t="s">
        <v>643</v>
      </c>
      <c r="B13" s="176"/>
      <c r="C13" s="174"/>
      <c r="D13" s="174" t="s">
        <v>6</v>
      </c>
      <c r="E13" s="173">
        <f>+'EQUIPOS '!D4</f>
        <v>87000</v>
      </c>
      <c r="F13" s="69">
        <v>13</v>
      </c>
      <c r="G13" s="173">
        <f>+E13/F13</f>
        <v>6692.3076923076924</v>
      </c>
      <c r="H13" s="72"/>
    </row>
    <row r="14" spans="1:8">
      <c r="A14" s="1483" t="s">
        <v>110</v>
      </c>
      <c r="B14" s="1484"/>
      <c r="C14" s="1485"/>
      <c r="D14" s="73" t="s">
        <v>6</v>
      </c>
      <c r="E14" s="74">
        <f>+'EQUIPOS '!D12</f>
        <v>115999.99999999999</v>
      </c>
      <c r="F14" s="69">
        <v>13</v>
      </c>
      <c r="G14" s="708">
        <f>+E14/F14</f>
        <v>8923.076923076922</v>
      </c>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16071.756804563807</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1856</v>
      </c>
      <c r="B21" s="84"/>
      <c r="C21" s="85"/>
      <c r="D21" s="141" t="s">
        <v>19</v>
      </c>
      <c r="E21" s="139">
        <f>+MATERIALES!D54</f>
        <v>38164</v>
      </c>
      <c r="F21" s="137">
        <v>1.3</v>
      </c>
      <c r="G21" s="137">
        <f>+E21*F21</f>
        <v>49613.200000000004</v>
      </c>
      <c r="H21" s="59"/>
    </row>
    <row r="22" spans="1:8">
      <c r="A22" s="127" t="s">
        <v>1323</v>
      </c>
      <c r="B22" s="84"/>
      <c r="C22" s="85"/>
      <c r="D22" s="68" t="s">
        <v>1329</v>
      </c>
      <c r="E22" s="142">
        <f>MATERIALES!D8</f>
        <v>68</v>
      </c>
      <c r="F22" s="86">
        <v>60</v>
      </c>
      <c r="G22" s="69">
        <f>E22*F22</f>
        <v>4080</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53693.200000000004</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t="s">
        <v>1886</v>
      </c>
      <c r="B28" s="84"/>
      <c r="C28" s="450">
        <f>F21</f>
        <v>1.3</v>
      </c>
      <c r="D28" s="96">
        <v>16</v>
      </c>
      <c r="E28" s="96">
        <f>C28*D28</f>
        <v>20.8</v>
      </c>
      <c r="F28" s="97">
        <f>'EQUIPOS '!D31</f>
        <v>1060</v>
      </c>
      <c r="G28" s="69">
        <f>E28*F28</f>
        <v>22048</v>
      </c>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22048</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554</v>
      </c>
      <c r="B34" s="84"/>
      <c r="C34" s="103">
        <f>+SALARIOS!C49*2</f>
        <v>51144</v>
      </c>
      <c r="D34" s="104">
        <f>+SALARIOS!C48</f>
        <v>1.7846558312967005</v>
      </c>
      <c r="E34" s="69">
        <f>+C34*D34</f>
        <v>91274.437835838442</v>
      </c>
      <c r="F34" s="69">
        <v>20</v>
      </c>
      <c r="G34" s="105">
        <f>+E34/F34</f>
        <v>4563.7218917919217</v>
      </c>
      <c r="H34" s="72"/>
    </row>
    <row r="35" spans="1:8">
      <c r="A35" s="164"/>
      <c r="B35" s="166"/>
      <c r="C35" s="167"/>
      <c r="D35" s="167"/>
      <c r="E35" s="167"/>
      <c r="F35" s="167"/>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4563.7218917919217</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96376.678696355739</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14456.501804453361</v>
      </c>
      <c r="H43" s="117"/>
    </row>
    <row r="44" spans="1:8">
      <c r="A44" s="83" t="s">
        <v>513</v>
      </c>
      <c r="B44" s="84"/>
      <c r="C44" s="84"/>
      <c r="D44" s="84"/>
      <c r="E44" s="85"/>
      <c r="F44" s="115">
        <f>(SALARIOS!C46)</f>
        <v>0.05</v>
      </c>
      <c r="G44" s="116">
        <f>+F44*H40</f>
        <v>4818.8339348177869</v>
      </c>
      <c r="H44" s="117"/>
    </row>
    <row r="45" spans="1:8" ht="15.75" thickBot="1">
      <c r="A45" s="89" t="s">
        <v>514</v>
      </c>
      <c r="B45" s="90"/>
      <c r="C45" s="90"/>
      <c r="D45" s="90"/>
      <c r="E45" s="91"/>
      <c r="F45" s="118">
        <f>SALARIOS!C47</f>
        <v>0.05</v>
      </c>
      <c r="G45" s="119">
        <f>+F45*H40</f>
        <v>4818.8339348177869</v>
      </c>
      <c r="H45" s="80"/>
    </row>
    <row r="46" spans="1:8" ht="15.75" thickBot="1">
      <c r="A46" s="61"/>
      <c r="B46" s="61"/>
      <c r="C46" s="61"/>
      <c r="D46" s="61"/>
      <c r="E46" s="61"/>
      <c r="F46" s="61"/>
      <c r="G46" s="81" t="s">
        <v>491</v>
      </c>
      <c r="H46" s="120">
        <f>SUM(G43:G45)</f>
        <v>24094.169674088935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120471</v>
      </c>
    </row>
  </sheetData>
  <mergeCells count="11">
    <mergeCell ref="A33:B33"/>
    <mergeCell ref="A3:C4"/>
    <mergeCell ref="A5:C5"/>
    <mergeCell ref="D5:H5"/>
    <mergeCell ref="A11:C11"/>
    <mergeCell ref="A14:C14"/>
    <mergeCell ref="A15:C15"/>
    <mergeCell ref="A16:C16"/>
    <mergeCell ref="A17:C17"/>
    <mergeCell ref="A20:C20"/>
    <mergeCell ref="A27:B27"/>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7"/>
  <sheetViews>
    <sheetView workbookViewId="0">
      <selection activeCell="F12" sqref="F1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647</v>
      </c>
      <c r="H7" s="61"/>
    </row>
    <row r="8" spans="1:8">
      <c r="A8" s="60" t="s">
        <v>1806</v>
      </c>
      <c r="B8" s="62"/>
      <c r="C8" s="61"/>
      <c r="D8" s="62"/>
      <c r="E8" s="62"/>
      <c r="F8" s="62"/>
      <c r="G8" s="62" t="s">
        <v>641</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643</v>
      </c>
      <c r="B12" s="176"/>
      <c r="C12" s="174"/>
      <c r="D12" s="174" t="s">
        <v>6</v>
      </c>
      <c r="E12" s="173">
        <f>+'EQUIPOS '!D4</f>
        <v>87000</v>
      </c>
      <c r="F12" s="69">
        <v>12</v>
      </c>
      <c r="G12" s="173">
        <f>+E12/F12</f>
        <v>7250</v>
      </c>
      <c r="H12" s="72"/>
    </row>
    <row r="13" spans="1:8">
      <c r="A13" s="1463" t="s">
        <v>110</v>
      </c>
      <c r="B13" s="1464"/>
      <c r="C13" s="1465"/>
      <c r="D13" s="73" t="s">
        <v>6</v>
      </c>
      <c r="E13" s="74">
        <f>+'EQUIPOS '!D12</f>
        <v>115999.99999999999</v>
      </c>
      <c r="F13" s="69">
        <v>10</v>
      </c>
      <c r="G13" s="708">
        <f>+E13/F13</f>
        <v>11599.999999999998</v>
      </c>
      <c r="H13" s="72"/>
    </row>
    <row r="14" spans="1:8">
      <c r="A14" s="1463"/>
      <c r="B14" s="1464"/>
      <c r="C14" s="1465"/>
      <c r="D14" s="73"/>
      <c r="E14" s="74"/>
      <c r="F14" s="69"/>
      <c r="G14" s="71"/>
      <c r="H14" s="72"/>
    </row>
    <row r="15" spans="1:8">
      <c r="A15" s="1463"/>
      <c r="B15" s="1464"/>
      <c r="C15" s="1465"/>
      <c r="D15" s="73"/>
      <c r="E15" s="74"/>
      <c r="F15" s="69"/>
      <c r="G15" s="71"/>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SUM(G12:G16)</f>
        <v>18850</v>
      </c>
    </row>
    <row r="18" spans="1:8" ht="15.75" thickBot="1">
      <c r="A18" s="63" t="s">
        <v>492</v>
      </c>
      <c r="B18" s="63"/>
      <c r="C18" s="61"/>
      <c r="D18" s="61"/>
      <c r="E18" s="61"/>
      <c r="F18" s="61"/>
      <c r="G18" s="61"/>
      <c r="H18" s="61"/>
    </row>
    <row r="19" spans="1:8">
      <c r="A19" s="1472" t="s">
        <v>485</v>
      </c>
      <c r="B19" s="1473"/>
      <c r="C19" s="1474"/>
      <c r="D19" s="188" t="s">
        <v>493</v>
      </c>
      <c r="E19" s="188" t="s">
        <v>494</v>
      </c>
      <c r="F19" s="188" t="s">
        <v>495</v>
      </c>
      <c r="G19" s="187" t="s">
        <v>489</v>
      </c>
      <c r="H19" s="67"/>
    </row>
    <row r="20" spans="1:8">
      <c r="A20" s="127"/>
      <c r="B20" s="84"/>
      <c r="C20" s="85"/>
      <c r="D20" s="141"/>
      <c r="E20" s="139"/>
      <c r="F20" s="163"/>
      <c r="G20" s="137"/>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1454" t="s">
        <v>497</v>
      </c>
      <c r="B26" s="1456"/>
      <c r="C26" s="93" t="s">
        <v>498</v>
      </c>
      <c r="D26" s="186" t="s">
        <v>499</v>
      </c>
      <c r="E26" s="186" t="s">
        <v>500</v>
      </c>
      <c r="F26" s="186" t="s">
        <v>501</v>
      </c>
      <c r="G26" s="94" t="s">
        <v>489</v>
      </c>
      <c r="H26" s="67"/>
    </row>
    <row r="27" spans="1:8">
      <c r="A27" s="83"/>
      <c r="B27" s="84"/>
      <c r="C27" s="95"/>
      <c r="D27" s="96"/>
      <c r="E27" s="96"/>
      <c r="F27" s="97"/>
      <c r="G27" s="69"/>
      <c r="H27" s="72"/>
    </row>
    <row r="28" spans="1:8">
      <c r="A28" s="83"/>
      <c r="B28" s="84"/>
      <c r="C28" s="98"/>
      <c r="D28" s="68"/>
      <c r="E28" s="99"/>
      <c r="F28" s="69"/>
      <c r="G28" s="69"/>
      <c r="H28" s="72"/>
    </row>
    <row r="29" spans="1:8" ht="15.75" thickBot="1">
      <c r="A29" s="100"/>
      <c r="B29" s="101"/>
      <c r="C29" s="76"/>
      <c r="D29" s="77"/>
      <c r="E29" s="78"/>
      <c r="F29" s="79"/>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454" t="s">
        <v>503</v>
      </c>
      <c r="B32" s="1456"/>
      <c r="C32" s="186" t="s">
        <v>504</v>
      </c>
      <c r="D32" s="186" t="s">
        <v>505</v>
      </c>
      <c r="E32" s="124" t="s">
        <v>506</v>
      </c>
      <c r="F32" s="102" t="s">
        <v>488</v>
      </c>
      <c r="G32" s="185" t="s">
        <v>489</v>
      </c>
      <c r="H32" s="67"/>
    </row>
    <row r="33" spans="1:8">
      <c r="A33" s="83"/>
      <c r="B33" s="84"/>
      <c r="C33" s="103"/>
      <c r="D33" s="104"/>
      <c r="E33" s="69"/>
      <c r="F33" s="69"/>
      <c r="G33" s="105"/>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0</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18850</v>
      </c>
    </row>
    <row r="40" spans="1:8" ht="15.75" thickBot="1">
      <c r="A40" s="63" t="s">
        <v>509</v>
      </c>
      <c r="B40" s="63"/>
      <c r="C40" s="61"/>
      <c r="D40" s="61"/>
      <c r="E40" s="61"/>
      <c r="F40" s="61"/>
      <c r="G40" s="61"/>
      <c r="H40" s="61"/>
    </row>
    <row r="41" spans="1:8">
      <c r="A41" s="110" t="s">
        <v>485</v>
      </c>
      <c r="B41" s="111"/>
      <c r="C41" s="111"/>
      <c r="D41" s="111"/>
      <c r="E41" s="112"/>
      <c r="F41" s="188" t="s">
        <v>510</v>
      </c>
      <c r="G41" s="187" t="s">
        <v>511</v>
      </c>
      <c r="H41" s="67"/>
    </row>
    <row r="42" spans="1:8">
      <c r="A42" s="83" t="s">
        <v>512</v>
      </c>
      <c r="B42" s="84"/>
      <c r="C42" s="84"/>
      <c r="D42" s="84"/>
      <c r="E42" s="85"/>
      <c r="F42" s="115">
        <f>(SALARIOS!C45)</f>
        <v>0.15</v>
      </c>
      <c r="G42" s="116">
        <f>++F42*H39</f>
        <v>2827.5</v>
      </c>
      <c r="H42" s="117"/>
    </row>
    <row r="43" spans="1:8">
      <c r="A43" s="83" t="s">
        <v>513</v>
      </c>
      <c r="B43" s="84"/>
      <c r="C43" s="84"/>
      <c r="D43" s="84"/>
      <c r="E43" s="85"/>
      <c r="F43" s="115">
        <f>(SALARIOS!C46)</f>
        <v>0.05</v>
      </c>
      <c r="G43" s="116">
        <f>+F43*H39</f>
        <v>942.5</v>
      </c>
      <c r="H43" s="117"/>
    </row>
    <row r="44" spans="1:8" ht="15.75" thickBot="1">
      <c r="A44" s="89" t="s">
        <v>514</v>
      </c>
      <c r="B44" s="90"/>
      <c r="C44" s="90"/>
      <c r="D44" s="90"/>
      <c r="E44" s="91"/>
      <c r="F44" s="118">
        <f>SALARIOS!C47</f>
        <v>0.05</v>
      </c>
      <c r="G44" s="119">
        <f>+F44*H39</f>
        <v>942.5</v>
      </c>
      <c r="H44" s="80"/>
    </row>
    <row r="45" spans="1:8" ht="15.75" thickBot="1">
      <c r="A45" s="61"/>
      <c r="B45" s="61"/>
      <c r="C45" s="61"/>
      <c r="D45" s="61"/>
      <c r="E45" s="61"/>
      <c r="F45" s="61"/>
      <c r="G45" s="81" t="s">
        <v>491</v>
      </c>
      <c r="H45" s="120">
        <f>SUM(G42:G44)</f>
        <v>4712.5</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23563</v>
      </c>
    </row>
  </sheetData>
  <mergeCells count="11">
    <mergeCell ref="A32:B32"/>
    <mergeCell ref="A3:C4"/>
    <mergeCell ref="A5:C5"/>
    <mergeCell ref="D5:H5"/>
    <mergeCell ref="A11:C11"/>
    <mergeCell ref="A13:C13"/>
    <mergeCell ref="A14:C14"/>
    <mergeCell ref="A15:C15"/>
    <mergeCell ref="A16:C16"/>
    <mergeCell ref="A19:C19"/>
    <mergeCell ref="A26:B26"/>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648</v>
      </c>
      <c r="H7" s="61"/>
    </row>
    <row r="8" spans="1:8">
      <c r="A8" s="60" t="s">
        <v>649</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1327</v>
      </c>
      <c r="B12" s="1481"/>
      <c r="C12" s="1482"/>
      <c r="D12" s="68"/>
      <c r="E12" s="86"/>
      <c r="F12" s="161"/>
      <c r="G12" s="71">
        <f>H38*10%</f>
        <v>182.54900000000001</v>
      </c>
      <c r="H12" s="72"/>
    </row>
    <row r="13" spans="1:8">
      <c r="A13" s="175"/>
      <c r="B13" s="176"/>
      <c r="C13" s="174"/>
      <c r="D13" s="174"/>
      <c r="E13" s="173"/>
      <c r="F13" s="69"/>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182.54900000000001</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1668</v>
      </c>
      <c r="B21" s="84"/>
      <c r="C21" s="85"/>
      <c r="D21" s="141" t="s">
        <v>111</v>
      </c>
      <c r="E21" s="139">
        <f>+MATERIALES!D71</f>
        <v>5500</v>
      </c>
      <c r="F21" s="163">
        <v>0.73</v>
      </c>
      <c r="G21" s="137">
        <f>+E21*F21</f>
        <v>4015</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4015</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553</v>
      </c>
      <c r="B34" s="84"/>
      <c r="C34" s="103">
        <f>+SALARIOS!C49*2</f>
        <v>51144</v>
      </c>
      <c r="D34" s="104">
        <f>+SALARIOS!C48</f>
        <v>1.7846558312967005</v>
      </c>
      <c r="E34" s="69">
        <f>+C34*D34</f>
        <v>91274.437835838442</v>
      </c>
      <c r="F34" s="69">
        <v>50</v>
      </c>
      <c r="G34" s="105">
        <f>ROUND(E34/F34,2)</f>
        <v>1825.49</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1825.49</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6023.0389999999998</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903.45584999999994</v>
      </c>
      <c r="H43" s="117"/>
    </row>
    <row r="44" spans="1:8">
      <c r="A44" s="83" t="s">
        <v>513</v>
      </c>
      <c r="B44" s="84"/>
      <c r="C44" s="84"/>
      <c r="D44" s="84"/>
      <c r="E44" s="85"/>
      <c r="F44" s="115">
        <f>(SALARIOS!C46)</f>
        <v>0.05</v>
      </c>
      <c r="G44" s="116">
        <f>+F44*H40</f>
        <v>301.15195</v>
      </c>
      <c r="H44" s="117"/>
    </row>
    <row r="45" spans="1:8" ht="15.75" thickBot="1">
      <c r="A45" s="89" t="s">
        <v>514</v>
      </c>
      <c r="B45" s="90"/>
      <c r="C45" s="90"/>
      <c r="D45" s="90"/>
      <c r="E45" s="91"/>
      <c r="F45" s="118">
        <f>SALARIOS!C47</f>
        <v>0.05</v>
      </c>
      <c r="G45" s="119">
        <f>+F45*H40</f>
        <v>301.15195</v>
      </c>
      <c r="H45" s="80"/>
    </row>
    <row r="46" spans="1:8" ht="15.75" thickBot="1">
      <c r="A46" s="61"/>
      <c r="B46" s="61"/>
      <c r="C46" s="61"/>
      <c r="D46" s="61"/>
      <c r="E46" s="61"/>
      <c r="F46" s="61"/>
      <c r="G46" s="81" t="s">
        <v>491</v>
      </c>
      <c r="H46" s="120">
        <f>SUM(G43:G45)</f>
        <v>1505.7597499999999</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7529</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election activeCell="D29" sqref="D29"/>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650</v>
      </c>
      <c r="H7" s="61"/>
    </row>
    <row r="8" spans="1:8">
      <c r="A8" s="60" t="s">
        <v>651</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1887</v>
      </c>
      <c r="B12" s="1481"/>
      <c r="C12" s="1482"/>
      <c r="D12" s="68" t="s">
        <v>549</v>
      </c>
      <c r="E12" s="86">
        <v>200</v>
      </c>
      <c r="F12" s="161">
        <v>1</v>
      </c>
      <c r="G12" s="71">
        <f>+E12*F12</f>
        <v>200</v>
      </c>
      <c r="H12" s="72"/>
    </row>
    <row r="13" spans="1:8">
      <c r="A13" s="175"/>
      <c r="B13" s="176"/>
      <c r="C13" s="174"/>
      <c r="D13" s="174"/>
      <c r="E13" s="173"/>
      <c r="F13" s="69"/>
      <c r="G13" s="173"/>
      <c r="H13" s="72"/>
    </row>
    <row r="14" spans="1:8">
      <c r="A14" s="1483"/>
      <c r="B14" s="1484"/>
      <c r="C14" s="148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200</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222</v>
      </c>
      <c r="B21" s="84"/>
      <c r="C21" s="85"/>
      <c r="D21" s="141"/>
      <c r="E21" s="139">
        <f>+MATERIALES!D72</f>
        <v>398000</v>
      </c>
      <c r="F21" s="163">
        <v>1.22</v>
      </c>
      <c r="G21" s="137">
        <f>+E21*F21</f>
        <v>485560</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485560</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t="s">
        <v>176</v>
      </c>
      <c r="B28" s="84"/>
      <c r="C28" s="95"/>
      <c r="D28" s="96">
        <v>25</v>
      </c>
      <c r="E28" s="96">
        <v>1</v>
      </c>
      <c r="F28" s="97">
        <f>+'EQUIPOS '!D31</f>
        <v>1060</v>
      </c>
      <c r="G28" s="69">
        <f>+D28*E28*F28</f>
        <v>26500</v>
      </c>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26500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512260</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76839</v>
      </c>
      <c r="H43" s="117"/>
    </row>
    <row r="44" spans="1:8">
      <c r="A44" s="83" t="s">
        <v>513</v>
      </c>
      <c r="B44" s="84"/>
      <c r="C44" s="84"/>
      <c r="D44" s="84"/>
      <c r="E44" s="85"/>
      <c r="F44" s="115">
        <f>(SALARIOS!C46)</f>
        <v>0.05</v>
      </c>
      <c r="G44" s="116">
        <f>+F44*H40</f>
        <v>25613</v>
      </c>
      <c r="H44" s="117"/>
    </row>
    <row r="45" spans="1:8" ht="15.75" thickBot="1">
      <c r="A45" s="89" t="s">
        <v>514</v>
      </c>
      <c r="B45" s="90"/>
      <c r="C45" s="90"/>
      <c r="D45" s="90"/>
      <c r="E45" s="91"/>
      <c r="F45" s="118">
        <f>SALARIOS!C47</f>
        <v>0.05</v>
      </c>
      <c r="G45" s="119">
        <f>+F45*H40</f>
        <v>25613</v>
      </c>
      <c r="H45" s="80"/>
    </row>
    <row r="46" spans="1:8" ht="15.75" thickBot="1">
      <c r="A46" s="61"/>
      <c r="B46" s="61"/>
      <c r="C46" s="61"/>
      <c r="D46" s="61"/>
      <c r="E46" s="61"/>
      <c r="F46" s="61"/>
      <c r="G46" s="81" t="s">
        <v>491</v>
      </c>
      <c r="H46" s="120">
        <f>SUM(G43:G45)</f>
        <v>128065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640325</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357"/>
  <sheetViews>
    <sheetView zoomScaleNormal="100" workbookViewId="0">
      <pane ySplit="2" topLeftCell="A39" activePane="bottomLeft" state="frozen"/>
      <selection activeCell="B1" sqref="B1"/>
      <selection pane="bottomLeft" activeCell="F62" sqref="F62"/>
    </sheetView>
  </sheetViews>
  <sheetFormatPr baseColWidth="10" defaultRowHeight="15"/>
  <cols>
    <col min="1" max="1" width="6.140625" style="23" customWidth="1"/>
    <col min="2" max="2" width="59.7109375" customWidth="1"/>
    <col min="3" max="3" width="9.140625" bestFit="1" customWidth="1"/>
    <col min="4" max="4" width="14.42578125" style="33" customWidth="1"/>
    <col min="5" max="6" width="17.7109375" customWidth="1"/>
    <col min="7" max="8" width="14.7109375" style="456" customWidth="1"/>
    <col min="9" max="9" width="3.5703125" bestFit="1" customWidth="1"/>
    <col min="10" max="10" width="14.5703125" bestFit="1" customWidth="1"/>
    <col min="11" max="11" width="14.42578125" bestFit="1" customWidth="1"/>
    <col min="12" max="12" width="12" bestFit="1" customWidth="1"/>
    <col min="13" max="13" width="11.85546875" bestFit="1" customWidth="1"/>
  </cols>
  <sheetData>
    <row r="1" spans="1:11" ht="15" customHeight="1" thickBot="1">
      <c r="A1" s="1397" t="s">
        <v>535</v>
      </c>
      <c r="B1" s="1397"/>
      <c r="C1" s="1397"/>
      <c r="D1" s="1398"/>
      <c r="G1" s="457">
        <v>1</v>
      </c>
      <c r="H1" s="457"/>
    </row>
    <row r="2" spans="1:11" ht="45.75" thickBot="1">
      <c r="A2" s="462" t="s">
        <v>534</v>
      </c>
      <c r="B2" s="462" t="s">
        <v>200</v>
      </c>
      <c r="C2" s="462" t="s">
        <v>0</v>
      </c>
      <c r="D2" s="462" t="s">
        <v>1406</v>
      </c>
      <c r="E2" s="462" t="s">
        <v>1403</v>
      </c>
      <c r="F2" s="462" t="s">
        <v>1404</v>
      </c>
      <c r="G2" s="462" t="s">
        <v>1405</v>
      </c>
      <c r="H2" s="462" t="s">
        <v>1402</v>
      </c>
    </row>
    <row r="3" spans="1:11">
      <c r="A3" s="909" t="s">
        <v>1619</v>
      </c>
      <c r="B3" s="1035" t="s">
        <v>1633</v>
      </c>
      <c r="C3" s="1036" t="s">
        <v>44</v>
      </c>
      <c r="D3" s="1037">
        <f>AVERAGE(E3:F3)</f>
        <v>1190</v>
      </c>
      <c r="E3" s="1038">
        <f>56000/50</f>
        <v>1120</v>
      </c>
      <c r="F3" s="1039">
        <f>63000/50</f>
        <v>1260</v>
      </c>
      <c r="G3" s="1037"/>
      <c r="H3" s="1037"/>
    </row>
    <row r="4" spans="1:11">
      <c r="A4" s="474" t="s">
        <v>1619</v>
      </c>
      <c r="B4" s="911" t="s">
        <v>1944</v>
      </c>
      <c r="C4" s="933" t="s">
        <v>61</v>
      </c>
      <c r="D4" s="948">
        <v>2100</v>
      </c>
      <c r="E4" s="926"/>
      <c r="F4" s="926"/>
      <c r="G4" s="926"/>
      <c r="H4" s="926"/>
    </row>
    <row r="5" spans="1:11">
      <c r="A5" s="513" t="s">
        <v>1619</v>
      </c>
      <c r="B5" s="915" t="s">
        <v>1657</v>
      </c>
      <c r="C5" s="942" t="s">
        <v>44</v>
      </c>
      <c r="D5" s="1083">
        <f>AVERAGE(E5:F5)</f>
        <v>2271</v>
      </c>
      <c r="E5" s="975">
        <v>2192</v>
      </c>
      <c r="F5" s="975">
        <v>2350</v>
      </c>
      <c r="G5" s="623"/>
      <c r="H5" s="623"/>
    </row>
    <row r="6" spans="1:11">
      <c r="A6" s="513" t="s">
        <v>1619</v>
      </c>
      <c r="B6" s="915" t="s">
        <v>1662</v>
      </c>
      <c r="C6" s="942" t="s">
        <v>44</v>
      </c>
      <c r="D6" s="977">
        <f>AVERAGE(E6:F6)</f>
        <v>2591.5</v>
      </c>
      <c r="E6" s="975">
        <v>2750</v>
      </c>
      <c r="F6" s="975">
        <v>2433</v>
      </c>
      <c r="G6" s="623"/>
      <c r="H6" s="623"/>
    </row>
    <row r="7" spans="1:11">
      <c r="A7" s="474"/>
      <c r="B7" s="892" t="s">
        <v>1828</v>
      </c>
      <c r="C7" s="896" t="s">
        <v>1809</v>
      </c>
      <c r="D7" s="949">
        <v>2850</v>
      </c>
      <c r="E7" s="917"/>
      <c r="F7" s="975">
        <f>36850/6</f>
        <v>6141.666666666667</v>
      </c>
      <c r="G7" s="917"/>
      <c r="H7" s="917"/>
    </row>
    <row r="8" spans="1:11">
      <c r="A8" s="513" t="s">
        <v>1619</v>
      </c>
      <c r="B8" s="915" t="s">
        <v>474</v>
      </c>
      <c r="C8" s="936" t="s">
        <v>1329</v>
      </c>
      <c r="D8" s="975">
        <v>68</v>
      </c>
      <c r="E8" s="977"/>
      <c r="F8" s="977"/>
      <c r="G8" s="977"/>
      <c r="H8" s="977"/>
      <c r="K8" s="17"/>
    </row>
    <row r="9" spans="1:11">
      <c r="A9" s="513" t="s">
        <v>1619</v>
      </c>
      <c r="B9" s="1040" t="s">
        <v>1794</v>
      </c>
      <c r="C9" s="936" t="s">
        <v>1</v>
      </c>
      <c r="D9" s="974">
        <f>AVERAGE(E9:F9)</f>
        <v>395.85714285714289</v>
      </c>
      <c r="E9" s="975">
        <f>142100/350</f>
        <v>406</v>
      </c>
      <c r="F9" s="984">
        <f>135000/350</f>
        <v>385.71428571428572</v>
      </c>
      <c r="G9" s="975"/>
      <c r="H9" s="975"/>
    </row>
    <row r="10" spans="1:11">
      <c r="A10" s="513" t="s">
        <v>1619</v>
      </c>
      <c r="B10" s="915" t="s">
        <v>1407</v>
      </c>
      <c r="C10" s="942" t="s">
        <v>44</v>
      </c>
      <c r="D10" s="977">
        <f>AVERAGE(E10:G10)</f>
        <v>4576.5866666666661</v>
      </c>
      <c r="E10" s="984">
        <f>4034*1.16</f>
        <v>4679.4399999999996</v>
      </c>
      <c r="F10" s="975">
        <f>3850*1.16</f>
        <v>4466</v>
      </c>
      <c r="G10" s="975">
        <f>3952*1.16</f>
        <v>4584.32</v>
      </c>
      <c r="H10" s="975"/>
      <c r="J10" s="33"/>
    </row>
    <row r="11" spans="1:11" s="456" customFormat="1">
      <c r="A11" s="513" t="s">
        <v>1619</v>
      </c>
      <c r="B11" s="915" t="s">
        <v>1663</v>
      </c>
      <c r="C11" s="942" t="s">
        <v>44</v>
      </c>
      <c r="D11" s="977">
        <f>AVERAGE(E11:F11)</f>
        <v>3450</v>
      </c>
      <c r="E11" s="984">
        <v>3400</v>
      </c>
      <c r="F11" s="975">
        <v>3500</v>
      </c>
      <c r="G11" s="975"/>
      <c r="H11" s="975"/>
      <c r="J11" s="591"/>
    </row>
    <row r="12" spans="1:11">
      <c r="A12" s="474"/>
      <c r="B12" s="1041" t="s">
        <v>1811</v>
      </c>
      <c r="C12" s="1042" t="s">
        <v>61</v>
      </c>
      <c r="D12" s="902">
        <v>6000</v>
      </c>
      <c r="E12" s="958"/>
      <c r="F12" s="958"/>
      <c r="G12" s="958"/>
      <c r="H12" s="958"/>
      <c r="J12" s="33"/>
    </row>
    <row r="13" spans="1:11">
      <c r="A13" s="474"/>
      <c r="B13" s="1041" t="s">
        <v>1796</v>
      </c>
      <c r="C13" s="1042" t="s">
        <v>61</v>
      </c>
      <c r="D13" s="902">
        <v>8500</v>
      </c>
      <c r="E13" s="958"/>
      <c r="F13" s="958"/>
      <c r="G13" s="958"/>
      <c r="H13" s="958"/>
      <c r="J13" s="33"/>
    </row>
    <row r="14" spans="1:11">
      <c r="A14" s="474"/>
      <c r="B14" s="1041" t="s">
        <v>1511</v>
      </c>
      <c r="C14" s="1042" t="s">
        <v>61</v>
      </c>
      <c r="D14" s="902">
        <v>15000</v>
      </c>
      <c r="E14" s="958"/>
      <c r="F14" s="958"/>
      <c r="G14" s="958"/>
      <c r="H14" s="958"/>
      <c r="J14" s="33"/>
    </row>
    <row r="15" spans="1:11">
      <c r="A15" s="513" t="s">
        <v>1619</v>
      </c>
      <c r="B15" s="1040" t="s">
        <v>1444</v>
      </c>
      <c r="C15" s="936" t="s">
        <v>1328</v>
      </c>
      <c r="D15" s="974">
        <f>AVERAGE(E15:F15)</f>
        <v>32400</v>
      </c>
      <c r="E15" s="1095">
        <v>30000</v>
      </c>
      <c r="F15" s="1095">
        <f>30000*1.16</f>
        <v>34800</v>
      </c>
      <c r="G15" s="975"/>
      <c r="H15" s="975"/>
    </row>
    <row r="16" spans="1:11">
      <c r="A16" s="474"/>
      <c r="B16" s="892" t="s">
        <v>386</v>
      </c>
      <c r="C16" s="917"/>
      <c r="D16" s="901"/>
      <c r="E16" s="917"/>
      <c r="F16" s="917"/>
      <c r="G16" s="917"/>
      <c r="H16" s="917"/>
    </row>
    <row r="17" spans="1:8">
      <c r="A17" s="474"/>
      <c r="B17" s="893" t="s">
        <v>475</v>
      </c>
      <c r="C17" s="469" t="s">
        <v>44</v>
      </c>
      <c r="D17" s="900">
        <v>1200</v>
      </c>
      <c r="E17" s="901"/>
      <c r="F17" s="901"/>
      <c r="G17" s="901"/>
      <c r="H17" s="901"/>
    </row>
    <row r="18" spans="1:8">
      <c r="A18" s="513" t="s">
        <v>1619</v>
      </c>
      <c r="B18" s="915" t="s">
        <v>1954</v>
      </c>
      <c r="C18" s="936" t="s">
        <v>1328</v>
      </c>
      <c r="D18" s="975">
        <f>AVERAGE(E18:F18)</f>
        <v>41064</v>
      </c>
      <c r="E18" s="975">
        <f>27000*1.16</f>
        <v>31319.999999999996</v>
      </c>
      <c r="F18" s="975">
        <f>43800*1.16</f>
        <v>50808</v>
      </c>
      <c r="G18" s="623"/>
      <c r="H18" s="623"/>
    </row>
    <row r="19" spans="1:8">
      <c r="A19" s="474"/>
      <c r="B19" s="893" t="s">
        <v>476</v>
      </c>
      <c r="C19" s="469" t="s">
        <v>1328</v>
      </c>
      <c r="D19" s="900">
        <v>42000</v>
      </c>
      <c r="E19" s="901"/>
      <c r="F19" s="901"/>
      <c r="G19" s="901"/>
      <c r="H19" s="901"/>
    </row>
    <row r="20" spans="1:8">
      <c r="A20" s="474"/>
      <c r="B20" s="893" t="s">
        <v>477</v>
      </c>
      <c r="C20" s="469" t="s">
        <v>1328</v>
      </c>
      <c r="D20" s="900">
        <v>45000</v>
      </c>
      <c r="E20" s="901"/>
      <c r="F20" s="901"/>
      <c r="G20" s="901"/>
      <c r="H20" s="901"/>
    </row>
    <row r="21" spans="1:8">
      <c r="A21" s="474"/>
      <c r="B21" s="892" t="s">
        <v>1059</v>
      </c>
      <c r="C21" s="896" t="s">
        <v>62</v>
      </c>
      <c r="D21" s="949">
        <v>272886</v>
      </c>
      <c r="E21" s="917"/>
      <c r="F21" s="917"/>
      <c r="G21" s="917"/>
      <c r="H21" s="917"/>
    </row>
    <row r="22" spans="1:8">
      <c r="A22" s="474"/>
      <c r="B22" s="892" t="s">
        <v>1675</v>
      </c>
      <c r="C22" s="896" t="s">
        <v>44</v>
      </c>
      <c r="D22" s="949">
        <v>9700</v>
      </c>
      <c r="E22" s="917"/>
      <c r="F22" s="917"/>
      <c r="G22" s="917"/>
      <c r="H22" s="917"/>
    </row>
    <row r="23" spans="1:8">
      <c r="A23" s="474"/>
      <c r="B23" s="892" t="s">
        <v>1673</v>
      </c>
      <c r="C23" s="896" t="s">
        <v>44</v>
      </c>
      <c r="D23" s="949">
        <v>486</v>
      </c>
      <c r="E23" s="917"/>
      <c r="F23" s="917"/>
      <c r="G23" s="917"/>
      <c r="H23" s="917"/>
    </row>
    <row r="24" spans="1:8">
      <c r="A24" s="513" t="s">
        <v>1619</v>
      </c>
      <c r="B24" s="915" t="s">
        <v>1570</v>
      </c>
      <c r="C24" s="942" t="s">
        <v>44</v>
      </c>
      <c r="D24" s="975">
        <f>AVERAGE(E24:H24)</f>
        <v>698.92899999999997</v>
      </c>
      <c r="E24" s="977">
        <f>(31000*1.16)/50</f>
        <v>719.2</v>
      </c>
      <c r="F24" s="977">
        <f>(30402*1.16)/50</f>
        <v>705.32640000000004</v>
      </c>
      <c r="G24" s="977">
        <f>(31500*1.16)/50</f>
        <v>730.8</v>
      </c>
      <c r="H24" s="977">
        <f>(27603*1.16)/50</f>
        <v>640.38959999999997</v>
      </c>
    </row>
    <row r="25" spans="1:8">
      <c r="A25" s="513" t="s">
        <v>1619</v>
      </c>
      <c r="B25" s="915" t="s">
        <v>1570</v>
      </c>
      <c r="C25" s="942" t="s">
        <v>1793</v>
      </c>
      <c r="D25" s="1009">
        <f>AVERAGE(E25:H25)</f>
        <v>34946.450000000004</v>
      </c>
      <c r="E25" s="969">
        <f>31000*1.16</f>
        <v>35960</v>
      </c>
      <c r="F25" s="969">
        <f>30402*1.16</f>
        <v>35266.32</v>
      </c>
      <c r="G25" s="969">
        <f>31500*1.16</f>
        <v>36540</v>
      </c>
      <c r="H25" s="969">
        <f>27603*1.16</f>
        <v>32019.48</v>
      </c>
    </row>
    <row r="26" spans="1:8">
      <c r="A26" s="513" t="s">
        <v>1619</v>
      </c>
      <c r="B26" s="1034" t="s">
        <v>397</v>
      </c>
      <c r="C26" s="942" t="s">
        <v>1510</v>
      </c>
      <c r="D26" s="976">
        <f>AVERAGE(E26:G26)</f>
        <v>802.33333333333337</v>
      </c>
      <c r="E26" s="975">
        <f>707*1.16</f>
        <v>820.11999999999989</v>
      </c>
      <c r="F26" s="975">
        <f>675*1.16</f>
        <v>783</v>
      </c>
      <c r="G26" s="975">
        <f>693*1.16</f>
        <v>803.88</v>
      </c>
      <c r="H26" s="975"/>
    </row>
    <row r="27" spans="1:8">
      <c r="A27" s="474"/>
      <c r="B27" s="892" t="s">
        <v>1817</v>
      </c>
      <c r="C27" s="896" t="s">
        <v>1809</v>
      </c>
      <c r="D27" s="949">
        <v>1700</v>
      </c>
      <c r="E27" s="983"/>
      <c r="F27" s="901"/>
      <c r="G27" s="901"/>
      <c r="H27" s="901"/>
    </row>
    <row r="28" spans="1:8">
      <c r="A28" s="474"/>
      <c r="B28" s="892" t="s">
        <v>1935</v>
      </c>
      <c r="C28" s="896" t="s">
        <v>1</v>
      </c>
      <c r="D28" s="949">
        <v>1200</v>
      </c>
      <c r="E28" s="983"/>
      <c r="F28" s="901"/>
      <c r="G28" s="901"/>
      <c r="H28" s="901"/>
    </row>
    <row r="29" spans="1:8">
      <c r="A29" s="474"/>
      <c r="B29" s="892" t="s">
        <v>1938</v>
      </c>
      <c r="C29" s="896" t="s">
        <v>61</v>
      </c>
      <c r="D29" s="949">
        <v>15000</v>
      </c>
      <c r="E29" s="983"/>
      <c r="F29" s="901"/>
      <c r="G29" s="901"/>
      <c r="H29" s="901"/>
    </row>
    <row r="30" spans="1:8">
      <c r="A30" s="474"/>
      <c r="B30" s="892" t="s">
        <v>1826</v>
      </c>
      <c r="C30" s="896" t="s">
        <v>1809</v>
      </c>
      <c r="D30" s="949">
        <v>1900</v>
      </c>
      <c r="E30" s="983"/>
      <c r="F30" s="901"/>
      <c r="G30" s="901"/>
      <c r="H30" s="901"/>
    </row>
    <row r="31" spans="1:8">
      <c r="A31" s="474"/>
      <c r="B31" s="892" t="s">
        <v>1813</v>
      </c>
      <c r="C31" s="896" t="s">
        <v>44</v>
      </c>
      <c r="D31" s="949">
        <v>8900</v>
      </c>
      <c r="E31" s="983"/>
      <c r="F31" s="901"/>
      <c r="G31" s="901"/>
      <c r="H31" s="901"/>
    </row>
    <row r="32" spans="1:8">
      <c r="A32" s="513" t="s">
        <v>1619</v>
      </c>
      <c r="B32" s="915" t="s">
        <v>1506</v>
      </c>
      <c r="C32" s="944" t="s">
        <v>61</v>
      </c>
      <c r="D32" s="975">
        <f>AVERAGE(E32:F32)</f>
        <v>5250</v>
      </c>
      <c r="E32" s="975">
        <v>5500</v>
      </c>
      <c r="F32" s="975">
        <v>5000</v>
      </c>
      <c r="G32" s="975"/>
      <c r="H32" s="975"/>
    </row>
    <row r="33" spans="1:8">
      <c r="A33" s="474"/>
      <c r="B33" s="893" t="s">
        <v>1823</v>
      </c>
      <c r="C33" s="469" t="s">
        <v>61</v>
      </c>
      <c r="D33" s="900">
        <f>1200*1.16</f>
        <v>1392</v>
      </c>
      <c r="E33" s="956"/>
      <c r="F33" s="956"/>
      <c r="G33" s="956"/>
      <c r="H33" s="956"/>
    </row>
    <row r="34" spans="1:8">
      <c r="A34" s="513" t="s">
        <v>1619</v>
      </c>
      <c r="B34" s="915" t="s">
        <v>1807</v>
      </c>
      <c r="C34" s="942" t="s">
        <v>17</v>
      </c>
      <c r="D34" s="975">
        <v>1500</v>
      </c>
      <c r="E34" s="623"/>
      <c r="F34" s="623"/>
      <c r="G34" s="623"/>
      <c r="H34" s="623"/>
    </row>
    <row r="35" spans="1:8" s="456" customFormat="1">
      <c r="A35" s="626"/>
      <c r="B35" s="892" t="s">
        <v>1815</v>
      </c>
      <c r="C35" s="896" t="s">
        <v>61</v>
      </c>
      <c r="D35" s="901">
        <v>400</v>
      </c>
      <c r="E35" s="917"/>
      <c r="F35" s="917"/>
      <c r="G35" s="917"/>
      <c r="H35" s="917"/>
    </row>
    <row r="36" spans="1:8">
      <c r="A36" s="474"/>
      <c r="B36" s="910" t="s">
        <v>1638</v>
      </c>
      <c r="C36" s="932" t="s">
        <v>549</v>
      </c>
      <c r="D36" s="950">
        <v>7330</v>
      </c>
      <c r="E36" s="624"/>
      <c r="F36" s="624"/>
      <c r="G36" s="624"/>
      <c r="H36" s="624"/>
    </row>
    <row r="37" spans="1:8">
      <c r="A37" s="474"/>
      <c r="B37" s="910" t="s">
        <v>1508</v>
      </c>
      <c r="C37" s="932" t="s">
        <v>28</v>
      </c>
      <c r="D37" s="947">
        <v>8000</v>
      </c>
      <c r="E37" s="950"/>
      <c r="F37" s="950"/>
      <c r="G37" s="950"/>
      <c r="H37" s="950"/>
    </row>
    <row r="38" spans="1:8" s="456" customFormat="1">
      <c r="A38" s="626"/>
      <c r="B38" s="911" t="s">
        <v>1855</v>
      </c>
      <c r="C38" s="933" t="s">
        <v>19</v>
      </c>
      <c r="D38" s="948">
        <v>35000</v>
      </c>
      <c r="E38" s="958"/>
      <c r="F38" s="958"/>
      <c r="G38" s="958"/>
      <c r="H38" s="958"/>
    </row>
    <row r="39" spans="1:8">
      <c r="A39" s="513" t="s">
        <v>1619</v>
      </c>
      <c r="B39" s="915" t="s">
        <v>1507</v>
      </c>
      <c r="C39" s="942" t="s">
        <v>61</v>
      </c>
      <c r="D39" s="977">
        <f>AVERAGE(E39:F39)</f>
        <v>9250</v>
      </c>
      <c r="E39" s="975">
        <v>9500</v>
      </c>
      <c r="F39" s="975">
        <v>9000</v>
      </c>
      <c r="G39" s="975"/>
      <c r="H39" s="975"/>
    </row>
    <row r="40" spans="1:8">
      <c r="A40" s="474"/>
      <c r="B40" s="892" t="s">
        <v>1509</v>
      </c>
      <c r="C40" s="896" t="s">
        <v>44</v>
      </c>
      <c r="D40" s="949">
        <v>8270</v>
      </c>
      <c r="E40" s="901"/>
      <c r="F40" s="901"/>
      <c r="G40" s="901"/>
      <c r="H40" s="901"/>
    </row>
    <row r="41" spans="1:8">
      <c r="A41" s="474"/>
      <c r="B41" s="892" t="s">
        <v>1677</v>
      </c>
      <c r="C41" s="896" t="s">
        <v>44</v>
      </c>
      <c r="D41" s="949">
        <v>6840</v>
      </c>
      <c r="E41" s="901"/>
      <c r="F41" s="901"/>
      <c r="G41" s="901"/>
      <c r="H41" s="901"/>
    </row>
    <row r="42" spans="1:8">
      <c r="A42" s="513" t="s">
        <v>1619</v>
      </c>
      <c r="B42" s="915" t="s">
        <v>1634</v>
      </c>
      <c r="C42" s="942" t="s">
        <v>61</v>
      </c>
      <c r="D42" s="977">
        <f>AVERAGE(E42:G42)</f>
        <v>24299.293333333335</v>
      </c>
      <c r="E42" s="976">
        <f>21416*1.16</f>
        <v>24842.559999999998</v>
      </c>
      <c r="F42" s="975">
        <f>20442*1.16</f>
        <v>23712.719999999998</v>
      </c>
      <c r="G42" s="975">
        <f>20985*1.16</f>
        <v>24342.6</v>
      </c>
      <c r="H42" s="975"/>
    </row>
    <row r="43" spans="1:8">
      <c r="A43" s="474"/>
      <c r="B43" s="911" t="s">
        <v>1630</v>
      </c>
      <c r="C43" s="933" t="s">
        <v>1</v>
      </c>
      <c r="D43" s="948">
        <v>1500</v>
      </c>
      <c r="E43" s="964"/>
      <c r="F43" s="958"/>
      <c r="G43" s="958"/>
      <c r="H43" s="958"/>
    </row>
    <row r="44" spans="1:8" s="1093" customFormat="1">
      <c r="A44" s="1094" t="s">
        <v>1619</v>
      </c>
      <c r="B44" s="1040" t="s">
        <v>1956</v>
      </c>
      <c r="C44" s="944" t="s">
        <v>61</v>
      </c>
      <c r="D44" s="975">
        <f>AVERAGE(E44:F44)</f>
        <v>60480</v>
      </c>
      <c r="E44" s="975">
        <v>56000</v>
      </c>
      <c r="F44" s="975">
        <f>56000*1.16</f>
        <v>64959.999999999993</v>
      </c>
      <c r="G44" s="975"/>
      <c r="H44" s="975"/>
    </row>
    <row r="45" spans="1:8">
      <c r="A45" s="474"/>
      <c r="B45" s="912" t="s">
        <v>478</v>
      </c>
      <c r="C45" s="934" t="s">
        <v>473</v>
      </c>
      <c r="D45" s="953">
        <v>43600</v>
      </c>
      <c r="E45" s="901"/>
      <c r="F45" s="901"/>
      <c r="G45" s="901"/>
      <c r="H45" s="901"/>
    </row>
    <row r="46" spans="1:8">
      <c r="A46" s="474"/>
      <c r="B46" s="893" t="s">
        <v>1622</v>
      </c>
      <c r="C46" s="469" t="s">
        <v>1328</v>
      </c>
      <c r="D46" s="900">
        <v>6000</v>
      </c>
      <c r="E46" s="901"/>
      <c r="F46" s="901"/>
      <c r="G46" s="901"/>
      <c r="H46" s="901"/>
    </row>
    <row r="47" spans="1:8">
      <c r="A47" s="474"/>
      <c r="B47" s="893" t="s">
        <v>1936</v>
      </c>
      <c r="C47" s="469" t="s">
        <v>1</v>
      </c>
      <c r="D47" s="900">
        <v>2784</v>
      </c>
      <c r="E47" s="901"/>
      <c r="F47" s="901"/>
      <c r="G47" s="901"/>
      <c r="H47" s="901"/>
    </row>
    <row r="48" spans="1:8">
      <c r="A48" s="474"/>
      <c r="B48" s="893" t="s">
        <v>1939</v>
      </c>
      <c r="C48" s="469" t="s">
        <v>1</v>
      </c>
      <c r="D48" s="900">
        <v>25000</v>
      </c>
      <c r="E48" s="901"/>
      <c r="F48" s="901"/>
      <c r="G48" s="901"/>
      <c r="H48" s="901"/>
    </row>
    <row r="49" spans="1:8">
      <c r="A49" s="474"/>
      <c r="B49" s="893" t="s">
        <v>1940</v>
      </c>
      <c r="C49" s="469" t="s">
        <v>1</v>
      </c>
      <c r="D49" s="900">
        <v>18000</v>
      </c>
      <c r="E49" s="901"/>
      <c r="F49" s="901"/>
      <c r="G49" s="901"/>
      <c r="H49" s="901"/>
    </row>
    <row r="50" spans="1:8" s="456" customFormat="1">
      <c r="A50" s="626"/>
      <c r="B50" s="911" t="s">
        <v>1847</v>
      </c>
      <c r="C50" s="469" t="s">
        <v>1328</v>
      </c>
      <c r="D50" s="948">
        <f>E50</f>
        <v>34800</v>
      </c>
      <c r="E50" s="901">
        <f>30000*1.16</f>
        <v>34800</v>
      </c>
      <c r="F50" s="901"/>
      <c r="G50" s="901"/>
      <c r="H50" s="901"/>
    </row>
    <row r="51" spans="1:8">
      <c r="A51" s="513" t="s">
        <v>1619</v>
      </c>
      <c r="B51" s="915" t="s">
        <v>1665</v>
      </c>
      <c r="C51" s="936" t="s">
        <v>1328</v>
      </c>
      <c r="D51" s="977">
        <f>AVERAGE(E51:F51)</f>
        <v>52200</v>
      </c>
      <c r="E51" s="975">
        <f>40000*1.16</f>
        <v>46400</v>
      </c>
      <c r="F51" s="1095">
        <f>50000*1.16</f>
        <v>57999.999999999993</v>
      </c>
      <c r="G51" s="975"/>
      <c r="H51" s="975"/>
    </row>
    <row r="52" spans="1:8">
      <c r="A52" s="513" t="s">
        <v>1619</v>
      </c>
      <c r="B52" s="1040" t="s">
        <v>480</v>
      </c>
      <c r="C52" s="942" t="s">
        <v>61</v>
      </c>
      <c r="D52" s="974">
        <v>10000</v>
      </c>
      <c r="E52" s="975"/>
      <c r="F52" s="975"/>
      <c r="G52" s="975"/>
      <c r="H52" s="975"/>
    </row>
    <row r="53" spans="1:8">
      <c r="A53" s="513" t="s">
        <v>1619</v>
      </c>
      <c r="B53" s="915" t="s">
        <v>1417</v>
      </c>
      <c r="C53" s="942" t="s">
        <v>61</v>
      </c>
      <c r="D53" s="977">
        <f>AVERAGE(E53:G53)</f>
        <v>31988.933333333331</v>
      </c>
      <c r="E53" s="976">
        <f>28194*1.16</f>
        <v>32705.039999999997</v>
      </c>
      <c r="F53" s="975">
        <f>26911*1.16</f>
        <v>31216.76</v>
      </c>
      <c r="G53" s="975">
        <f>27625*1.16</f>
        <v>32044.999999999996</v>
      </c>
      <c r="H53" s="975"/>
    </row>
    <row r="54" spans="1:8">
      <c r="A54" s="513" t="s">
        <v>1619</v>
      </c>
      <c r="B54" s="915" t="s">
        <v>1955</v>
      </c>
      <c r="C54" s="936" t="s">
        <v>1328</v>
      </c>
      <c r="D54" s="977">
        <f>AVERAGE(E54:F54)</f>
        <v>38164</v>
      </c>
      <c r="E54" s="975">
        <f>24000*1.16</f>
        <v>27839.999999999996</v>
      </c>
      <c r="F54" s="975">
        <f>41800*1.16</f>
        <v>48488</v>
      </c>
      <c r="G54" s="623"/>
      <c r="H54" s="623"/>
    </row>
    <row r="55" spans="1:8">
      <c r="A55" s="513" t="s">
        <v>1928</v>
      </c>
      <c r="B55" s="915" t="s">
        <v>1443</v>
      </c>
      <c r="C55" s="942" t="s">
        <v>1</v>
      </c>
      <c r="D55" s="977">
        <f>AVERAGE(E55:F55)/8</f>
        <v>1156.25</v>
      </c>
      <c r="E55" s="975">
        <v>9500</v>
      </c>
      <c r="F55" s="975">
        <v>9000</v>
      </c>
      <c r="G55" s="623"/>
      <c r="H55" s="623"/>
    </row>
    <row r="56" spans="1:8" s="456" customFormat="1">
      <c r="A56" s="513" t="s">
        <v>1928</v>
      </c>
      <c r="B56" s="915" t="s">
        <v>1818</v>
      </c>
      <c r="C56" s="942" t="s">
        <v>1809</v>
      </c>
      <c r="D56" s="977">
        <f>AVERAGE(E56:F56)/3</f>
        <v>4166.666666666667</v>
      </c>
      <c r="E56" s="975">
        <f>13000</f>
        <v>13000</v>
      </c>
      <c r="F56" s="975">
        <v>12000</v>
      </c>
      <c r="G56" s="623"/>
      <c r="H56" s="623"/>
    </row>
    <row r="57" spans="1:8">
      <c r="A57" s="513" t="s">
        <v>1928</v>
      </c>
      <c r="B57" s="1087" t="s">
        <v>1804</v>
      </c>
      <c r="C57" s="936" t="s">
        <v>470</v>
      </c>
      <c r="D57" s="975">
        <v>1250</v>
      </c>
      <c r="E57" s="984"/>
      <c r="F57" s="975"/>
      <c r="G57" s="975"/>
      <c r="H57" s="975"/>
    </row>
    <row r="58" spans="1:8" s="456" customFormat="1">
      <c r="A58" s="513" t="s">
        <v>1928</v>
      </c>
      <c r="B58" s="915" t="s">
        <v>1694</v>
      </c>
      <c r="C58" s="942" t="s">
        <v>1809</v>
      </c>
      <c r="D58" s="977">
        <f>145000/100</f>
        <v>1450</v>
      </c>
      <c r="E58" s="623"/>
      <c r="F58" s="623"/>
      <c r="G58" s="623"/>
      <c r="H58" s="623"/>
    </row>
    <row r="59" spans="1:8">
      <c r="A59" s="474"/>
      <c r="B59" s="893" t="s">
        <v>481</v>
      </c>
      <c r="C59" s="896" t="s">
        <v>19</v>
      </c>
      <c r="D59" s="900">
        <v>50000</v>
      </c>
      <c r="E59" s="901"/>
      <c r="F59" s="901"/>
      <c r="G59" s="901"/>
      <c r="H59" s="901"/>
    </row>
    <row r="60" spans="1:8">
      <c r="A60" s="474"/>
      <c r="B60" s="893" t="s">
        <v>482</v>
      </c>
      <c r="C60" s="896" t="s">
        <v>44</v>
      </c>
      <c r="D60" s="900">
        <v>37400</v>
      </c>
      <c r="E60" s="901"/>
      <c r="F60" s="901"/>
      <c r="G60" s="901"/>
      <c r="H60" s="901"/>
    </row>
    <row r="61" spans="1:8" s="456" customFormat="1">
      <c r="A61" s="626"/>
      <c r="B61" s="914" t="s">
        <v>1958</v>
      </c>
      <c r="C61" s="938" t="s">
        <v>1328</v>
      </c>
      <c r="D61" s="957">
        <v>22500</v>
      </c>
      <c r="E61" s="985"/>
      <c r="F61" s="985"/>
      <c r="G61" s="985"/>
      <c r="H61" s="985"/>
    </row>
    <row r="62" spans="1:8">
      <c r="A62" s="513" t="s">
        <v>1619</v>
      </c>
      <c r="B62" s="915" t="s">
        <v>1632</v>
      </c>
      <c r="C62" s="936" t="s">
        <v>1328</v>
      </c>
      <c r="D62" s="977">
        <f>AVERAGE(E62:F62)</f>
        <v>64800</v>
      </c>
      <c r="E62" s="1095">
        <f>60000</f>
        <v>60000</v>
      </c>
      <c r="F62" s="1095">
        <f>60000*1.16</f>
        <v>69600</v>
      </c>
      <c r="G62" s="623"/>
      <c r="H62" s="623"/>
    </row>
    <row r="63" spans="1:8">
      <c r="A63" s="474"/>
      <c r="B63" s="916" t="s">
        <v>1798</v>
      </c>
      <c r="C63" s="896" t="s">
        <v>61</v>
      </c>
      <c r="D63" s="949"/>
      <c r="E63" s="986"/>
      <c r="F63" s="986"/>
      <c r="G63" s="917"/>
      <c r="H63" s="917"/>
    </row>
    <row r="64" spans="1:8">
      <c r="A64" s="513" t="s">
        <v>1619</v>
      </c>
      <c r="B64" s="915" t="s">
        <v>383</v>
      </c>
      <c r="C64" s="942" t="s">
        <v>234</v>
      </c>
      <c r="D64" s="977">
        <f>AVERAGE(E64:F64)</f>
        <v>1575</v>
      </c>
      <c r="E64" s="984">
        <v>1700</v>
      </c>
      <c r="F64" s="975">
        <v>1450</v>
      </c>
      <c r="G64" s="950"/>
      <c r="H64" s="950"/>
    </row>
    <row r="65" spans="1:11" s="456" customFormat="1">
      <c r="A65" s="626"/>
      <c r="B65" s="892" t="s">
        <v>1696</v>
      </c>
      <c r="C65" s="896" t="s">
        <v>19</v>
      </c>
      <c r="D65" s="949">
        <v>47000</v>
      </c>
      <c r="E65" s="983"/>
      <c r="F65" s="901"/>
      <c r="G65" s="901"/>
      <c r="H65" s="901"/>
    </row>
    <row r="66" spans="1:11">
      <c r="A66" s="513" t="s">
        <v>1619</v>
      </c>
      <c r="B66" s="915" t="s">
        <v>1810</v>
      </c>
      <c r="C66" s="942" t="s">
        <v>111</v>
      </c>
      <c r="D66" s="977">
        <f>AVERAGE(E66:G66)</f>
        <v>59434.533333333326</v>
      </c>
      <c r="E66" s="984">
        <f>52383*1.16</f>
        <v>60764.28</v>
      </c>
      <c r="F66" s="975">
        <f>50000*1.16</f>
        <v>57999.999999999993</v>
      </c>
      <c r="G66" s="975">
        <f>51327*1.16</f>
        <v>59539.319999999992</v>
      </c>
      <c r="H66" s="975"/>
    </row>
    <row r="67" spans="1:11">
      <c r="A67" s="513" t="s">
        <v>1619</v>
      </c>
      <c r="B67" s="915" t="s">
        <v>1439</v>
      </c>
      <c r="C67" s="936" t="s">
        <v>1328</v>
      </c>
      <c r="D67" s="969">
        <f>21000/7</f>
        <v>3000</v>
      </c>
      <c r="E67" s="984"/>
      <c r="F67" s="975"/>
      <c r="G67" s="975"/>
      <c r="H67" s="975"/>
    </row>
    <row r="68" spans="1:11" s="456" customFormat="1">
      <c r="A68" s="513" t="s">
        <v>1619</v>
      </c>
      <c r="B68" s="915" t="s">
        <v>1846</v>
      </c>
      <c r="C68" s="936" t="s">
        <v>1328</v>
      </c>
      <c r="D68" s="975">
        <f>AVERAGE(E68:F68)</f>
        <v>35410</v>
      </c>
      <c r="E68" s="984">
        <v>34000</v>
      </c>
      <c r="F68" s="975">
        <f>(14500*1.16)+(16*1250)</f>
        <v>36820</v>
      </c>
      <c r="G68" s="975"/>
      <c r="H68" s="975"/>
    </row>
    <row r="69" spans="1:11">
      <c r="A69" s="474"/>
      <c r="B69" s="917" t="s">
        <v>584</v>
      </c>
      <c r="C69" s="937" t="s">
        <v>44</v>
      </c>
      <c r="D69" s="901">
        <v>30000</v>
      </c>
      <c r="E69" s="983"/>
      <c r="F69" s="901"/>
      <c r="G69" s="901"/>
      <c r="H69" s="901"/>
      <c r="K69" s="17"/>
    </row>
    <row r="70" spans="1:11">
      <c r="A70" s="474"/>
      <c r="B70" s="917" t="s">
        <v>217</v>
      </c>
      <c r="C70" s="937" t="s">
        <v>549</v>
      </c>
      <c r="D70" s="901">
        <v>4500</v>
      </c>
      <c r="E70" s="983"/>
      <c r="F70" s="901"/>
      <c r="G70" s="901"/>
      <c r="H70" s="901"/>
    </row>
    <row r="71" spans="1:11">
      <c r="A71" s="474"/>
      <c r="B71" s="910" t="s">
        <v>1890</v>
      </c>
      <c r="C71" s="932" t="s">
        <v>387</v>
      </c>
      <c r="D71" s="950">
        <v>5500</v>
      </c>
      <c r="E71" s="966"/>
      <c r="F71" s="950"/>
      <c r="G71" s="950"/>
      <c r="H71" s="950"/>
    </row>
    <row r="72" spans="1:11">
      <c r="A72" s="474"/>
      <c r="B72" s="913" t="s">
        <v>1889</v>
      </c>
      <c r="C72" s="512" t="s">
        <v>1328</v>
      </c>
      <c r="D72" s="955">
        <f>AVERAGE(E72:F72)</f>
        <v>398000</v>
      </c>
      <c r="E72" s="987">
        <v>398000</v>
      </c>
      <c r="F72" s="954"/>
      <c r="G72" s="954"/>
      <c r="H72" s="954"/>
    </row>
    <row r="73" spans="1:11">
      <c r="A73" s="513" t="s">
        <v>1929</v>
      </c>
      <c r="B73" s="915" t="s">
        <v>384</v>
      </c>
      <c r="C73" s="942" t="s">
        <v>61</v>
      </c>
      <c r="D73" s="975">
        <f>AVERAGE(E73:F73)</f>
        <v>600</v>
      </c>
      <c r="E73" s="984">
        <v>700</v>
      </c>
      <c r="F73" s="975">
        <v>500</v>
      </c>
      <c r="G73" s="975"/>
      <c r="H73" s="975"/>
    </row>
    <row r="74" spans="1:11" s="456" customFormat="1">
      <c r="A74" s="626"/>
      <c r="B74" s="911" t="s">
        <v>1820</v>
      </c>
      <c r="C74" s="933" t="s">
        <v>1809</v>
      </c>
      <c r="D74" s="958">
        <v>1300</v>
      </c>
      <c r="E74" s="965"/>
      <c r="F74" s="958"/>
      <c r="G74" s="958"/>
      <c r="H74" s="958"/>
    </row>
    <row r="75" spans="1:11">
      <c r="A75" s="513" t="s">
        <v>1619</v>
      </c>
      <c r="B75" s="1087" t="s">
        <v>1795</v>
      </c>
      <c r="C75" s="936" t="s">
        <v>234</v>
      </c>
      <c r="D75" s="975">
        <v>4750</v>
      </c>
      <c r="E75" s="984"/>
      <c r="F75" s="975"/>
      <c r="G75" s="975"/>
      <c r="H75" s="975"/>
    </row>
    <row r="76" spans="1:11">
      <c r="A76" s="474"/>
      <c r="B76" s="1088" t="s">
        <v>1937</v>
      </c>
      <c r="C76" s="1042" t="s">
        <v>61</v>
      </c>
      <c r="D76" s="958">
        <v>19000</v>
      </c>
      <c r="E76" s="965"/>
      <c r="F76" s="958"/>
      <c r="G76" s="958"/>
      <c r="H76" s="958"/>
    </row>
    <row r="77" spans="1:11" s="456" customFormat="1">
      <c r="A77" s="626"/>
      <c r="B77" s="918" t="s">
        <v>1595</v>
      </c>
      <c r="C77" s="939"/>
      <c r="D77" s="959"/>
      <c r="E77" s="988"/>
      <c r="F77" s="996"/>
      <c r="G77" s="996"/>
      <c r="H77" s="996"/>
    </row>
    <row r="78" spans="1:11" s="456" customFormat="1">
      <c r="A78" s="626"/>
      <c r="B78" s="919" t="s">
        <v>1552</v>
      </c>
      <c r="C78" s="937" t="s">
        <v>61</v>
      </c>
      <c r="D78" s="960"/>
      <c r="E78" s="989"/>
      <c r="F78" s="997"/>
      <c r="G78" s="997"/>
      <c r="H78" s="997"/>
    </row>
    <row r="79" spans="1:11" s="456" customFormat="1">
      <c r="A79" s="626"/>
      <c r="B79" s="919" t="s">
        <v>1553</v>
      </c>
      <c r="C79" s="937" t="s">
        <v>61</v>
      </c>
      <c r="D79" s="960"/>
      <c r="E79" s="989"/>
      <c r="F79" s="997"/>
      <c r="G79" s="997"/>
      <c r="H79" s="997"/>
    </row>
    <row r="80" spans="1:11" s="456" customFormat="1">
      <c r="A80" s="626"/>
      <c r="B80" s="919" t="s">
        <v>1554</v>
      </c>
      <c r="C80" s="937" t="s">
        <v>61</v>
      </c>
      <c r="D80" s="961">
        <v>49500</v>
      </c>
      <c r="E80" s="989"/>
      <c r="F80" s="997"/>
      <c r="G80" s="997"/>
      <c r="H80" s="997"/>
    </row>
    <row r="81" spans="1:8" s="456" customFormat="1">
      <c r="A81" s="626"/>
      <c r="B81" s="919" t="s">
        <v>1555</v>
      </c>
      <c r="C81" s="937" t="s">
        <v>61</v>
      </c>
      <c r="D81" s="961">
        <v>57420</v>
      </c>
      <c r="E81" s="989"/>
      <c r="F81" s="997"/>
      <c r="G81" s="997"/>
      <c r="H81" s="997"/>
    </row>
    <row r="82" spans="1:8" s="456" customFormat="1">
      <c r="A82" s="626"/>
      <c r="B82" s="919" t="s">
        <v>1556</v>
      </c>
      <c r="C82" s="937" t="s">
        <v>61</v>
      </c>
      <c r="D82" s="961">
        <v>67320</v>
      </c>
      <c r="E82" s="989"/>
      <c r="F82" s="997"/>
      <c r="G82" s="997"/>
      <c r="H82" s="997"/>
    </row>
    <row r="83" spans="1:8" s="456" customFormat="1">
      <c r="A83" s="626"/>
      <c r="B83" s="919" t="s">
        <v>1557</v>
      </c>
      <c r="C83" s="937" t="s">
        <v>61</v>
      </c>
      <c r="D83" s="961">
        <v>108900</v>
      </c>
      <c r="E83" s="989"/>
      <c r="F83" s="997"/>
      <c r="G83" s="997"/>
      <c r="H83" s="997"/>
    </row>
    <row r="84" spans="1:8" s="456" customFormat="1">
      <c r="A84" s="626"/>
      <c r="B84" s="919" t="s">
        <v>1558</v>
      </c>
      <c r="C84" s="937" t="s">
        <v>61</v>
      </c>
      <c r="D84" s="961">
        <v>128700</v>
      </c>
      <c r="E84" s="989"/>
      <c r="F84" s="997"/>
      <c r="G84" s="997"/>
      <c r="H84" s="997"/>
    </row>
    <row r="85" spans="1:8" s="456" customFormat="1">
      <c r="A85" s="626"/>
      <c r="B85" s="919" t="s">
        <v>1559</v>
      </c>
      <c r="C85" s="937" t="s">
        <v>61</v>
      </c>
      <c r="D85" s="961">
        <v>128700</v>
      </c>
      <c r="E85" s="989"/>
      <c r="F85" s="997"/>
      <c r="G85" s="997"/>
      <c r="H85" s="997"/>
    </row>
    <row r="86" spans="1:8" s="456" customFormat="1">
      <c r="A86" s="626"/>
      <c r="B86" s="919" t="s">
        <v>1560</v>
      </c>
      <c r="C86" s="937" t="s">
        <v>61</v>
      </c>
      <c r="D86" s="961">
        <v>162360</v>
      </c>
      <c r="E86" s="989"/>
      <c r="F86" s="997"/>
      <c r="G86" s="997"/>
      <c r="H86" s="997"/>
    </row>
    <row r="87" spans="1:8" s="456" customFormat="1">
      <c r="A87" s="626"/>
      <c r="B87" s="919" t="s">
        <v>1561</v>
      </c>
      <c r="C87" s="937" t="s">
        <v>61</v>
      </c>
      <c r="D87" s="961">
        <v>194040</v>
      </c>
      <c r="E87" s="989"/>
      <c r="F87" s="997"/>
      <c r="G87" s="997"/>
      <c r="H87" s="997"/>
    </row>
    <row r="88" spans="1:8" s="456" customFormat="1">
      <c r="A88" s="626"/>
      <c r="B88" s="919" t="s">
        <v>1562</v>
      </c>
      <c r="C88" s="937" t="s">
        <v>61</v>
      </c>
      <c r="D88" s="961">
        <v>293040</v>
      </c>
      <c r="E88" s="989"/>
      <c r="F88" s="997"/>
      <c r="G88" s="997"/>
      <c r="H88" s="997"/>
    </row>
    <row r="89" spans="1:8" s="456" customFormat="1">
      <c r="A89" s="626"/>
      <c r="B89" s="919" t="s">
        <v>1563</v>
      </c>
      <c r="C89" s="937" t="s">
        <v>61</v>
      </c>
      <c r="D89" s="961">
        <v>316800</v>
      </c>
      <c r="E89" s="989"/>
      <c r="F89" s="997"/>
      <c r="G89" s="997"/>
      <c r="H89" s="997"/>
    </row>
    <row r="90" spans="1:8" s="456" customFormat="1">
      <c r="A90" s="626"/>
      <c r="B90" s="919" t="s">
        <v>1564</v>
      </c>
      <c r="C90" s="937" t="s">
        <v>61</v>
      </c>
      <c r="D90" s="961">
        <v>313830</v>
      </c>
      <c r="E90" s="989"/>
      <c r="F90" s="997"/>
      <c r="G90" s="997"/>
      <c r="H90" s="997"/>
    </row>
    <row r="91" spans="1:8" s="456" customFormat="1">
      <c r="A91" s="626"/>
      <c r="B91" s="919" t="s">
        <v>1565</v>
      </c>
      <c r="C91" s="937" t="s">
        <v>61</v>
      </c>
      <c r="D91" s="961">
        <v>415800</v>
      </c>
      <c r="E91" s="989"/>
      <c r="F91" s="997"/>
      <c r="G91" s="997"/>
      <c r="H91" s="997"/>
    </row>
    <row r="92" spans="1:8" s="456" customFormat="1">
      <c r="A92" s="513" t="s">
        <v>1619</v>
      </c>
      <c r="B92" s="1008" t="s">
        <v>1718</v>
      </c>
      <c r="C92" s="944" t="s">
        <v>61</v>
      </c>
      <c r="D92" s="976">
        <f>AVERAGE(E92:G92)</f>
        <v>435</v>
      </c>
      <c r="E92" s="984">
        <f>383*1.16</f>
        <v>444.28</v>
      </c>
      <c r="F92" s="975">
        <f>366*1.16</f>
        <v>424.55999999999995</v>
      </c>
      <c r="G92" s="975">
        <f>376*1.16</f>
        <v>436.15999999999997</v>
      </c>
      <c r="H92" s="975"/>
    </row>
    <row r="93" spans="1:8" s="456" customFormat="1">
      <c r="A93" s="513" t="s">
        <v>1619</v>
      </c>
      <c r="B93" s="1008" t="s">
        <v>1722</v>
      </c>
      <c r="C93" s="944" t="s">
        <v>61</v>
      </c>
      <c r="D93" s="976">
        <f>AVERAGE(E93:G93)</f>
        <v>788.4133333333333</v>
      </c>
      <c r="E93" s="984">
        <f>695*1.16</f>
        <v>806.19999999999993</v>
      </c>
      <c r="F93" s="975">
        <f>663*1.16</f>
        <v>769.07999999999993</v>
      </c>
      <c r="G93" s="975">
        <f>681*1.16</f>
        <v>789.95999999999992</v>
      </c>
      <c r="H93" s="975"/>
    </row>
    <row r="94" spans="1:8" s="456" customFormat="1">
      <c r="A94" s="513" t="s">
        <v>1619</v>
      </c>
      <c r="B94" s="1008" t="s">
        <v>1725</v>
      </c>
      <c r="C94" s="944" t="s">
        <v>61</v>
      </c>
      <c r="D94" s="976">
        <f>AVERAGE(E94:G94)</f>
        <v>1648.7466666666667</v>
      </c>
      <c r="E94" s="984">
        <f>1453*1.16</f>
        <v>1685.4799999999998</v>
      </c>
      <c r="F94" s="975">
        <f>1387*1.16</f>
        <v>1608.9199999999998</v>
      </c>
      <c r="G94" s="975">
        <f>1424*1.16</f>
        <v>1651.84</v>
      </c>
      <c r="H94" s="975"/>
    </row>
    <row r="95" spans="1:8" s="456" customFormat="1">
      <c r="A95" s="513" t="s">
        <v>1619</v>
      </c>
      <c r="B95" s="1008" t="s">
        <v>1728</v>
      </c>
      <c r="C95" s="944" t="s">
        <v>61</v>
      </c>
      <c r="D95" s="976">
        <f t="shared" ref="D95:D134" si="0">AVERAGE(E95:G95)</f>
        <v>5804.6399999999994</v>
      </c>
      <c r="E95" s="984">
        <f>5116*1.16</f>
        <v>5934.5599999999995</v>
      </c>
      <c r="F95" s="975">
        <f>4883*1.16</f>
        <v>5664.28</v>
      </c>
      <c r="G95" s="975">
        <f>5013*1.16</f>
        <v>5815.08</v>
      </c>
      <c r="H95" s="975"/>
    </row>
    <row r="96" spans="1:8" s="456" customFormat="1">
      <c r="A96" s="513" t="s">
        <v>1619</v>
      </c>
      <c r="B96" s="1006" t="s">
        <v>398</v>
      </c>
      <c r="C96" s="944" t="s">
        <v>61</v>
      </c>
      <c r="D96" s="976">
        <f t="shared" si="0"/>
        <v>3174.9199999999996</v>
      </c>
      <c r="E96" s="976">
        <f>2798*1.16</f>
        <v>3245.68</v>
      </c>
      <c r="F96" s="976">
        <f>2671*1.16</f>
        <v>3098.3599999999997</v>
      </c>
      <c r="G96" s="1009">
        <f>2742*1.16</f>
        <v>3180.72</v>
      </c>
      <c r="H96" s="1009"/>
    </row>
    <row r="97" spans="1:8" s="456" customFormat="1">
      <c r="A97" s="513" t="s">
        <v>1619</v>
      </c>
      <c r="B97" s="1006" t="s">
        <v>399</v>
      </c>
      <c r="C97" s="944" t="s">
        <v>61</v>
      </c>
      <c r="D97" s="976">
        <f t="shared" si="0"/>
        <v>7699.3066666666664</v>
      </c>
      <c r="E97" s="976">
        <f>6786*1.16</f>
        <v>7871.7599999999993</v>
      </c>
      <c r="F97" s="976">
        <f>6477*1.16</f>
        <v>7513.32</v>
      </c>
      <c r="G97" s="1009">
        <f>6649*1.16</f>
        <v>7712.8399999999992</v>
      </c>
      <c r="H97" s="1009"/>
    </row>
    <row r="98" spans="1:8" s="456" customFormat="1">
      <c r="A98" s="513" t="s">
        <v>1619</v>
      </c>
      <c r="B98" s="1006" t="s">
        <v>400</v>
      </c>
      <c r="C98" s="944" t="s">
        <v>61</v>
      </c>
      <c r="D98" s="976">
        <f t="shared" si="0"/>
        <v>5741.2266666666656</v>
      </c>
      <c r="E98" s="976">
        <f>5060*1.16</f>
        <v>5869.5999999999995</v>
      </c>
      <c r="F98" s="976">
        <f>4830*1.16</f>
        <v>5602.7999999999993</v>
      </c>
      <c r="G98" s="1009">
        <f>4958*1.16</f>
        <v>5751.28</v>
      </c>
      <c r="H98" s="1009"/>
    </row>
    <row r="99" spans="1:8" s="456" customFormat="1">
      <c r="A99" s="513" t="s">
        <v>1619</v>
      </c>
      <c r="B99" s="1006" t="s">
        <v>401</v>
      </c>
      <c r="C99" s="944" t="s">
        <v>61</v>
      </c>
      <c r="D99" s="976">
        <f t="shared" si="0"/>
        <v>1041.2933333333333</v>
      </c>
      <c r="E99" s="976">
        <f>918*1.16</f>
        <v>1064.8799999999999</v>
      </c>
      <c r="F99" s="976">
        <f>876*1.16</f>
        <v>1016.16</v>
      </c>
      <c r="G99" s="1009">
        <f>899*1.16</f>
        <v>1042.8399999999999</v>
      </c>
      <c r="H99" s="1009"/>
    </row>
    <row r="100" spans="1:8" s="456" customFormat="1">
      <c r="A100" s="513" t="s">
        <v>1619</v>
      </c>
      <c r="B100" s="1006" t="s">
        <v>402</v>
      </c>
      <c r="C100" s="944" t="s">
        <v>61</v>
      </c>
      <c r="D100" s="976">
        <f t="shared" si="0"/>
        <v>12732.159999999998</v>
      </c>
      <c r="E100" s="976">
        <f>11222*1.16</f>
        <v>13017.519999999999</v>
      </c>
      <c r="F100" s="976">
        <f>10711*1.16</f>
        <v>12424.759999999998</v>
      </c>
      <c r="G100" s="1009">
        <f>10995*1.16</f>
        <v>12754.199999999999</v>
      </c>
      <c r="H100" s="1009"/>
    </row>
    <row r="101" spans="1:8" s="456" customFormat="1">
      <c r="A101" s="513" t="s">
        <v>1619</v>
      </c>
      <c r="B101" s="1006" t="s">
        <v>403</v>
      </c>
      <c r="C101" s="944" t="s">
        <v>61</v>
      </c>
      <c r="D101" s="976">
        <f t="shared" si="0"/>
        <v>35887.693333333329</v>
      </c>
      <c r="E101" s="976">
        <f>31630*1.16</f>
        <v>36690.799999999996</v>
      </c>
      <c r="F101" s="976">
        <f>30191*1.16</f>
        <v>35021.56</v>
      </c>
      <c r="G101" s="1009">
        <f>30992*1.16</f>
        <v>35950.719999999994</v>
      </c>
      <c r="H101" s="1009"/>
    </row>
    <row r="102" spans="1:8" s="456" customFormat="1">
      <c r="A102" s="513" t="s">
        <v>1619</v>
      </c>
      <c r="B102" s="1006" t="s">
        <v>404</v>
      </c>
      <c r="C102" s="944" t="s">
        <v>61</v>
      </c>
      <c r="D102" s="976">
        <f t="shared" si="0"/>
        <v>40988.6</v>
      </c>
      <c r="E102" s="976">
        <f>36126*1.16</f>
        <v>41906.159999999996</v>
      </c>
      <c r="F102" s="976">
        <f>34482*1.16</f>
        <v>39999.119999999995</v>
      </c>
      <c r="G102" s="1009">
        <f>35397*1.16</f>
        <v>41060.519999999997</v>
      </c>
      <c r="H102" s="1009"/>
    </row>
    <row r="103" spans="1:8" s="456" customFormat="1">
      <c r="A103" s="513" t="s">
        <v>1619</v>
      </c>
      <c r="B103" s="1006" t="s">
        <v>405</v>
      </c>
      <c r="C103" s="944" t="s">
        <v>61</v>
      </c>
      <c r="D103" s="976">
        <f t="shared" si="0"/>
        <v>1666.5333333333331</v>
      </c>
      <c r="E103" s="976">
        <f>1469*1.16</f>
        <v>1704.04</v>
      </c>
      <c r="F103" s="976">
        <f>1402*1.16</f>
        <v>1626.32</v>
      </c>
      <c r="G103" s="1009">
        <f>1439*1.16</f>
        <v>1669.2399999999998</v>
      </c>
      <c r="H103" s="1009"/>
    </row>
    <row r="104" spans="1:8" s="456" customFormat="1">
      <c r="A104" s="513" t="s">
        <v>1619</v>
      </c>
      <c r="B104" s="1006" t="s">
        <v>406</v>
      </c>
      <c r="C104" s="944" t="s">
        <v>61</v>
      </c>
      <c r="D104" s="976">
        <f t="shared" si="0"/>
        <v>87203.773333333331</v>
      </c>
      <c r="E104" s="976">
        <f>76858*1.16</f>
        <v>89155.28</v>
      </c>
      <c r="F104" s="976">
        <f>73361*1.16</f>
        <v>85098.76</v>
      </c>
      <c r="G104" s="1009">
        <f>75308*1.16</f>
        <v>87357.28</v>
      </c>
      <c r="H104" s="1009"/>
    </row>
    <row r="105" spans="1:8" s="456" customFormat="1">
      <c r="A105" s="513" t="s">
        <v>1619</v>
      </c>
      <c r="B105" s="1010" t="s">
        <v>407</v>
      </c>
      <c r="C105" s="944" t="s">
        <v>61</v>
      </c>
      <c r="D105" s="976">
        <f t="shared" si="0"/>
        <v>23954.773333333331</v>
      </c>
      <c r="E105" s="976">
        <f>21113*1.16</f>
        <v>24491.079999999998</v>
      </c>
      <c r="F105" s="976">
        <f>20152*1.16</f>
        <v>23376.32</v>
      </c>
      <c r="G105" s="1009">
        <f>20687*1.16</f>
        <v>23996.92</v>
      </c>
      <c r="H105" s="1009"/>
    </row>
    <row r="106" spans="1:8" s="456" customFormat="1">
      <c r="A106" s="513" t="s">
        <v>1619</v>
      </c>
      <c r="B106" s="1010" t="s">
        <v>408</v>
      </c>
      <c r="C106" s="944" t="s">
        <v>61</v>
      </c>
      <c r="D106" s="976">
        <f t="shared" si="0"/>
        <v>27347.386666666669</v>
      </c>
      <c r="E106" s="976">
        <f>24103*1.16</f>
        <v>27959.48</v>
      </c>
      <c r="F106" s="976">
        <f>23006*1.16</f>
        <v>26686.959999999999</v>
      </c>
      <c r="G106" s="1009">
        <f>23617*1.16</f>
        <v>27395.719999999998</v>
      </c>
      <c r="H106" s="1009"/>
    </row>
    <row r="107" spans="1:8" s="456" customFormat="1">
      <c r="A107" s="513" t="s">
        <v>1619</v>
      </c>
      <c r="B107" s="1010" t="s">
        <v>409</v>
      </c>
      <c r="C107" s="944" t="s">
        <v>61</v>
      </c>
      <c r="D107" s="976">
        <f t="shared" si="0"/>
        <v>43259.106666666667</v>
      </c>
      <c r="E107" s="976">
        <f>38127*1.16</f>
        <v>44227.32</v>
      </c>
      <c r="F107" s="976">
        <f>36392*1.16</f>
        <v>42214.719999999994</v>
      </c>
      <c r="G107" s="1009">
        <f>37358*1.16</f>
        <v>43335.28</v>
      </c>
      <c r="H107" s="1009"/>
    </row>
    <row r="108" spans="1:8" s="456" customFormat="1">
      <c r="A108" s="513" t="s">
        <v>1619</v>
      </c>
      <c r="B108" s="1010" t="s">
        <v>410</v>
      </c>
      <c r="C108" s="944" t="s">
        <v>61</v>
      </c>
      <c r="D108" s="976">
        <f t="shared" si="0"/>
        <v>87747.426666666652</v>
      </c>
      <c r="E108" s="976">
        <f>77337*1.16</f>
        <v>89710.92</v>
      </c>
      <c r="F108" s="976">
        <f>73818*1.16</f>
        <v>85628.87999999999</v>
      </c>
      <c r="G108" s="1009">
        <f>75778*1.16</f>
        <v>87902.48</v>
      </c>
      <c r="H108" s="1009"/>
    </row>
    <row r="109" spans="1:8" s="456" customFormat="1">
      <c r="A109" s="513" t="s">
        <v>1619</v>
      </c>
      <c r="B109" s="1010" t="s">
        <v>411</v>
      </c>
      <c r="C109" s="944" t="s">
        <v>61</v>
      </c>
      <c r="D109" s="976">
        <f t="shared" si="0"/>
        <v>240663.65333333332</v>
      </c>
      <c r="E109" s="976">
        <f>212111*1.16</f>
        <v>246048.75999999998</v>
      </c>
      <c r="F109" s="976">
        <f>202460*1.16</f>
        <v>234853.59999999998</v>
      </c>
      <c r="G109" s="1009">
        <f>207835*1.16</f>
        <v>241088.59999999998</v>
      </c>
      <c r="H109" s="1009"/>
    </row>
    <row r="110" spans="1:8" s="456" customFormat="1">
      <c r="A110" s="513" t="s">
        <v>1619</v>
      </c>
      <c r="B110" s="1010" t="s">
        <v>412</v>
      </c>
      <c r="C110" s="944" t="s">
        <v>61</v>
      </c>
      <c r="D110" s="976">
        <f t="shared" si="0"/>
        <v>522558.34666666662</v>
      </c>
      <c r="E110" s="976">
        <f>460562*1.16</f>
        <v>534251.91999999993</v>
      </c>
      <c r="F110" s="976">
        <f>439606*1.16</f>
        <v>509942.95999999996</v>
      </c>
      <c r="G110" s="1009">
        <f>451276*1.16</f>
        <v>523480.16</v>
      </c>
      <c r="H110" s="1009"/>
    </row>
    <row r="111" spans="1:8" s="456" customFormat="1">
      <c r="A111" s="513" t="s">
        <v>1619</v>
      </c>
      <c r="B111" s="1010" t="s">
        <v>413</v>
      </c>
      <c r="C111" s="944" t="s">
        <v>61</v>
      </c>
      <c r="D111" s="976">
        <f t="shared" si="0"/>
        <v>1119107.68</v>
      </c>
      <c r="E111" s="976">
        <f>986336*1.16</f>
        <v>1144149.76</v>
      </c>
      <c r="F111" s="976">
        <f>941458*1.16</f>
        <v>1092091.28</v>
      </c>
      <c r="G111" s="1009">
        <f>966450*1.16</f>
        <v>1121082</v>
      </c>
      <c r="H111" s="1009"/>
    </row>
    <row r="112" spans="1:8" s="456" customFormat="1">
      <c r="A112" s="513" t="s">
        <v>1619</v>
      </c>
      <c r="B112" s="1010" t="s">
        <v>414</v>
      </c>
      <c r="C112" s="944" t="s">
        <v>61</v>
      </c>
      <c r="D112" s="976">
        <f t="shared" si="0"/>
        <v>1570900.6133333333</v>
      </c>
      <c r="E112" s="976">
        <f>1384528*1.16</f>
        <v>1606052.48</v>
      </c>
      <c r="F112" s="976">
        <f>1321532*1.16</f>
        <v>1532977.1199999999</v>
      </c>
      <c r="G112" s="1009">
        <f>1356614*1.16</f>
        <v>1573672.24</v>
      </c>
      <c r="H112" s="1009"/>
    </row>
    <row r="113" spans="1:8" s="456" customFormat="1">
      <c r="A113" s="513" t="s">
        <v>1619</v>
      </c>
      <c r="B113" s="1010" t="s">
        <v>415</v>
      </c>
      <c r="C113" s="944" t="s">
        <v>61</v>
      </c>
      <c r="D113" s="976">
        <f t="shared" si="0"/>
        <v>27708.533333333329</v>
      </c>
      <c r="E113" s="976">
        <f>24421*1.16</f>
        <v>28328.359999999997</v>
      </c>
      <c r="F113" s="976">
        <f>23310*1.16</f>
        <v>27039.599999999999</v>
      </c>
      <c r="G113" s="1009">
        <f>23929*1.16</f>
        <v>27757.64</v>
      </c>
      <c r="H113" s="1009"/>
    </row>
    <row r="114" spans="1:8" s="456" customFormat="1">
      <c r="A114" s="513" t="s">
        <v>1619</v>
      </c>
      <c r="B114" s="1010" t="s">
        <v>416</v>
      </c>
      <c r="C114" s="944" t="s">
        <v>61</v>
      </c>
      <c r="D114" s="976">
        <f t="shared" si="0"/>
        <v>35609.68</v>
      </c>
      <c r="E114" s="976">
        <f>31385*1.16</f>
        <v>36406.6</v>
      </c>
      <c r="F114" s="976">
        <f>29957*1.16</f>
        <v>34750.119999999995</v>
      </c>
      <c r="G114" s="1009">
        <f>30752*1.16</f>
        <v>35672.32</v>
      </c>
      <c r="H114" s="1009"/>
    </row>
    <row r="115" spans="1:8" s="456" customFormat="1">
      <c r="A115" s="513" t="s">
        <v>1619</v>
      </c>
      <c r="B115" s="1010" t="s">
        <v>417</v>
      </c>
      <c r="C115" s="944" t="s">
        <v>61</v>
      </c>
      <c r="D115" s="976">
        <f t="shared" si="0"/>
        <v>64513.013333333329</v>
      </c>
      <c r="E115" s="976">
        <f>56859*1.16</f>
        <v>65956.44</v>
      </c>
      <c r="F115" s="976">
        <f>54272*1.16</f>
        <v>62955.519999999997</v>
      </c>
      <c r="G115" s="1009">
        <f>55713*1.16</f>
        <v>64627.079999999994</v>
      </c>
      <c r="H115" s="1009"/>
    </row>
    <row r="116" spans="1:8" s="456" customFormat="1">
      <c r="A116" s="513" t="s">
        <v>1619</v>
      </c>
      <c r="B116" s="1010" t="s">
        <v>418</v>
      </c>
      <c r="C116" s="944" t="s">
        <v>61</v>
      </c>
      <c r="D116" s="976">
        <f t="shared" si="0"/>
        <v>123870.21333333333</v>
      </c>
      <c r="E116" s="976">
        <f>109174*1.16</f>
        <v>126641.84</v>
      </c>
      <c r="F116" s="976">
        <f>104207*1.16</f>
        <v>120880.12</v>
      </c>
      <c r="G116" s="1009">
        <f>106973*1.16</f>
        <v>124088.68</v>
      </c>
      <c r="H116" s="1009"/>
    </row>
    <row r="117" spans="1:8" s="456" customFormat="1">
      <c r="A117" s="513" t="s">
        <v>1619</v>
      </c>
      <c r="B117" s="1010" t="s">
        <v>1585</v>
      </c>
      <c r="C117" s="944" t="s">
        <v>61</v>
      </c>
      <c r="D117" s="976">
        <f t="shared" si="0"/>
        <v>330752.73333333334</v>
      </c>
      <c r="E117" s="976">
        <f>291512*1.16</f>
        <v>338153.92</v>
      </c>
      <c r="F117" s="976">
        <f>278248*1.16</f>
        <v>322767.68</v>
      </c>
      <c r="G117" s="1009">
        <f>285635*1.16</f>
        <v>331336.59999999998</v>
      </c>
      <c r="H117" s="1009"/>
    </row>
    <row r="118" spans="1:8" s="456" customFormat="1">
      <c r="A118" s="513" t="s">
        <v>1619</v>
      </c>
      <c r="B118" s="1010" t="s">
        <v>1586</v>
      </c>
      <c r="C118" s="944" t="s">
        <v>61</v>
      </c>
      <c r="D118" s="976">
        <f t="shared" si="0"/>
        <v>786521.37333333341</v>
      </c>
      <c r="E118" s="976">
        <f>693208*1.16</f>
        <v>804121.27999999991</v>
      </c>
      <c r="F118" s="976">
        <f>661667*1.16</f>
        <v>767533.72</v>
      </c>
      <c r="G118" s="1009">
        <f>679232*1.16</f>
        <v>787909.12</v>
      </c>
      <c r="H118" s="1009"/>
    </row>
    <row r="119" spans="1:8" s="456" customFormat="1">
      <c r="A119" s="513" t="s">
        <v>1619</v>
      </c>
      <c r="B119" s="1010" t="s">
        <v>1587</v>
      </c>
      <c r="C119" s="944" t="s">
        <v>61</v>
      </c>
      <c r="D119" s="976">
        <f t="shared" si="0"/>
        <v>1710670.9466666665</v>
      </c>
      <c r="E119" s="976">
        <f>1507716*1.16</f>
        <v>1748950.5599999998</v>
      </c>
      <c r="F119" s="976">
        <f>1439115*1.16</f>
        <v>1669373.4</v>
      </c>
      <c r="G119" s="1009">
        <f>1477318*1.16</f>
        <v>1713688.88</v>
      </c>
      <c r="H119" s="1009"/>
    </row>
    <row r="120" spans="1:8" s="456" customFormat="1">
      <c r="A120" s="513" t="s">
        <v>1619</v>
      </c>
      <c r="B120" s="1010" t="s">
        <v>1588</v>
      </c>
      <c r="C120" s="944" t="s">
        <v>61</v>
      </c>
      <c r="D120" s="976">
        <f t="shared" si="0"/>
        <v>2321694.3733333335</v>
      </c>
      <c r="E120" s="976">
        <f>2046247*1.16</f>
        <v>2373646.52</v>
      </c>
      <c r="F120" s="976">
        <f>1953143*1.16</f>
        <v>2265645.88</v>
      </c>
      <c r="G120" s="1009">
        <f>2004992*1.16</f>
        <v>2325790.7199999997</v>
      </c>
      <c r="H120" s="1009"/>
    </row>
    <row r="121" spans="1:8" s="456" customFormat="1">
      <c r="A121" s="513" t="s">
        <v>1619</v>
      </c>
      <c r="B121" s="1006" t="s">
        <v>419</v>
      </c>
      <c r="C121" s="944" t="s">
        <v>61</v>
      </c>
      <c r="D121" s="976">
        <f t="shared" si="0"/>
        <v>1975.4799999999998</v>
      </c>
      <c r="E121" s="976">
        <f>1741*1.16</f>
        <v>2019.56</v>
      </c>
      <c r="F121" s="976">
        <f>1662*1.16</f>
        <v>1927.9199999999998</v>
      </c>
      <c r="G121" s="1009">
        <f>1706*1.16</f>
        <v>1978.9599999999998</v>
      </c>
      <c r="H121" s="1009"/>
    </row>
    <row r="122" spans="1:8" s="456" customFormat="1">
      <c r="A122" s="513" t="s">
        <v>1619</v>
      </c>
      <c r="B122" s="1006" t="s">
        <v>420</v>
      </c>
      <c r="C122" s="944" t="s">
        <v>61</v>
      </c>
      <c r="D122" s="976">
        <f t="shared" si="0"/>
        <v>7090.3066666666664</v>
      </c>
      <c r="E122" s="976">
        <f>6249*1.16</f>
        <v>7248.8399999999992</v>
      </c>
      <c r="F122" s="976">
        <f>5965*1.16</f>
        <v>6919.4</v>
      </c>
      <c r="G122" s="1009">
        <f>6123*1.16</f>
        <v>7102.6799999999994</v>
      </c>
      <c r="H122" s="1009"/>
    </row>
    <row r="123" spans="1:8" s="456" customFormat="1">
      <c r="A123" s="513" t="s">
        <v>1619</v>
      </c>
      <c r="B123" s="1006" t="s">
        <v>421</v>
      </c>
      <c r="C123" s="944" t="s">
        <v>61</v>
      </c>
      <c r="D123" s="976">
        <f t="shared" si="0"/>
        <v>3797.8399999999997</v>
      </c>
      <c r="E123" s="976">
        <f>3347*1.16</f>
        <v>3882.5199999999995</v>
      </c>
      <c r="F123" s="976">
        <f>3195*1.16</f>
        <v>3706.2</v>
      </c>
      <c r="G123" s="1009">
        <f>3280*1.16</f>
        <v>3804.7999999999997</v>
      </c>
      <c r="H123" s="1009"/>
    </row>
    <row r="124" spans="1:8" s="456" customFormat="1">
      <c r="A124" s="513" t="s">
        <v>1619</v>
      </c>
      <c r="B124" s="1006" t="s">
        <v>422</v>
      </c>
      <c r="C124" s="944" t="s">
        <v>61</v>
      </c>
      <c r="D124" s="976">
        <f t="shared" si="0"/>
        <v>631.04</v>
      </c>
      <c r="E124" s="976">
        <f>556*1.16</f>
        <v>644.95999999999992</v>
      </c>
      <c r="F124" s="976">
        <f>531*1.16</f>
        <v>615.95999999999992</v>
      </c>
      <c r="G124" s="1009">
        <f>545*1.16</f>
        <v>632.19999999999993</v>
      </c>
      <c r="H124" s="1009"/>
    </row>
    <row r="125" spans="1:8" s="456" customFormat="1">
      <c r="A125" s="513" t="s">
        <v>1619</v>
      </c>
      <c r="B125" s="1006" t="s">
        <v>423</v>
      </c>
      <c r="C125" s="944" t="s">
        <v>61</v>
      </c>
      <c r="D125" s="976">
        <f t="shared" si="0"/>
        <v>11619.333333333334</v>
      </c>
      <c r="E125" s="976">
        <f>10241*1.16</f>
        <v>11879.56</v>
      </c>
      <c r="F125" s="976">
        <f>9775*1.16</f>
        <v>11339</v>
      </c>
      <c r="G125" s="1009">
        <f>10034*1.16</f>
        <v>11639.439999999999</v>
      </c>
      <c r="H125" s="1009"/>
    </row>
    <row r="126" spans="1:8" s="456" customFormat="1">
      <c r="A126" s="513" t="s">
        <v>1619</v>
      </c>
      <c r="B126" s="1006" t="s">
        <v>424</v>
      </c>
      <c r="C126" s="944" t="s">
        <v>61</v>
      </c>
      <c r="D126" s="976">
        <f t="shared" si="0"/>
        <v>33464.066666666666</v>
      </c>
      <c r="E126" s="976">
        <f>29494*1.16</f>
        <v>34213.040000000001</v>
      </c>
      <c r="F126" s="976">
        <f>28152*1.16</f>
        <v>32656.319999999996</v>
      </c>
      <c r="G126" s="1009">
        <f>28899*1.16</f>
        <v>33522.839999999997</v>
      </c>
      <c r="H126" s="1009"/>
    </row>
    <row r="127" spans="1:8" s="456" customFormat="1">
      <c r="A127" s="513" t="s">
        <v>1619</v>
      </c>
      <c r="B127" s="1006" t="s">
        <v>425</v>
      </c>
      <c r="C127" s="944" t="s">
        <v>61</v>
      </c>
      <c r="D127" s="976">
        <f t="shared" si="0"/>
        <v>43308.986666666664</v>
      </c>
      <c r="E127" s="976">
        <f>38171*1.16</f>
        <v>44278.36</v>
      </c>
      <c r="F127" s="976">
        <f>36434*1.16</f>
        <v>42263.439999999995</v>
      </c>
      <c r="G127" s="1009">
        <f>37401*1.16</f>
        <v>43385.159999999996</v>
      </c>
      <c r="H127" s="1009"/>
    </row>
    <row r="128" spans="1:8" s="456" customFormat="1">
      <c r="A128" s="513" t="s">
        <v>1619</v>
      </c>
      <c r="B128" s="1006" t="s">
        <v>426</v>
      </c>
      <c r="C128" s="944" t="s">
        <v>61</v>
      </c>
      <c r="D128" s="976">
        <f>AVERAGE(E128:G128)</f>
        <v>1010.7466666666666</v>
      </c>
      <c r="E128" s="976">
        <f>891*1.16</f>
        <v>1033.56</v>
      </c>
      <c r="F128" s="976">
        <f>850*1.16</f>
        <v>985.99999999999989</v>
      </c>
      <c r="G128" s="1009">
        <f>873*1.16</f>
        <v>1012.68</v>
      </c>
      <c r="H128" s="1009"/>
    </row>
    <row r="129" spans="1:8" s="456" customFormat="1">
      <c r="A129" s="513" t="s">
        <v>1619</v>
      </c>
      <c r="B129" s="1006" t="s">
        <v>427</v>
      </c>
      <c r="C129" s="944" t="s">
        <v>61</v>
      </c>
      <c r="D129" s="976">
        <f t="shared" si="0"/>
        <v>93953.426666666652</v>
      </c>
      <c r="E129" s="976">
        <f>82807*1.16</f>
        <v>96056.12</v>
      </c>
      <c r="F129" s="976">
        <f>79039*1.16</f>
        <v>91685.239999999991</v>
      </c>
      <c r="G129" s="1009">
        <f>81137*1.16</f>
        <v>94118.92</v>
      </c>
      <c r="H129" s="1009"/>
    </row>
    <row r="130" spans="1:8" s="456" customFormat="1">
      <c r="A130" s="513" t="s">
        <v>1619</v>
      </c>
      <c r="B130" s="1008" t="s">
        <v>1645</v>
      </c>
      <c r="C130" s="944" t="s">
        <v>61</v>
      </c>
      <c r="D130" s="976">
        <f t="shared" si="0"/>
        <v>140266.04</v>
      </c>
      <c r="E130" s="976">
        <f>123625*1.16</f>
        <v>143405</v>
      </c>
      <c r="F130" s="976">
        <f>118000*1.16</f>
        <v>136880</v>
      </c>
      <c r="G130" s="1009">
        <f>121132*1.16</f>
        <v>140513.12</v>
      </c>
      <c r="H130" s="1009"/>
    </row>
    <row r="131" spans="1:8" s="456" customFormat="1">
      <c r="A131" s="513" t="s">
        <v>1619</v>
      </c>
      <c r="B131" s="1008" t="s">
        <v>1566</v>
      </c>
      <c r="C131" s="944" t="s">
        <v>61</v>
      </c>
      <c r="D131" s="976">
        <f t="shared" si="0"/>
        <v>96284.253333333341</v>
      </c>
      <c r="E131" s="976">
        <f>84861*1.16</f>
        <v>98438.76</v>
      </c>
      <c r="F131" s="976">
        <f>81000*1.16</f>
        <v>93960</v>
      </c>
      <c r="G131" s="1009">
        <f>83150*1.16</f>
        <v>96454</v>
      </c>
      <c r="H131" s="1009"/>
    </row>
    <row r="132" spans="1:8" s="456" customFormat="1">
      <c r="A132" s="513" t="s">
        <v>1619</v>
      </c>
      <c r="B132" s="1006" t="s">
        <v>428</v>
      </c>
      <c r="C132" s="944" t="s">
        <v>61</v>
      </c>
      <c r="D132" s="976">
        <f t="shared" si="0"/>
        <v>11602.706666666665</v>
      </c>
      <c r="E132" s="976">
        <f>10226*1.16</f>
        <v>11862.16</v>
      </c>
      <c r="F132" s="976">
        <f>9761*1.16</f>
        <v>11322.759999999998</v>
      </c>
      <c r="G132" s="976">
        <f>10020*1.16</f>
        <v>11623.199999999999</v>
      </c>
      <c r="H132" s="976"/>
    </row>
    <row r="133" spans="1:8" s="456" customFormat="1">
      <c r="A133" s="513" t="s">
        <v>1619</v>
      </c>
      <c r="B133" s="1006" t="s">
        <v>429</v>
      </c>
      <c r="C133" s="944" t="s">
        <v>61</v>
      </c>
      <c r="D133" s="976">
        <f t="shared" si="0"/>
        <v>7567.0666666666657</v>
      </c>
      <c r="E133" s="976">
        <f>6669*1.16</f>
        <v>7736.0399999999991</v>
      </c>
      <c r="F133" s="976">
        <f>6366*1.16</f>
        <v>7384.5599999999995</v>
      </c>
      <c r="G133" s="976">
        <f>6535*1.16</f>
        <v>7580.5999999999995</v>
      </c>
      <c r="H133" s="976"/>
    </row>
    <row r="134" spans="1:8" s="456" customFormat="1">
      <c r="A134" s="513" t="s">
        <v>1619</v>
      </c>
      <c r="B134" s="1006" t="s">
        <v>430</v>
      </c>
      <c r="C134" s="944" t="s">
        <v>61</v>
      </c>
      <c r="D134" s="976">
        <f t="shared" si="0"/>
        <v>12294.839999999998</v>
      </c>
      <c r="E134" s="976">
        <f>10836*1.16</f>
        <v>12569.759999999998</v>
      </c>
      <c r="F134" s="976">
        <f>10343*1.16</f>
        <v>11997.88</v>
      </c>
      <c r="G134" s="976">
        <f>10618*1.16</f>
        <v>12316.88</v>
      </c>
      <c r="H134" s="976"/>
    </row>
    <row r="135" spans="1:8" s="456" customFormat="1">
      <c r="A135" s="513" t="s">
        <v>1619</v>
      </c>
      <c r="B135" s="1006" t="s">
        <v>1635</v>
      </c>
      <c r="C135" s="944" t="s">
        <v>61</v>
      </c>
      <c r="D135" s="976">
        <f>AVERAGE(E135:G135)</f>
        <v>10774.466666666665</v>
      </c>
      <c r="E135" s="976">
        <f>9496*1.16</f>
        <v>11015.359999999999</v>
      </c>
      <c r="F135" s="976">
        <f>9064*1.16</f>
        <v>10514.24</v>
      </c>
      <c r="G135" s="976">
        <f>9305*1.16</f>
        <v>10793.8</v>
      </c>
      <c r="H135" s="976"/>
    </row>
    <row r="136" spans="1:8" s="456" customFormat="1">
      <c r="A136" s="626"/>
      <c r="B136" s="921" t="s">
        <v>1320</v>
      </c>
      <c r="C136" s="937" t="s">
        <v>61</v>
      </c>
      <c r="D136" s="963">
        <f>AVERAGE(E136:F136)</f>
        <v>40716</v>
      </c>
      <c r="E136" s="1085">
        <f>35100*1.16</f>
        <v>40716</v>
      </c>
      <c r="F136" s="998"/>
      <c r="G136" s="1000"/>
      <c r="H136" s="1000"/>
    </row>
    <row r="137" spans="1:8" s="456" customFormat="1">
      <c r="A137" s="626"/>
      <c r="B137" s="921" t="s">
        <v>1321</v>
      </c>
      <c r="C137" s="937" t="s">
        <v>61</v>
      </c>
      <c r="D137" s="963">
        <f t="shared" ref="D137:D139" si="1">AVERAGE(E137:F137)</f>
        <v>43500</v>
      </c>
      <c r="E137" s="1085">
        <f>37500*1.16</f>
        <v>43500</v>
      </c>
      <c r="F137" s="998"/>
      <c r="G137" s="1000"/>
      <c r="H137" s="1000"/>
    </row>
    <row r="138" spans="1:8" s="456" customFormat="1">
      <c r="A138" s="626"/>
      <c r="B138" s="921" t="s">
        <v>1209</v>
      </c>
      <c r="C138" s="937" t="s">
        <v>61</v>
      </c>
      <c r="D138" s="963">
        <f t="shared" si="1"/>
        <v>40774</v>
      </c>
      <c r="E138" s="1085">
        <f>35150*1.16</f>
        <v>40774</v>
      </c>
      <c r="F138" s="998"/>
      <c r="G138" s="1000"/>
      <c r="H138" s="1000"/>
    </row>
    <row r="139" spans="1:8" s="456" customFormat="1">
      <c r="A139" s="626"/>
      <c r="B139" s="921" t="s">
        <v>1199</v>
      </c>
      <c r="C139" s="937" t="s">
        <v>61</v>
      </c>
      <c r="D139" s="963">
        <f t="shared" si="1"/>
        <v>36656</v>
      </c>
      <c r="E139" s="1085">
        <f>31600*1.16</f>
        <v>36656</v>
      </c>
      <c r="F139" s="998"/>
      <c r="G139" s="1000"/>
      <c r="H139" s="1000"/>
    </row>
    <row r="140" spans="1:8" s="456" customFormat="1">
      <c r="A140" s="513" t="s">
        <v>1619</v>
      </c>
      <c r="B140" s="1006" t="s">
        <v>1426</v>
      </c>
      <c r="C140" s="1007" t="s">
        <v>61</v>
      </c>
      <c r="D140" s="976">
        <f>AVERAGE(E140:G140)</f>
        <v>17199.319999999996</v>
      </c>
      <c r="E140" s="976">
        <f>15159*1.16</f>
        <v>17584.439999999999</v>
      </c>
      <c r="F140" s="976">
        <f>14469*1.16</f>
        <v>16784.039999999997</v>
      </c>
      <c r="G140" s="976">
        <f>14853*1.16</f>
        <v>17229.48</v>
      </c>
      <c r="H140" s="976"/>
    </row>
    <row r="141" spans="1:8" s="456" customFormat="1">
      <c r="A141" s="513" t="s">
        <v>1619</v>
      </c>
      <c r="B141" s="1006" t="s">
        <v>1427</v>
      </c>
      <c r="C141" s="1007" t="s">
        <v>61</v>
      </c>
      <c r="D141" s="976">
        <f>AVERAGE(E141:G141)</f>
        <v>15134.519999999999</v>
      </c>
      <c r="E141" s="976">
        <f>13339*1.16</f>
        <v>15473.24</v>
      </c>
      <c r="F141" s="976">
        <f>12732*1.16</f>
        <v>14769.119999999999</v>
      </c>
      <c r="G141" s="976">
        <f>13070*1.16</f>
        <v>15161.199999999999</v>
      </c>
      <c r="H141" s="976"/>
    </row>
    <row r="142" spans="1:8" s="456" customFormat="1">
      <c r="A142" s="513" t="s">
        <v>1619</v>
      </c>
      <c r="B142" s="1006" t="s">
        <v>1428</v>
      </c>
      <c r="C142" s="1007" t="s">
        <v>61</v>
      </c>
      <c r="D142" s="976">
        <f t="shared" ref="D142:D151" si="2">AVERAGE(E142:G142)</f>
        <v>19531.306666666667</v>
      </c>
      <c r="E142" s="976">
        <f>17214*1.16</f>
        <v>19968.239999999998</v>
      </c>
      <c r="F142" s="976">
        <f>16431*1.16</f>
        <v>19059.96</v>
      </c>
      <c r="G142" s="976">
        <f>16867*1.16</f>
        <v>19565.719999999998</v>
      </c>
      <c r="H142" s="976"/>
    </row>
    <row r="143" spans="1:8" s="456" customFormat="1">
      <c r="A143" s="513" t="s">
        <v>1619</v>
      </c>
      <c r="B143" s="1006" t="s">
        <v>1429</v>
      </c>
      <c r="C143" s="1007" t="s">
        <v>61</v>
      </c>
      <c r="D143" s="976">
        <f t="shared" si="2"/>
        <v>18568.89333333333</v>
      </c>
      <c r="E143" s="976">
        <f>16366*1.16</f>
        <v>18984.559999999998</v>
      </c>
      <c r="F143" s="976">
        <f>15621*1.16</f>
        <v>18120.359999999997</v>
      </c>
      <c r="G143" s="976">
        <f>16036*1.16</f>
        <v>18601.759999999998</v>
      </c>
      <c r="H143" s="976"/>
    </row>
    <row r="144" spans="1:8" s="456" customFormat="1">
      <c r="A144" s="513" t="s">
        <v>1619</v>
      </c>
      <c r="B144" s="1006" t="s">
        <v>1430</v>
      </c>
      <c r="C144" s="1007" t="s">
        <v>61</v>
      </c>
      <c r="D144" s="976">
        <f t="shared" si="2"/>
        <v>24827.093333333334</v>
      </c>
      <c r="E144" s="976">
        <f>21882*1.16</f>
        <v>25383.119999999999</v>
      </c>
      <c r="F144" s="976">
        <f>20886*1.16</f>
        <v>24227.759999999998</v>
      </c>
      <c r="G144" s="976">
        <f>21440*1.16</f>
        <v>24870.399999999998</v>
      </c>
      <c r="H144" s="976"/>
    </row>
    <row r="145" spans="1:10" s="456" customFormat="1">
      <c r="A145" s="513" t="s">
        <v>1619</v>
      </c>
      <c r="B145" s="1006" t="s">
        <v>1431</v>
      </c>
      <c r="C145" s="1007" t="s">
        <v>61</v>
      </c>
      <c r="D145" s="976">
        <f t="shared" si="2"/>
        <v>21778.999999999996</v>
      </c>
      <c r="E145" s="976">
        <f>19195*1.16</f>
        <v>22266.199999999997</v>
      </c>
      <c r="F145" s="976">
        <f>18322*1.16</f>
        <v>21253.519999999997</v>
      </c>
      <c r="G145" s="976">
        <f>18808*1.16</f>
        <v>21817.279999999999</v>
      </c>
      <c r="H145" s="976"/>
    </row>
    <row r="146" spans="1:10" s="456" customFormat="1">
      <c r="A146" s="513" t="s">
        <v>1619</v>
      </c>
      <c r="B146" s="1006" t="s">
        <v>431</v>
      </c>
      <c r="C146" s="944" t="s">
        <v>61</v>
      </c>
      <c r="D146" s="976">
        <f t="shared" si="2"/>
        <v>52206.573333333334</v>
      </c>
      <c r="E146" s="976">
        <f>46013*1.16</f>
        <v>53375.079999999994</v>
      </c>
      <c r="F146" s="976">
        <f>43919*1.16</f>
        <v>50946.039999999994</v>
      </c>
      <c r="G146" s="976">
        <f>45085*1.16</f>
        <v>52298.6</v>
      </c>
      <c r="H146" s="976"/>
    </row>
    <row r="147" spans="1:10" s="456" customFormat="1">
      <c r="A147" s="513" t="s">
        <v>1619</v>
      </c>
      <c r="B147" s="1006" t="s">
        <v>1535</v>
      </c>
      <c r="C147" s="944" t="s">
        <v>61</v>
      </c>
      <c r="D147" s="976">
        <f t="shared" si="2"/>
        <v>180681.98666666666</v>
      </c>
      <c r="E147" s="976">
        <f>159246*1.16</f>
        <v>184725.36</v>
      </c>
      <c r="F147" s="976">
        <f>152000*1.16</f>
        <v>176320</v>
      </c>
      <c r="G147" s="976">
        <f>156035*1.16</f>
        <v>181000.59999999998</v>
      </c>
      <c r="H147" s="976"/>
      <c r="I147"/>
    </row>
    <row r="148" spans="1:10" s="456" customFormat="1">
      <c r="A148" s="513" t="s">
        <v>1619</v>
      </c>
      <c r="B148" s="1006" t="s">
        <v>1536</v>
      </c>
      <c r="C148" s="944" t="s">
        <v>61</v>
      </c>
      <c r="D148" s="976">
        <f t="shared" si="2"/>
        <v>624065.69333333324</v>
      </c>
      <c r="E148" s="976">
        <f>550026*1.16</f>
        <v>638030.15999999992</v>
      </c>
      <c r="F148" s="976">
        <f>525000*1.16</f>
        <v>609000</v>
      </c>
      <c r="G148" s="976">
        <f>538937*1.16</f>
        <v>625166.91999999993</v>
      </c>
      <c r="H148" s="976"/>
      <c r="I148"/>
    </row>
    <row r="149" spans="1:10" s="456" customFormat="1">
      <c r="A149" s="513" t="s">
        <v>1619</v>
      </c>
      <c r="B149" s="1006" t="s">
        <v>1537</v>
      </c>
      <c r="C149" s="944" t="s">
        <v>61</v>
      </c>
      <c r="D149" s="976">
        <f t="shared" si="2"/>
        <v>161662.62666666668</v>
      </c>
      <c r="E149" s="976">
        <f>142483*1.16</f>
        <v>165280.28</v>
      </c>
      <c r="F149" s="976">
        <f>136000*1.16</f>
        <v>157760</v>
      </c>
      <c r="G149" s="976">
        <f>139610*1.16</f>
        <v>161947.59999999998</v>
      </c>
      <c r="H149" s="976"/>
      <c r="I149"/>
    </row>
    <row r="150" spans="1:10" s="456" customFormat="1">
      <c r="A150" s="513" t="s">
        <v>1619</v>
      </c>
      <c r="B150" s="1006" t="s">
        <v>1538</v>
      </c>
      <c r="C150" s="944" t="s">
        <v>61</v>
      </c>
      <c r="D150" s="976">
        <f t="shared" si="2"/>
        <v>565819.3866666666</v>
      </c>
      <c r="E150" s="976">
        <f>498690*1.16</f>
        <v>578480.39999999991</v>
      </c>
      <c r="F150" s="976">
        <f>476000*1.16</f>
        <v>552160</v>
      </c>
      <c r="G150" s="976">
        <f>488636*1.16</f>
        <v>566817.76</v>
      </c>
      <c r="H150" s="976"/>
      <c r="I150"/>
    </row>
    <row r="151" spans="1:10" s="456" customFormat="1">
      <c r="A151" s="513" t="s">
        <v>1619</v>
      </c>
      <c r="B151" s="1006" t="s">
        <v>1539</v>
      </c>
      <c r="C151" s="944" t="s">
        <v>61</v>
      </c>
      <c r="D151" s="976">
        <f t="shared" si="2"/>
        <v>171172.30666666667</v>
      </c>
      <c r="E151" s="976">
        <f>150864*1.16</f>
        <v>175002.23999999999</v>
      </c>
      <c r="F151" s="976">
        <f>144000*1.16</f>
        <v>167040</v>
      </c>
      <c r="G151" s="976">
        <f>147823*1.16</f>
        <v>171474.68</v>
      </c>
      <c r="H151" s="976"/>
      <c r="I151"/>
    </row>
    <row r="152" spans="1:10" s="456" customFormat="1">
      <c r="A152" s="513" t="s">
        <v>1619</v>
      </c>
      <c r="B152" s="1006" t="s">
        <v>1540</v>
      </c>
      <c r="C152" s="944" t="s">
        <v>61</v>
      </c>
      <c r="D152" s="976">
        <f>AVERAGE(E152:G152)</f>
        <v>379193.9466666666</v>
      </c>
      <c r="E152" s="976">
        <f>334206*1.16</f>
        <v>387678.95999999996</v>
      </c>
      <c r="F152" s="976">
        <f>319000*1.16</f>
        <v>370040</v>
      </c>
      <c r="G152" s="976">
        <f>327468*1.16</f>
        <v>379862.87999999995</v>
      </c>
      <c r="H152" s="976"/>
      <c r="I152"/>
    </row>
    <row r="153" spans="1:10" s="456" customFormat="1">
      <c r="A153" s="626"/>
      <c r="B153" s="922" t="s">
        <v>1591</v>
      </c>
      <c r="C153" s="937" t="s">
        <v>61</v>
      </c>
      <c r="D153" s="952"/>
      <c r="E153" s="1085"/>
      <c r="F153" s="997"/>
      <c r="G153" s="997"/>
      <c r="H153" s="997"/>
      <c r="I153"/>
    </row>
    <row r="154" spans="1:10" s="456" customFormat="1">
      <c r="A154" s="626"/>
      <c r="B154" s="922" t="s">
        <v>1592</v>
      </c>
      <c r="C154" s="937" t="s">
        <v>61</v>
      </c>
      <c r="D154" s="952"/>
      <c r="E154" s="1085"/>
      <c r="F154" s="997"/>
      <c r="G154" s="997"/>
      <c r="H154" s="997"/>
      <c r="I154"/>
    </row>
    <row r="155" spans="1:10" s="456" customFormat="1">
      <c r="A155" s="626"/>
      <c r="B155" s="922" t="s">
        <v>1593</v>
      </c>
      <c r="C155" s="937" t="s">
        <v>61</v>
      </c>
      <c r="D155" s="952"/>
      <c r="E155" s="1085"/>
      <c r="F155" s="997"/>
      <c r="G155" s="997"/>
      <c r="H155" s="997"/>
      <c r="I155"/>
    </row>
    <row r="156" spans="1:10" s="456" customFormat="1">
      <c r="A156" s="626"/>
      <c r="B156" s="922" t="s">
        <v>1594</v>
      </c>
      <c r="C156" s="937" t="s">
        <v>61</v>
      </c>
      <c r="D156" s="952"/>
      <c r="E156" s="1085"/>
      <c r="F156" s="997"/>
      <c r="G156" s="997"/>
      <c r="H156" s="997"/>
      <c r="I156"/>
    </row>
    <row r="157" spans="1:10" s="456" customFormat="1">
      <c r="A157" s="513" t="s">
        <v>1619</v>
      </c>
      <c r="B157" s="1006" t="s">
        <v>432</v>
      </c>
      <c r="C157" s="944" t="s">
        <v>61</v>
      </c>
      <c r="D157" s="976">
        <f>AVERAGE(E157:G157)</f>
        <v>31144.066666666666</v>
      </c>
      <c r="E157" s="976">
        <f>27449*1.16</f>
        <v>31840.839999999997</v>
      </c>
      <c r="F157" s="976">
        <f>26200*1.16</f>
        <v>30391.999999999996</v>
      </c>
      <c r="G157" s="976">
        <f>26896*1.16</f>
        <v>31199.359999999997</v>
      </c>
      <c r="H157" s="976"/>
      <c r="I157" s="50"/>
      <c r="J157" s="50"/>
    </row>
    <row r="158" spans="1:10" s="456" customFormat="1">
      <c r="A158" s="513" t="s">
        <v>1619</v>
      </c>
      <c r="B158" s="1006" t="s">
        <v>433</v>
      </c>
      <c r="C158" s="944" t="s">
        <v>61</v>
      </c>
      <c r="D158" s="976">
        <f t="shared" ref="D158:D160" si="3">AVERAGE(E158:G158)</f>
        <v>32094.880000000001</v>
      </c>
      <c r="E158" s="976">
        <f>28287*1.16</f>
        <v>32812.92</v>
      </c>
      <c r="F158" s="976">
        <f>27000*1.16</f>
        <v>31319.999999999996</v>
      </c>
      <c r="G158" s="976">
        <f>27717*1.16</f>
        <v>32151.719999999998</v>
      </c>
      <c r="H158" s="976"/>
      <c r="I158" s="50"/>
      <c r="J158" s="50"/>
    </row>
    <row r="159" spans="1:10" s="456" customFormat="1">
      <c r="A159" s="513" t="s">
        <v>1619</v>
      </c>
      <c r="B159" s="1006" t="s">
        <v>434</v>
      </c>
      <c r="C159" s="944" t="s">
        <v>61</v>
      </c>
      <c r="D159" s="976">
        <f t="shared" si="3"/>
        <v>60623.533333333326</v>
      </c>
      <c r="E159" s="976">
        <f>53431*1.16</f>
        <v>61979.96</v>
      </c>
      <c r="F159" s="976">
        <f>51000*1.16</f>
        <v>59159.999999999993</v>
      </c>
      <c r="G159" s="976">
        <f>52354*1.16</f>
        <v>60730.64</v>
      </c>
      <c r="H159" s="976"/>
      <c r="I159" s="50"/>
      <c r="J159" s="50"/>
    </row>
    <row r="160" spans="1:10" s="456" customFormat="1">
      <c r="A160" s="513" t="s">
        <v>1619</v>
      </c>
      <c r="B160" s="1006" t="s">
        <v>435</v>
      </c>
      <c r="C160" s="944" t="s">
        <v>61</v>
      </c>
      <c r="D160" s="976">
        <f t="shared" si="3"/>
        <v>62406.839999999989</v>
      </c>
      <c r="E160" s="976">
        <f>55003*1.16</f>
        <v>63803.479999999996</v>
      </c>
      <c r="F160" s="976">
        <f>52500*1.16</f>
        <v>60899.999999999993</v>
      </c>
      <c r="G160" s="976">
        <f>53894*1.16</f>
        <v>62517.039999999994</v>
      </c>
      <c r="H160" s="976"/>
      <c r="I160" s="50"/>
      <c r="J160" s="50"/>
    </row>
    <row r="161" spans="1:10" s="456" customFormat="1">
      <c r="A161" s="626"/>
      <c r="B161" s="892" t="s">
        <v>1409</v>
      </c>
      <c r="C161" s="896" t="s">
        <v>61</v>
      </c>
      <c r="D161" s="949">
        <v>30000</v>
      </c>
      <c r="E161" s="990"/>
      <c r="F161" s="990"/>
      <c r="G161" s="990"/>
      <c r="H161" s="990"/>
    </row>
    <row r="162" spans="1:10" s="456" customFormat="1">
      <c r="A162" s="626"/>
      <c r="B162" s="892" t="s">
        <v>1408</v>
      </c>
      <c r="C162" s="896" t="s">
        <v>61</v>
      </c>
      <c r="D162" s="949">
        <v>39300</v>
      </c>
      <c r="E162" s="990"/>
      <c r="F162" s="990"/>
      <c r="G162" s="990"/>
      <c r="H162" s="990"/>
    </row>
    <row r="163" spans="1:10" s="456" customFormat="1">
      <c r="A163" s="626"/>
      <c r="B163" s="923" t="s">
        <v>1175</v>
      </c>
      <c r="C163" s="896" t="s">
        <v>61</v>
      </c>
      <c r="D163" s="952">
        <v>54900</v>
      </c>
      <c r="E163" s="990"/>
      <c r="F163" s="990"/>
      <c r="G163" s="990"/>
      <c r="H163" s="990"/>
    </row>
    <row r="164" spans="1:10" s="456" customFormat="1">
      <c r="A164" s="626"/>
      <c r="B164" s="923" t="s">
        <v>1179</v>
      </c>
      <c r="C164" s="896" t="s">
        <v>61</v>
      </c>
      <c r="D164" s="952">
        <v>162370</v>
      </c>
      <c r="E164" s="990"/>
      <c r="F164" s="990"/>
      <c r="G164" s="990"/>
      <c r="H164" s="990"/>
    </row>
    <row r="165" spans="1:10" s="456" customFormat="1">
      <c r="A165" s="626"/>
      <c r="B165" s="923" t="s">
        <v>1183</v>
      </c>
      <c r="C165" s="896" t="s">
        <v>61</v>
      </c>
      <c r="D165" s="952">
        <v>7759</v>
      </c>
      <c r="E165" s="990"/>
      <c r="F165" s="990"/>
      <c r="G165" s="990"/>
      <c r="H165" s="990"/>
    </row>
    <row r="166" spans="1:10" s="456" customFormat="1">
      <c r="A166" s="626"/>
      <c r="B166" s="923" t="s">
        <v>1187</v>
      </c>
      <c r="C166" s="896" t="s">
        <v>61</v>
      </c>
      <c r="D166" s="952">
        <v>7328</v>
      </c>
      <c r="E166" s="952">
        <f>(265741*1.16)/90</f>
        <v>3425.1062222222222</v>
      </c>
      <c r="F166" s="901">
        <f>(253650*1.16)/90</f>
        <v>3269.2666666666669</v>
      </c>
      <c r="G166" s="951">
        <f>(260384*1.16)/90</f>
        <v>3356.0604444444443</v>
      </c>
      <c r="H166" s="951"/>
    </row>
    <row r="167" spans="1:10" s="456" customFormat="1">
      <c r="A167" s="513" t="s">
        <v>1619</v>
      </c>
      <c r="B167" s="1006" t="s">
        <v>1423</v>
      </c>
      <c r="C167" s="944" t="s">
        <v>1</v>
      </c>
      <c r="D167" s="976">
        <f>AVERAGE(E167:G167)</f>
        <v>3350.1444444444446</v>
      </c>
      <c r="E167" s="975">
        <f>(265741*1.16)/90</f>
        <v>3425.1062222222222</v>
      </c>
      <c r="F167" s="975">
        <f>(253650*1.16)/90</f>
        <v>3269.2666666666669</v>
      </c>
      <c r="G167" s="975">
        <f>(260384*1.16)/90</f>
        <v>3356.0604444444443</v>
      </c>
      <c r="H167" s="975"/>
    </row>
    <row r="168" spans="1:10" s="456" customFormat="1">
      <c r="A168" s="513" t="s">
        <v>1619</v>
      </c>
      <c r="B168" s="1006" t="s">
        <v>1424</v>
      </c>
      <c r="C168" s="944" t="s">
        <v>1</v>
      </c>
      <c r="D168" s="976">
        <f t="shared" ref="D168:D180" si="4">AVERAGE(E168:G168)</f>
        <v>6585.3801481481487</v>
      </c>
      <c r="E168" s="975">
        <f>(522368*1.16)/90</f>
        <v>6732.7431111111109</v>
      </c>
      <c r="F168" s="975">
        <f>(498600*1.16)/90</f>
        <v>6426.4</v>
      </c>
      <c r="G168" s="975">
        <f>(511836*1.16)/90</f>
        <v>6596.9973333333337</v>
      </c>
      <c r="H168" s="975"/>
    </row>
    <row r="169" spans="1:10" s="456" customFormat="1">
      <c r="A169" s="513" t="s">
        <v>1619</v>
      </c>
      <c r="B169" s="1006" t="s">
        <v>1541</v>
      </c>
      <c r="C169" s="944" t="s">
        <v>61</v>
      </c>
      <c r="D169" s="976">
        <f t="shared" si="4"/>
        <v>152153.33333333331</v>
      </c>
      <c r="E169" s="975">
        <f>134102*1.16</f>
        <v>155558.31999999998</v>
      </c>
      <c r="F169" s="975">
        <f>128000*1.16</f>
        <v>148480</v>
      </c>
      <c r="G169" s="975">
        <f>131398*1.16</f>
        <v>152421.68</v>
      </c>
      <c r="H169" s="975"/>
    </row>
    <row r="170" spans="1:10" s="456" customFormat="1">
      <c r="A170" s="513" t="s">
        <v>1619</v>
      </c>
      <c r="B170" s="1006" t="s">
        <v>1542</v>
      </c>
      <c r="C170" s="944" t="s">
        <v>61</v>
      </c>
      <c r="D170" s="976">
        <f t="shared" si="4"/>
        <v>184248.21333333335</v>
      </c>
      <c r="E170" s="975">
        <f>162389*1.16</f>
        <v>188371.24</v>
      </c>
      <c r="F170" s="975">
        <f>155000*1.16</f>
        <v>179800</v>
      </c>
      <c r="G170" s="975">
        <f>159115*1.16</f>
        <v>184573.4</v>
      </c>
      <c r="H170" s="975"/>
    </row>
    <row r="171" spans="1:10" s="456" customFormat="1">
      <c r="A171" s="513" t="s">
        <v>1619</v>
      </c>
      <c r="B171" s="1006" t="s">
        <v>1543</v>
      </c>
      <c r="C171" s="944" t="s">
        <v>61</v>
      </c>
      <c r="D171" s="976">
        <f>AVERAGE(E171:G171)</f>
        <v>286475.92</v>
      </c>
      <c r="E171" s="975">
        <f>252488*1.16</f>
        <v>292886.07999999996</v>
      </c>
      <c r="F171" s="975">
        <f>241000*1.16</f>
        <v>279560</v>
      </c>
      <c r="G171" s="975">
        <f>247398*1.16</f>
        <v>286981.68</v>
      </c>
      <c r="H171" s="975"/>
    </row>
    <row r="172" spans="1:10" s="456" customFormat="1">
      <c r="A172" s="513" t="s">
        <v>1619</v>
      </c>
      <c r="B172" s="1006" t="s">
        <v>1418</v>
      </c>
      <c r="C172" s="944" t="s">
        <v>61</v>
      </c>
      <c r="D172" s="976">
        <f t="shared" si="4"/>
        <v>14760.226666666664</v>
      </c>
      <c r="E172" s="976">
        <f>13009*1.16</f>
        <v>15090.439999999999</v>
      </c>
      <c r="F172" s="976">
        <f>12417*1.16</f>
        <v>14403.72</v>
      </c>
      <c r="G172" s="976">
        <f>12747*1.16</f>
        <v>14786.519999999999</v>
      </c>
      <c r="H172" s="976"/>
    </row>
    <row r="173" spans="1:10" s="456" customFormat="1">
      <c r="A173" s="513" t="s">
        <v>1619</v>
      </c>
      <c r="B173" s="1006" t="s">
        <v>1419</v>
      </c>
      <c r="C173" s="944" t="s">
        <v>61</v>
      </c>
      <c r="D173" s="976">
        <f t="shared" si="4"/>
        <v>19415.306666666667</v>
      </c>
      <c r="E173" s="976">
        <f>17112*1.16</f>
        <v>19849.919999999998</v>
      </c>
      <c r="F173" s="976">
        <f>16333*1.16</f>
        <v>18946.28</v>
      </c>
      <c r="G173" s="976">
        <f>16767*1.16</f>
        <v>19449.719999999998</v>
      </c>
      <c r="H173" s="976"/>
    </row>
    <row r="174" spans="1:10" s="456" customFormat="1">
      <c r="A174" s="513" t="s">
        <v>1619</v>
      </c>
      <c r="B174" s="1006" t="s">
        <v>1420</v>
      </c>
      <c r="C174" s="944" t="s">
        <v>61</v>
      </c>
      <c r="D174" s="976">
        <f t="shared" si="4"/>
        <v>11491.346666666665</v>
      </c>
      <c r="E174" s="976">
        <f>10128*1.16</f>
        <v>11748.48</v>
      </c>
      <c r="F174" s="976">
        <f>9667*1.16</f>
        <v>11213.72</v>
      </c>
      <c r="G174" s="976">
        <f>9924*1.16</f>
        <v>11511.839999999998</v>
      </c>
      <c r="H174" s="976"/>
    </row>
    <row r="175" spans="1:10" s="456" customFormat="1">
      <c r="A175" s="513" t="s">
        <v>1619</v>
      </c>
      <c r="B175" s="1006" t="s">
        <v>1421</v>
      </c>
      <c r="C175" s="944" t="s">
        <v>61</v>
      </c>
      <c r="D175" s="976">
        <f t="shared" si="4"/>
        <v>40668.826666666668</v>
      </c>
      <c r="E175" s="976">
        <f>35844*1.16</f>
        <v>41579.039999999994</v>
      </c>
      <c r="F175" s="976">
        <f>34213*1.16</f>
        <v>39687.079999999994</v>
      </c>
      <c r="G175" s="976">
        <f>35121*1.16</f>
        <v>40740.36</v>
      </c>
      <c r="H175" s="976"/>
      <c r="J175" s="591"/>
    </row>
    <row r="176" spans="1:10" s="456" customFormat="1">
      <c r="A176" s="513" t="s">
        <v>1619</v>
      </c>
      <c r="B176" s="1008" t="s">
        <v>1545</v>
      </c>
      <c r="C176" s="944" t="s">
        <v>61</v>
      </c>
      <c r="D176" s="976">
        <f t="shared" si="4"/>
        <v>199700.96</v>
      </c>
      <c r="E176" s="976">
        <f>176008*1.16</f>
        <v>204169.28</v>
      </c>
      <c r="F176" s="976">
        <f>168000*1.16</f>
        <v>194880</v>
      </c>
      <c r="G176" s="976">
        <f>172460*1.16</f>
        <v>200053.59999999998</v>
      </c>
      <c r="H176" s="976"/>
      <c r="J176" s="591"/>
    </row>
    <row r="177" spans="1:10" s="456" customFormat="1">
      <c r="A177" s="513" t="s">
        <v>1619</v>
      </c>
      <c r="B177" s="1008" t="s">
        <v>1544</v>
      </c>
      <c r="C177" s="944" t="s">
        <v>61</v>
      </c>
      <c r="D177" s="976">
        <f t="shared" si="4"/>
        <v>153341.55999999997</v>
      </c>
      <c r="E177" s="976">
        <f>135149*1.16</f>
        <v>156772.84</v>
      </c>
      <c r="F177" s="976">
        <f>129000*1.16</f>
        <v>149640</v>
      </c>
      <c r="G177" s="976">
        <f>132424*1.16</f>
        <v>153611.84</v>
      </c>
      <c r="H177" s="976"/>
      <c r="J177" s="591"/>
    </row>
    <row r="178" spans="1:10" s="456" customFormat="1">
      <c r="A178" s="513" t="s">
        <v>1619</v>
      </c>
      <c r="B178" s="1008" t="s">
        <v>1546</v>
      </c>
      <c r="C178" s="944" t="s">
        <v>61</v>
      </c>
      <c r="D178" s="976">
        <f t="shared" si="4"/>
        <v>952146.17333333322</v>
      </c>
      <c r="E178" s="976">
        <f>839183*1.16</f>
        <v>973452.27999999991</v>
      </c>
      <c r="F178" s="976">
        <f>801000*1.16</f>
        <v>929159.99999999988</v>
      </c>
      <c r="G178" s="976">
        <f>822264*1.16</f>
        <v>953826.24</v>
      </c>
      <c r="H178" s="976"/>
    </row>
    <row r="179" spans="1:10" s="456" customFormat="1">
      <c r="A179" s="513" t="s">
        <v>1619</v>
      </c>
      <c r="B179" s="1008" t="s">
        <v>1547</v>
      </c>
      <c r="C179" s="944" t="s">
        <v>61</v>
      </c>
      <c r="D179" s="976">
        <f t="shared" si="4"/>
        <v>284098.6933333333</v>
      </c>
      <c r="E179" s="976">
        <f>250393*1.16</f>
        <v>290455.88</v>
      </c>
      <c r="F179" s="976">
        <f>239000*1.16</f>
        <v>277240</v>
      </c>
      <c r="G179" s="976">
        <f>245345*1.16</f>
        <v>284600.19999999995</v>
      </c>
      <c r="H179" s="976"/>
    </row>
    <row r="180" spans="1:10" s="456" customFormat="1">
      <c r="A180" s="513" t="s">
        <v>1619</v>
      </c>
      <c r="B180" s="1008" t="s">
        <v>1548</v>
      </c>
      <c r="C180" s="944" t="s">
        <v>61</v>
      </c>
      <c r="D180" s="976">
        <f t="shared" si="4"/>
        <v>332834.93333333335</v>
      </c>
      <c r="E180" s="976">
        <f>293347*1.16</f>
        <v>340282.51999999996</v>
      </c>
      <c r="F180" s="976">
        <f>280000*1.16</f>
        <v>324800</v>
      </c>
      <c r="G180" s="976">
        <f>287433*1.16</f>
        <v>333422.27999999997</v>
      </c>
      <c r="H180" s="976"/>
    </row>
    <row r="181" spans="1:10" s="456" customFormat="1">
      <c r="A181" s="626"/>
      <c r="B181" s="919" t="s">
        <v>1589</v>
      </c>
      <c r="C181" s="937" t="s">
        <v>61</v>
      </c>
      <c r="D181" s="961"/>
      <c r="E181" s="989"/>
      <c r="F181" s="997"/>
      <c r="G181" s="997"/>
      <c r="H181" s="997"/>
    </row>
    <row r="182" spans="1:10" s="456" customFormat="1">
      <c r="A182" s="513" t="s">
        <v>1619</v>
      </c>
      <c r="B182" s="1008" t="s">
        <v>1549</v>
      </c>
      <c r="C182" s="944" t="s">
        <v>61</v>
      </c>
      <c r="D182" s="976">
        <f>AVERAGE(E182:G182)</f>
        <v>556310.09333333327</v>
      </c>
      <c r="E182" s="976">
        <f>490309*1.16</f>
        <v>568758.43999999994</v>
      </c>
      <c r="F182" s="976">
        <f>468000*1.16</f>
        <v>542880</v>
      </c>
      <c r="G182" s="976">
        <f>480424*1.16</f>
        <v>557291.84</v>
      </c>
      <c r="H182" s="976"/>
    </row>
    <row r="183" spans="1:10" s="456" customFormat="1">
      <c r="A183" s="513" t="s">
        <v>1619</v>
      </c>
      <c r="B183" s="1008" t="s">
        <v>1550</v>
      </c>
      <c r="C183" s="944" t="s">
        <v>61</v>
      </c>
      <c r="D183" s="976">
        <f>AVERAGE(E183:G183)</f>
        <v>634763.98666666658</v>
      </c>
      <c r="E183" s="976">
        <f>559455*1.16</f>
        <v>648967.79999999993</v>
      </c>
      <c r="F183" s="976">
        <f>534000*1.16</f>
        <v>619440</v>
      </c>
      <c r="G183" s="976">
        <f>548176*1.16</f>
        <v>635884.15999999992</v>
      </c>
      <c r="H183" s="976"/>
    </row>
    <row r="184" spans="1:10" s="456" customFormat="1">
      <c r="A184" s="626"/>
      <c r="B184" s="919" t="s">
        <v>1590</v>
      </c>
      <c r="C184" s="937" t="s">
        <v>61</v>
      </c>
      <c r="D184" s="961"/>
      <c r="E184" s="989"/>
      <c r="F184" s="997"/>
      <c r="G184" s="997"/>
      <c r="H184" s="997"/>
    </row>
    <row r="185" spans="1:10" s="456" customFormat="1">
      <c r="A185" s="513" t="s">
        <v>1619</v>
      </c>
      <c r="B185" s="1008" t="s">
        <v>1551</v>
      </c>
      <c r="C185" s="944" t="s">
        <v>61</v>
      </c>
      <c r="D185" s="976">
        <f>AVERAGE(E185:G185)</f>
        <v>114114.61333333333</v>
      </c>
      <c r="E185" s="976">
        <f>100576*1.16</f>
        <v>116668.15999999999</v>
      </c>
      <c r="F185" s="976">
        <f>96000*1.16</f>
        <v>111359.99999999999</v>
      </c>
      <c r="G185" s="976">
        <f>98548*1.16</f>
        <v>114315.68</v>
      </c>
      <c r="H185" s="976"/>
    </row>
    <row r="186" spans="1:10" s="456" customFormat="1">
      <c r="A186" s="513" t="s">
        <v>1619</v>
      </c>
      <c r="B186" s="1006" t="s">
        <v>436</v>
      </c>
      <c r="C186" s="944" t="s">
        <v>61</v>
      </c>
      <c r="D186" s="976">
        <f t="shared" ref="D186:D215" si="5">AVERAGE(E186:G186)</f>
        <v>556310.09333333327</v>
      </c>
      <c r="E186" s="976">
        <f>490309*1.16</f>
        <v>568758.43999999994</v>
      </c>
      <c r="F186" s="976">
        <f>468000*1.16</f>
        <v>542880</v>
      </c>
      <c r="G186" s="976">
        <f>480424*1.16</f>
        <v>557291.84</v>
      </c>
      <c r="H186" s="976"/>
    </row>
    <row r="187" spans="1:10" s="456" customFormat="1">
      <c r="A187" s="513" t="s">
        <v>1619</v>
      </c>
      <c r="B187" s="1006" t="s">
        <v>437</v>
      </c>
      <c r="C187" s="944" t="s">
        <v>61</v>
      </c>
      <c r="D187" s="976">
        <f t="shared" si="5"/>
        <v>9324.08</v>
      </c>
      <c r="E187" s="976">
        <f>8218*1.16</f>
        <v>9532.8799999999992</v>
      </c>
      <c r="F187" s="976">
        <f>7844*1.16</f>
        <v>9099.0399999999991</v>
      </c>
      <c r="G187" s="976">
        <f>8052*1.16</f>
        <v>9340.32</v>
      </c>
      <c r="H187" s="976"/>
    </row>
    <row r="188" spans="1:10" s="456" customFormat="1">
      <c r="A188" s="513" t="s">
        <v>1619</v>
      </c>
      <c r="B188" s="1006" t="s">
        <v>438</v>
      </c>
      <c r="C188" s="944" t="s">
        <v>61</v>
      </c>
      <c r="D188" s="976">
        <f t="shared" si="5"/>
        <v>7102.6799999999994</v>
      </c>
      <c r="E188" s="976">
        <f>6260*1.16</f>
        <v>7261.5999999999995</v>
      </c>
      <c r="F188" s="976">
        <f>5975*1.16</f>
        <v>6930.9999999999991</v>
      </c>
      <c r="G188" s="976">
        <f>6134*1.16</f>
        <v>7115.44</v>
      </c>
      <c r="H188" s="976"/>
    </row>
    <row r="189" spans="1:10" s="456" customFormat="1">
      <c r="A189" s="513" t="s">
        <v>1619</v>
      </c>
      <c r="B189" s="1006" t="s">
        <v>439</v>
      </c>
      <c r="C189" s="944" t="s">
        <v>61</v>
      </c>
      <c r="D189" s="976">
        <f t="shared" si="5"/>
        <v>833.26666666666654</v>
      </c>
      <c r="E189" s="976">
        <f>734*1.16</f>
        <v>851.43999999999994</v>
      </c>
      <c r="F189" s="976">
        <f>701*1.16</f>
        <v>813.16</v>
      </c>
      <c r="G189" s="976">
        <f>720*1.16</f>
        <v>835.19999999999993</v>
      </c>
      <c r="H189" s="976"/>
    </row>
    <row r="190" spans="1:10" s="456" customFormat="1">
      <c r="A190" s="513" t="s">
        <v>1619</v>
      </c>
      <c r="B190" s="1006" t="s">
        <v>440</v>
      </c>
      <c r="C190" s="944" t="s">
        <v>61</v>
      </c>
      <c r="D190" s="976">
        <f t="shared" si="5"/>
        <v>2750.36</v>
      </c>
      <c r="E190" s="976">
        <f>2424*1.16</f>
        <v>2811.8399999999997</v>
      </c>
      <c r="F190" s="976">
        <f>2314*1.16</f>
        <v>2684.24</v>
      </c>
      <c r="G190" s="976">
        <f>2375*1.16</f>
        <v>2755</v>
      </c>
      <c r="H190" s="976"/>
    </row>
    <row r="191" spans="1:10" s="456" customFormat="1">
      <c r="A191" s="513" t="s">
        <v>1619</v>
      </c>
      <c r="B191" s="1006" t="s">
        <v>441</v>
      </c>
      <c r="C191" s="944" t="s">
        <v>61</v>
      </c>
      <c r="D191" s="976">
        <f t="shared" si="5"/>
        <v>35217.213333333326</v>
      </c>
      <c r="E191" s="976">
        <f>31039*1.16</f>
        <v>36005.24</v>
      </c>
      <c r="F191" s="976">
        <f>29627*1.16</f>
        <v>34367.32</v>
      </c>
      <c r="G191" s="976">
        <f>30413*1.16</f>
        <v>35279.079999999994</v>
      </c>
      <c r="H191" s="976"/>
    </row>
    <row r="192" spans="1:10" s="456" customFormat="1">
      <c r="A192" s="513" t="s">
        <v>1619</v>
      </c>
      <c r="B192" s="1006" t="s">
        <v>442</v>
      </c>
      <c r="C192" s="944" t="s">
        <v>61</v>
      </c>
      <c r="D192" s="976">
        <f t="shared" si="5"/>
        <v>14846.839999999998</v>
      </c>
      <c r="E192" s="976">
        <f>13085*1.16</f>
        <v>15178.599999999999</v>
      </c>
      <c r="F192" s="976">
        <f>12490*1.16</f>
        <v>14488.4</v>
      </c>
      <c r="G192" s="976">
        <f>12822*1.16</f>
        <v>14873.519999999999</v>
      </c>
      <c r="H192" s="976"/>
    </row>
    <row r="193" spans="1:8" s="456" customFormat="1">
      <c r="A193" s="513" t="s">
        <v>1619</v>
      </c>
      <c r="B193" s="1006" t="s">
        <v>443</v>
      </c>
      <c r="C193" s="944" t="s">
        <v>61</v>
      </c>
      <c r="D193" s="976">
        <f t="shared" si="5"/>
        <v>1407.08</v>
      </c>
      <c r="E193" s="976">
        <f>1240*1.16</f>
        <v>1438.3999999999999</v>
      </c>
      <c r="F193" s="976">
        <f>1184*1.16</f>
        <v>1373.4399999999998</v>
      </c>
      <c r="G193" s="976">
        <f>1215*1.16</f>
        <v>1409.3999999999999</v>
      </c>
      <c r="H193" s="976"/>
    </row>
    <row r="194" spans="1:8" s="456" customFormat="1">
      <c r="A194" s="513" t="s">
        <v>1619</v>
      </c>
      <c r="B194" s="1006" t="s">
        <v>444</v>
      </c>
      <c r="C194" s="944" t="s">
        <v>61</v>
      </c>
      <c r="D194" s="976">
        <f t="shared" si="5"/>
        <v>56019.493333333325</v>
      </c>
      <c r="E194" s="976">
        <f>49373*1.16</f>
        <v>57272.679999999993</v>
      </c>
      <c r="F194" s="976">
        <f>47127*1.16</f>
        <v>54667.32</v>
      </c>
      <c r="G194" s="976">
        <f>48378*1.16</f>
        <v>56118.479999999996</v>
      </c>
      <c r="H194" s="976"/>
    </row>
    <row r="195" spans="1:8" s="456" customFormat="1">
      <c r="A195" s="513" t="s">
        <v>1619</v>
      </c>
      <c r="B195" s="1006" t="s">
        <v>445</v>
      </c>
      <c r="C195" s="944" t="s">
        <v>61</v>
      </c>
      <c r="D195" s="976">
        <f t="shared" si="5"/>
        <v>122246.59999999999</v>
      </c>
      <c r="E195" s="976">
        <f>107743*1.16</f>
        <v>124981.87999999999</v>
      </c>
      <c r="F195" s="976">
        <f>102841*1.16</f>
        <v>119295.56</v>
      </c>
      <c r="G195" s="976">
        <f>105571*1.16</f>
        <v>122462.35999999999</v>
      </c>
      <c r="H195" s="976"/>
    </row>
    <row r="196" spans="1:8" s="456" customFormat="1">
      <c r="A196" s="513" t="s">
        <v>1619</v>
      </c>
      <c r="B196" s="1010" t="s">
        <v>1410</v>
      </c>
      <c r="C196" s="1007" t="s">
        <v>61</v>
      </c>
      <c r="D196" s="976">
        <f t="shared" si="5"/>
        <v>3472.2666666666664</v>
      </c>
      <c r="E196" s="976">
        <f>3060*1.16</f>
        <v>3549.6</v>
      </c>
      <c r="F196" s="976">
        <f>2921*1.16</f>
        <v>3388.3599999999997</v>
      </c>
      <c r="G196" s="976">
        <f>2999*1.16</f>
        <v>3478.8399999999997</v>
      </c>
      <c r="H196" s="976"/>
    </row>
    <row r="197" spans="1:8" s="456" customFormat="1">
      <c r="A197" s="513" t="s">
        <v>1619</v>
      </c>
      <c r="B197" s="1010" t="s">
        <v>1411</v>
      </c>
      <c r="C197" s="1007" t="s">
        <v>61</v>
      </c>
      <c r="D197" s="976">
        <f t="shared" si="5"/>
        <v>22440.2</v>
      </c>
      <c r="E197" s="976">
        <f>19778*1.16</f>
        <v>22942.48</v>
      </c>
      <c r="F197" s="976">
        <f>18878*1.16</f>
        <v>21898.48</v>
      </c>
      <c r="G197" s="976">
        <f>19379*1.16</f>
        <v>22479.64</v>
      </c>
      <c r="H197" s="976"/>
    </row>
    <row r="198" spans="1:8" s="456" customFormat="1">
      <c r="A198" s="513" t="s">
        <v>1619</v>
      </c>
      <c r="B198" s="1010" t="s">
        <v>1413</v>
      </c>
      <c r="C198" s="1007" t="s">
        <v>61</v>
      </c>
      <c r="D198" s="976">
        <f t="shared" si="5"/>
        <v>404.06666666666661</v>
      </c>
      <c r="E198" s="976">
        <f>356*1.16</f>
        <v>412.96</v>
      </c>
      <c r="F198" s="976">
        <f>340*1.16</f>
        <v>394.4</v>
      </c>
      <c r="G198" s="976">
        <f>349*1.16</f>
        <v>404.84</v>
      </c>
      <c r="H198" s="976"/>
    </row>
    <row r="199" spans="1:8" s="456" customFormat="1">
      <c r="A199" s="513" t="s">
        <v>1619</v>
      </c>
      <c r="B199" s="1010" t="s">
        <v>1415</v>
      </c>
      <c r="C199" s="1007" t="s">
        <v>61</v>
      </c>
      <c r="D199" s="976">
        <f t="shared" si="5"/>
        <v>638.38666666666666</v>
      </c>
      <c r="E199" s="976">
        <f>563*1.16</f>
        <v>653.07999999999993</v>
      </c>
      <c r="F199" s="976">
        <f>537*1.16</f>
        <v>622.91999999999996</v>
      </c>
      <c r="G199" s="976">
        <f>551*1.16</f>
        <v>639.16</v>
      </c>
      <c r="H199" s="976"/>
    </row>
    <row r="200" spans="1:8" s="456" customFormat="1">
      <c r="A200" s="513" t="s">
        <v>1619</v>
      </c>
      <c r="B200" s="1010" t="s">
        <v>446</v>
      </c>
      <c r="C200" s="1007" t="s">
        <v>61</v>
      </c>
      <c r="D200" s="976">
        <f t="shared" si="5"/>
        <v>1042.4533333333331</v>
      </c>
      <c r="E200" s="976">
        <f>919*1.16</f>
        <v>1066.04</v>
      </c>
      <c r="F200" s="976">
        <f>877*1.16</f>
        <v>1017.3199999999999</v>
      </c>
      <c r="G200" s="976">
        <f>900*1.16</f>
        <v>1044</v>
      </c>
      <c r="H200" s="976"/>
    </row>
    <row r="201" spans="1:8" s="456" customFormat="1">
      <c r="A201" s="513" t="s">
        <v>1619</v>
      </c>
      <c r="B201" s="1006" t="s">
        <v>447</v>
      </c>
      <c r="C201" s="1007" t="s">
        <v>61</v>
      </c>
      <c r="D201" s="976">
        <f t="shared" si="5"/>
        <v>2609.2266666666669</v>
      </c>
      <c r="E201" s="976">
        <f>2300*1.16</f>
        <v>2668</v>
      </c>
      <c r="F201" s="976">
        <f>2195*1.16</f>
        <v>2546.1999999999998</v>
      </c>
      <c r="G201" s="976">
        <f>2253*1.16</f>
        <v>2613.48</v>
      </c>
      <c r="H201" s="976"/>
    </row>
    <row r="202" spans="1:8" s="456" customFormat="1">
      <c r="A202" s="513" t="s">
        <v>1619</v>
      </c>
      <c r="B202" s="1006" t="s">
        <v>1414</v>
      </c>
      <c r="C202" s="1007" t="s">
        <v>61</v>
      </c>
      <c r="D202" s="976">
        <f t="shared" si="5"/>
        <v>16912.8</v>
      </c>
      <c r="E202" s="976">
        <f>14906*1.16</f>
        <v>17290.96</v>
      </c>
      <c r="F202" s="976">
        <f>14228*1.16</f>
        <v>16504.48</v>
      </c>
      <c r="G202" s="976">
        <f>14606*1.16</f>
        <v>16942.96</v>
      </c>
      <c r="H202" s="976"/>
    </row>
    <row r="203" spans="1:8" s="456" customFormat="1">
      <c r="A203" s="513" t="s">
        <v>1619</v>
      </c>
      <c r="B203" s="1006" t="s">
        <v>1416</v>
      </c>
      <c r="C203" s="1007" t="s">
        <v>61</v>
      </c>
      <c r="D203" s="976">
        <f t="shared" si="5"/>
        <v>25710.626666666663</v>
      </c>
      <c r="E203" s="976">
        <f>5657*1.16</f>
        <v>6562.12</v>
      </c>
      <c r="F203" s="976">
        <f>5400*1.16</f>
        <v>6264</v>
      </c>
      <c r="G203" s="976">
        <f>55436*1.16</f>
        <v>64305.759999999995</v>
      </c>
      <c r="H203" s="976"/>
    </row>
    <row r="204" spans="1:8" s="456" customFormat="1">
      <c r="A204" s="513" t="s">
        <v>1619</v>
      </c>
      <c r="B204" s="1006" t="s">
        <v>448</v>
      </c>
      <c r="C204" s="1007" t="s">
        <v>61</v>
      </c>
      <c r="D204" s="976">
        <f t="shared" si="5"/>
        <v>4274.2133333333322</v>
      </c>
      <c r="E204" s="976">
        <f>3767*1.16</f>
        <v>4369.7199999999993</v>
      </c>
      <c r="F204" s="976">
        <f>3596*1.16</f>
        <v>4171.3599999999997</v>
      </c>
      <c r="G204" s="976">
        <f>3691*1.16</f>
        <v>4281.5599999999995</v>
      </c>
      <c r="H204" s="976"/>
    </row>
    <row r="205" spans="1:8" s="456" customFormat="1">
      <c r="A205" s="513" t="s">
        <v>1619</v>
      </c>
      <c r="B205" s="1006" t="s">
        <v>449</v>
      </c>
      <c r="C205" s="1007" t="s">
        <v>61</v>
      </c>
      <c r="D205" s="976">
        <f t="shared" si="5"/>
        <v>20951.919999999998</v>
      </c>
      <c r="E205" s="976">
        <f>18466*1.16</f>
        <v>21420.559999999998</v>
      </c>
      <c r="F205" s="976">
        <f>17626*1.16</f>
        <v>20446.16</v>
      </c>
      <c r="G205" s="976">
        <f>18094*1.16</f>
        <v>20989.039999999997</v>
      </c>
      <c r="H205" s="976"/>
    </row>
    <row r="206" spans="1:8" s="456" customFormat="1">
      <c r="A206" s="513" t="s">
        <v>1619</v>
      </c>
      <c r="B206" s="1010" t="s">
        <v>450</v>
      </c>
      <c r="C206" s="1007" t="s">
        <v>61</v>
      </c>
      <c r="D206" s="976">
        <f t="shared" si="5"/>
        <v>45512.6</v>
      </c>
      <c r="E206" s="976">
        <f>40113*1.16</f>
        <v>46531.079999999994</v>
      </c>
      <c r="F206" s="976">
        <f>38288*1.16</f>
        <v>44414.079999999994</v>
      </c>
      <c r="G206" s="976">
        <f>39304*1.16</f>
        <v>45592.639999999999</v>
      </c>
      <c r="H206" s="976"/>
    </row>
    <row r="207" spans="1:8" s="456" customFormat="1">
      <c r="A207" s="513" t="s">
        <v>1619</v>
      </c>
      <c r="B207" s="1006" t="s">
        <v>451</v>
      </c>
      <c r="C207" s="1007" t="s">
        <v>61</v>
      </c>
      <c r="D207" s="976">
        <f t="shared" si="5"/>
        <v>24153.133333333331</v>
      </c>
      <c r="E207" s="976">
        <f>21288*1.16</f>
        <v>24694.079999999998</v>
      </c>
      <c r="F207" s="976">
        <f>20319*1.16</f>
        <v>23570.039999999997</v>
      </c>
      <c r="G207" s="976">
        <f>20858*1.16</f>
        <v>24195.279999999999</v>
      </c>
      <c r="H207" s="976"/>
    </row>
    <row r="208" spans="1:8" s="456" customFormat="1">
      <c r="A208" s="513" t="s">
        <v>1619</v>
      </c>
      <c r="B208" s="1006" t="s">
        <v>452</v>
      </c>
      <c r="C208" s="1007" t="s">
        <v>61</v>
      </c>
      <c r="D208" s="976">
        <f t="shared" si="5"/>
        <v>28119.946666666667</v>
      </c>
      <c r="E208" s="976">
        <f>24784*1.16</f>
        <v>28749.439999999999</v>
      </c>
      <c r="F208" s="976">
        <f>23656*1.16</f>
        <v>27440.959999999999</v>
      </c>
      <c r="G208" s="976">
        <f>24284*1.16</f>
        <v>28169.439999999999</v>
      </c>
      <c r="H208" s="976"/>
    </row>
    <row r="209" spans="1:8" s="456" customFormat="1">
      <c r="A209" s="513" t="s">
        <v>1619</v>
      </c>
      <c r="B209" s="1006" t="s">
        <v>453</v>
      </c>
      <c r="C209" s="1007" t="s">
        <v>61</v>
      </c>
      <c r="D209" s="976">
        <f t="shared" si="5"/>
        <v>40011.879999999997</v>
      </c>
      <c r="E209" s="976">
        <f>35265*1.16</f>
        <v>40907.399999999994</v>
      </c>
      <c r="F209" s="976">
        <f>33660*1.16</f>
        <v>39045.599999999999</v>
      </c>
      <c r="G209" s="976">
        <f>34554*1.16</f>
        <v>40082.639999999999</v>
      </c>
      <c r="H209" s="976"/>
    </row>
    <row r="210" spans="1:8" s="456" customFormat="1">
      <c r="A210" s="513" t="s">
        <v>1619</v>
      </c>
      <c r="B210" s="1006" t="s">
        <v>454</v>
      </c>
      <c r="C210" s="1007" t="s">
        <v>61</v>
      </c>
      <c r="D210" s="976">
        <f t="shared" si="5"/>
        <v>68607.813333333324</v>
      </c>
      <c r="E210" s="976">
        <f>60468*1.16</f>
        <v>70142.87999999999</v>
      </c>
      <c r="F210" s="976">
        <f>57717*1.16</f>
        <v>66951.72</v>
      </c>
      <c r="G210" s="976">
        <f>59249*1.16</f>
        <v>68728.84</v>
      </c>
      <c r="H210" s="976"/>
    </row>
    <row r="211" spans="1:8" s="456" customFormat="1">
      <c r="A211" s="513" t="s">
        <v>1619</v>
      </c>
      <c r="B211" s="1006" t="s">
        <v>455</v>
      </c>
      <c r="C211" s="1007" t="s">
        <v>61</v>
      </c>
      <c r="D211" s="976">
        <f t="shared" si="5"/>
        <v>498929.14666666667</v>
      </c>
      <c r="E211" s="976">
        <f>439736*1.16</f>
        <v>510093.75999999995</v>
      </c>
      <c r="F211" s="976">
        <f>419728*1.16</f>
        <v>486884.48</v>
      </c>
      <c r="G211" s="976">
        <f>430870*1.16</f>
        <v>499809.19999999995</v>
      </c>
      <c r="H211" s="976"/>
    </row>
    <row r="212" spans="1:8" s="456" customFormat="1">
      <c r="A212" s="513" t="s">
        <v>1619</v>
      </c>
      <c r="B212" s="1006" t="s">
        <v>456</v>
      </c>
      <c r="C212" s="1007" t="s">
        <v>61</v>
      </c>
      <c r="D212" s="976">
        <f>AVERAGE(E212:G212)</f>
        <v>913336.05333333334</v>
      </c>
      <c r="E212" s="976">
        <f>804977*1.16</f>
        <v>933773.32</v>
      </c>
      <c r="F212" s="976">
        <f>768351*1.16</f>
        <v>891287.15999999992</v>
      </c>
      <c r="G212" s="976">
        <f>788748*1.16</f>
        <v>914947.67999999993</v>
      </c>
      <c r="H212" s="976"/>
    </row>
    <row r="213" spans="1:8" s="456" customFormat="1">
      <c r="A213" s="513" t="s">
        <v>1619</v>
      </c>
      <c r="B213" s="1006" t="s">
        <v>457</v>
      </c>
      <c r="C213" s="1007" t="s">
        <v>61</v>
      </c>
      <c r="D213" s="976">
        <f t="shared" si="5"/>
        <v>158871.66666666666</v>
      </c>
      <c r="E213" s="976">
        <f>140023*1.16</f>
        <v>162426.68</v>
      </c>
      <c r="F213" s="976">
        <f>133652*1.16</f>
        <v>155036.31999999998</v>
      </c>
      <c r="G213" s="976">
        <f>137200*1.16</f>
        <v>159152</v>
      </c>
      <c r="H213" s="976"/>
    </row>
    <row r="214" spans="1:8" s="456" customFormat="1">
      <c r="A214" s="513" t="s">
        <v>1619</v>
      </c>
      <c r="B214" s="1006" t="s">
        <v>458</v>
      </c>
      <c r="C214" s="1007" t="s">
        <v>61</v>
      </c>
      <c r="D214" s="976">
        <f t="shared" si="5"/>
        <v>292115.06666666665</v>
      </c>
      <c r="E214" s="976">
        <f>257458*1.16</f>
        <v>298651.27999999997</v>
      </c>
      <c r="F214" s="976">
        <f>245744*1.16</f>
        <v>285063.03999999998</v>
      </c>
      <c r="G214" s="976">
        <f>252268*1.16</f>
        <v>292630.88</v>
      </c>
      <c r="H214" s="976"/>
    </row>
    <row r="215" spans="1:8" s="456" customFormat="1">
      <c r="A215" s="513" t="s">
        <v>1619</v>
      </c>
      <c r="B215" s="1010" t="s">
        <v>459</v>
      </c>
      <c r="C215" s="1007" t="s">
        <v>61</v>
      </c>
      <c r="D215" s="976">
        <f t="shared" si="5"/>
        <v>3510.16</v>
      </c>
      <c r="E215" s="976">
        <f>3094*1.16</f>
        <v>3589.04</v>
      </c>
      <c r="F215" s="976">
        <f>2953*1.16</f>
        <v>3425.4799999999996</v>
      </c>
      <c r="G215" s="976">
        <f>3031*1.16</f>
        <v>3515.9599999999996</v>
      </c>
      <c r="H215" s="976"/>
    </row>
    <row r="216" spans="1:8" s="456" customFormat="1">
      <c r="A216" s="626"/>
      <c r="B216" s="924" t="s">
        <v>1720</v>
      </c>
      <c r="C216" s="941" t="s">
        <v>61</v>
      </c>
      <c r="D216" s="964">
        <v>2700</v>
      </c>
      <c r="E216" s="964"/>
      <c r="F216" s="964"/>
      <c r="G216" s="964"/>
      <c r="H216" s="964"/>
    </row>
    <row r="217" spans="1:8" s="456" customFormat="1">
      <c r="A217" s="513" t="s">
        <v>1619</v>
      </c>
      <c r="B217" s="920" t="s">
        <v>1412</v>
      </c>
      <c r="C217" s="940" t="s">
        <v>61</v>
      </c>
      <c r="D217" s="967">
        <f>AVERAGE(E217:G217)</f>
        <v>9407.2133333333331</v>
      </c>
      <c r="E217" s="962">
        <f>8291*1.16</f>
        <v>9617.56</v>
      </c>
      <c r="F217" s="962">
        <f>7914*1.16</f>
        <v>9180.24</v>
      </c>
      <c r="G217" s="962">
        <f>8124*1.16</f>
        <v>9423.84</v>
      </c>
      <c r="H217" s="962"/>
    </row>
    <row r="218" spans="1:8" s="456" customFormat="1">
      <c r="A218" s="626"/>
      <c r="B218" s="1004" t="s">
        <v>1729</v>
      </c>
      <c r="C218" s="941" t="s">
        <v>61</v>
      </c>
      <c r="D218" s="968">
        <v>6500</v>
      </c>
      <c r="E218" s="964"/>
      <c r="F218" s="964"/>
      <c r="G218" s="964"/>
      <c r="H218" s="964"/>
    </row>
    <row r="219" spans="1:8" s="456" customFormat="1">
      <c r="A219" s="513" t="s">
        <v>1619</v>
      </c>
      <c r="B219" s="1006" t="s">
        <v>1432</v>
      </c>
      <c r="C219" s="944" t="s">
        <v>61</v>
      </c>
      <c r="D219" s="976">
        <f>AVERAGE(E219:G219)</f>
        <v>495686.56</v>
      </c>
      <c r="E219" s="976">
        <f>436878*1.16</f>
        <v>506778.48</v>
      </c>
      <c r="F219" s="976">
        <f>417000*1.16</f>
        <v>483719.99999999994</v>
      </c>
      <c r="G219" s="976">
        <f>428070*1.16</f>
        <v>496561.19999999995</v>
      </c>
      <c r="H219" s="976"/>
    </row>
    <row r="220" spans="1:8" s="456" customFormat="1">
      <c r="A220" s="513" t="s">
        <v>1619</v>
      </c>
      <c r="B220" s="1006" t="s">
        <v>1433</v>
      </c>
      <c r="C220" s="944" t="s">
        <v>61</v>
      </c>
      <c r="D220" s="976">
        <f t="shared" ref="D220:D237" si="6">AVERAGE(E220:G220)</f>
        <v>810691.1333333333</v>
      </c>
      <c r="E220" s="976">
        <f>714510*1.16</f>
        <v>828831.6</v>
      </c>
      <c r="F220" s="976">
        <f>682000*1.16</f>
        <v>791120</v>
      </c>
      <c r="G220" s="976">
        <f>700105*1.16</f>
        <v>812121.79999999993</v>
      </c>
      <c r="H220" s="976"/>
    </row>
    <row r="221" spans="1:8" s="456" customFormat="1">
      <c r="A221" s="513" t="s">
        <v>1619</v>
      </c>
      <c r="B221" s="1006" t="s">
        <v>1434</v>
      </c>
      <c r="C221" s="944" t="s">
        <v>61</v>
      </c>
      <c r="D221" s="976">
        <f t="shared" si="6"/>
        <v>940258.87999999989</v>
      </c>
      <c r="E221" s="976">
        <f>828706*1.16</f>
        <v>961298.96</v>
      </c>
      <c r="F221" s="976">
        <f>791000*1.16</f>
        <v>917559.99999999988</v>
      </c>
      <c r="G221" s="976">
        <f>811998*1.16</f>
        <v>941917.67999999993</v>
      </c>
      <c r="H221" s="976"/>
    </row>
    <row r="222" spans="1:8" s="456" customFormat="1">
      <c r="A222" s="513" t="s">
        <v>1619</v>
      </c>
      <c r="B222" s="1006" t="s">
        <v>1435</v>
      </c>
      <c r="C222" s="944" t="s">
        <v>61</v>
      </c>
      <c r="D222" s="976">
        <f t="shared" si="6"/>
        <v>1816328.3866666665</v>
      </c>
      <c r="E222" s="976">
        <f>1600838*1.16</f>
        <v>1856972.0799999998</v>
      </c>
      <c r="F222" s="976">
        <f>1528000*1.16</f>
        <v>1772479.9999999998</v>
      </c>
      <c r="G222" s="976">
        <f>1568563*1.16</f>
        <v>1819533.0799999998</v>
      </c>
      <c r="H222" s="976"/>
    </row>
    <row r="223" spans="1:8" s="456" customFormat="1">
      <c r="A223" s="513" t="s">
        <v>1619</v>
      </c>
      <c r="B223" s="1006" t="s">
        <v>1436</v>
      </c>
      <c r="C223" s="944" t="s">
        <v>61</v>
      </c>
      <c r="D223" s="976">
        <f t="shared" si="6"/>
        <v>3145291.28</v>
      </c>
      <c r="E223" s="976">
        <f>2772132*1.16</f>
        <v>3215673.1199999996</v>
      </c>
      <c r="F223" s="976">
        <f>2646000*1.16</f>
        <v>3069360</v>
      </c>
      <c r="G223" s="976">
        <f>2716242*1.16</f>
        <v>3150840.7199999997</v>
      </c>
      <c r="H223" s="976"/>
    </row>
    <row r="224" spans="1:8" s="456" customFormat="1">
      <c r="A224" s="513" t="s">
        <v>1619</v>
      </c>
      <c r="B224" s="1006" t="s">
        <v>1437</v>
      </c>
      <c r="C224" s="944" t="s">
        <v>61</v>
      </c>
      <c r="D224" s="976">
        <f t="shared" si="6"/>
        <v>5025809.4266666658</v>
      </c>
      <c r="E224" s="976">
        <f>4429544*1.16</f>
        <v>5138271.04</v>
      </c>
      <c r="F224" s="976">
        <f>4228000*1.16</f>
        <v>4904480</v>
      </c>
      <c r="G224" s="976">
        <f>4340239*1.16</f>
        <v>5034677.2399999993</v>
      </c>
      <c r="H224" s="976"/>
    </row>
    <row r="225" spans="1:8" s="456" customFormat="1">
      <c r="A225" s="513" t="s">
        <v>1619</v>
      </c>
      <c r="B225" s="1006" t="s">
        <v>1438</v>
      </c>
      <c r="C225" s="944" t="s">
        <v>61</v>
      </c>
      <c r="D225" s="976">
        <f t="shared" si="6"/>
        <v>6289393.5599999996</v>
      </c>
      <c r="E225" s="976">
        <f>5543216*1.16</f>
        <v>6430130.5599999996</v>
      </c>
      <c r="F225" s="976">
        <f>5291000*1.16</f>
        <v>6137560</v>
      </c>
      <c r="G225" s="976">
        <f>5431457*1.16</f>
        <v>6300490.1199999992</v>
      </c>
      <c r="H225" s="976"/>
    </row>
    <row r="226" spans="1:8" s="456" customFormat="1">
      <c r="A226" s="513" t="s">
        <v>1619</v>
      </c>
      <c r="B226" s="1006" t="s">
        <v>1523</v>
      </c>
      <c r="C226" s="944" t="s">
        <v>61</v>
      </c>
      <c r="D226" s="976">
        <f t="shared" si="6"/>
        <v>229418.22666666665</v>
      </c>
      <c r="E226" s="976">
        <f>202200*1.16</f>
        <v>234551.99999999997</v>
      </c>
      <c r="F226" s="976">
        <f>193000*1.16</f>
        <v>223879.99999999997</v>
      </c>
      <c r="G226" s="976">
        <f>198123*1.16</f>
        <v>229822.68</v>
      </c>
      <c r="H226" s="976"/>
    </row>
    <row r="227" spans="1:8" s="456" customFormat="1">
      <c r="A227" s="513" t="s">
        <v>1619</v>
      </c>
      <c r="B227" s="1006" t="s">
        <v>1524</v>
      </c>
      <c r="C227" s="944" t="s">
        <v>61</v>
      </c>
      <c r="D227" s="976">
        <f t="shared" si="6"/>
        <v>249626.19999999998</v>
      </c>
      <c r="E227" s="976">
        <f>220010*1.16</f>
        <v>255211.59999999998</v>
      </c>
      <c r="F227" s="976">
        <f>210000*1.16</f>
        <v>243599.99999999997</v>
      </c>
      <c r="G227" s="976">
        <f>215575*1.16</f>
        <v>250066.99999999997</v>
      </c>
      <c r="H227" s="976"/>
    </row>
    <row r="228" spans="1:8" s="456" customFormat="1">
      <c r="A228" s="513" t="s">
        <v>1619</v>
      </c>
      <c r="B228" s="1006" t="s">
        <v>1525</v>
      </c>
      <c r="C228" s="944" t="s">
        <v>61</v>
      </c>
      <c r="D228" s="976">
        <f t="shared" si="6"/>
        <v>257947.26666666663</v>
      </c>
      <c r="E228" s="976">
        <f>227344*1.16</f>
        <v>263719.03999999998</v>
      </c>
      <c r="F228" s="976">
        <f>217000*1.16</f>
        <v>251719.99999999997</v>
      </c>
      <c r="G228" s="976">
        <f>222761*1.16</f>
        <v>258402.75999999998</v>
      </c>
      <c r="H228" s="976"/>
    </row>
    <row r="229" spans="1:8" s="456" customFormat="1">
      <c r="A229" s="513" t="s">
        <v>1619</v>
      </c>
      <c r="B229" s="1006" t="s">
        <v>1528</v>
      </c>
      <c r="C229" s="944" t="s">
        <v>61</v>
      </c>
      <c r="D229" s="976">
        <f t="shared" si="6"/>
        <v>319759.41333333333</v>
      </c>
      <c r="E229" s="976">
        <f>281823*1.16</f>
        <v>326914.68</v>
      </c>
      <c r="F229" s="976">
        <f>269000*1.16</f>
        <v>312040</v>
      </c>
      <c r="G229" s="976">
        <f>276141*1.16</f>
        <v>320323.56</v>
      </c>
      <c r="H229" s="976"/>
    </row>
    <row r="230" spans="1:8" s="456" customFormat="1">
      <c r="A230" s="513" t="s">
        <v>1619</v>
      </c>
      <c r="B230" s="1006" t="s">
        <v>1529</v>
      </c>
      <c r="C230" s="944" t="s">
        <v>61</v>
      </c>
      <c r="D230" s="976">
        <f t="shared" si="6"/>
        <v>463591.67999999993</v>
      </c>
      <c r="E230" s="976">
        <f>408591*1.16</f>
        <v>473965.55999999994</v>
      </c>
      <c r="F230" s="976">
        <f>390000*1.16</f>
        <v>452399.99999999994</v>
      </c>
      <c r="G230" s="976">
        <f>400353*1.16</f>
        <v>464409.48</v>
      </c>
      <c r="H230" s="976"/>
    </row>
    <row r="231" spans="1:8" s="456" customFormat="1">
      <c r="A231" s="513" t="s">
        <v>1619</v>
      </c>
      <c r="B231" s="1006" t="s">
        <v>1530</v>
      </c>
      <c r="C231" s="944" t="s">
        <v>61</v>
      </c>
      <c r="D231" s="976">
        <f t="shared" si="6"/>
        <v>600291.88</v>
      </c>
      <c r="E231" s="976">
        <f>529073*1.16</f>
        <v>613724.67999999993</v>
      </c>
      <c r="F231" s="976">
        <f>505000*1.16</f>
        <v>585800</v>
      </c>
      <c r="G231" s="976">
        <f>518406*1.16</f>
        <v>601350.96</v>
      </c>
      <c r="H231" s="976"/>
    </row>
    <row r="232" spans="1:8" s="456" customFormat="1">
      <c r="A232" s="513" t="s">
        <v>1619</v>
      </c>
      <c r="B232" s="1006" t="s">
        <v>1531</v>
      </c>
      <c r="C232" s="944" t="s">
        <v>61</v>
      </c>
      <c r="D232" s="976">
        <f t="shared" si="6"/>
        <v>1107864.96</v>
      </c>
      <c r="E232" s="976">
        <f>976427*1.16</f>
        <v>1132655.3199999998</v>
      </c>
      <c r="F232" s="976">
        <f>932000*1.16</f>
        <v>1081120</v>
      </c>
      <c r="G232" s="976">
        <f>956741*1.16</f>
        <v>1109819.5599999998</v>
      </c>
      <c r="H232" s="976"/>
    </row>
    <row r="233" spans="1:8" s="456" customFormat="1">
      <c r="A233" s="513" t="s">
        <v>1619</v>
      </c>
      <c r="B233" s="1006" t="s">
        <v>1532</v>
      </c>
      <c r="C233" s="944" t="s">
        <v>61</v>
      </c>
      <c r="D233" s="976">
        <f t="shared" si="6"/>
        <v>1691515.4799999997</v>
      </c>
      <c r="E233" s="976">
        <f>1490833*1.16</f>
        <v>1729366.2799999998</v>
      </c>
      <c r="F233" s="976">
        <f>1423000*1.16</f>
        <v>1650680</v>
      </c>
      <c r="G233" s="976">
        <f>1460776*1.16</f>
        <v>1694500.16</v>
      </c>
      <c r="H233" s="976"/>
    </row>
    <row r="234" spans="1:8" s="456" customFormat="1">
      <c r="A234" s="513" t="s">
        <v>1619</v>
      </c>
      <c r="B234" s="1006" t="s">
        <v>1533</v>
      </c>
      <c r="C234" s="944" t="s">
        <v>61</v>
      </c>
      <c r="D234" s="976">
        <f t="shared" si="6"/>
        <v>3202348.586666666</v>
      </c>
      <c r="E234" s="976">
        <f>2822420*1.16</f>
        <v>3274007.1999999997</v>
      </c>
      <c r="F234" s="976">
        <f>2694000*1.16</f>
        <v>3125040</v>
      </c>
      <c r="G234" s="976">
        <f>2765516*1.16</f>
        <v>3207998.5599999996</v>
      </c>
      <c r="H234" s="976"/>
    </row>
    <row r="235" spans="1:8" s="456" customFormat="1">
      <c r="A235" s="513" t="s">
        <v>1619</v>
      </c>
      <c r="B235" s="1006" t="s">
        <v>1534</v>
      </c>
      <c r="C235" s="944" t="s">
        <v>61</v>
      </c>
      <c r="D235" s="976">
        <f t="shared" si="6"/>
        <v>4003530.4266666663</v>
      </c>
      <c r="E235" s="976">
        <f>3528549*1.16</f>
        <v>4093116.84</v>
      </c>
      <c r="F235" s="976">
        <f>3368000*1.16</f>
        <v>3906879.9999999995</v>
      </c>
      <c r="G235" s="976">
        <f>3457409*1.16</f>
        <v>4010594.44</v>
      </c>
      <c r="H235" s="976"/>
    </row>
    <row r="236" spans="1:8" s="456" customFormat="1">
      <c r="A236" s="513" t="s">
        <v>1619</v>
      </c>
      <c r="B236" s="1006" t="s">
        <v>1527</v>
      </c>
      <c r="C236" s="944" t="s">
        <v>61</v>
      </c>
      <c r="D236" s="976">
        <f t="shared" si="6"/>
        <v>319759.41333333333</v>
      </c>
      <c r="E236" s="976">
        <f>281823*1.16</f>
        <v>326914.68</v>
      </c>
      <c r="F236" s="976">
        <f>269000*1.16</f>
        <v>312040</v>
      </c>
      <c r="G236" s="976">
        <f>276141*1.16</f>
        <v>320323.56</v>
      </c>
      <c r="H236" s="976"/>
    </row>
    <row r="237" spans="1:8" s="456" customFormat="1">
      <c r="A237" s="513" t="s">
        <v>1619</v>
      </c>
      <c r="B237" s="1006" t="s">
        <v>1526</v>
      </c>
      <c r="C237" s="944" t="s">
        <v>61</v>
      </c>
      <c r="D237" s="976">
        <f t="shared" si="6"/>
        <v>344721.84</v>
      </c>
      <c r="E237" s="976">
        <f>303824*1.16</f>
        <v>352435.83999999997</v>
      </c>
      <c r="F237" s="976">
        <f>290000*1.16</f>
        <v>336400</v>
      </c>
      <c r="G237" s="976">
        <f>297698*1.16</f>
        <v>345329.68</v>
      </c>
      <c r="H237" s="976"/>
    </row>
    <row r="238" spans="1:8" s="456" customFormat="1">
      <c r="A238" s="626"/>
      <c r="B238" s="922" t="s">
        <v>1580</v>
      </c>
      <c r="C238" s="937" t="s">
        <v>61</v>
      </c>
      <c r="D238" s="952">
        <v>241280</v>
      </c>
      <c r="E238" s="989"/>
      <c r="F238" s="997"/>
      <c r="G238" s="997"/>
      <c r="H238" s="997"/>
    </row>
    <row r="239" spans="1:8" s="456" customFormat="1">
      <c r="A239" s="626"/>
      <c r="B239" s="922" t="s">
        <v>1579</v>
      </c>
      <c r="C239" s="937" t="s">
        <v>61</v>
      </c>
      <c r="D239" s="952">
        <v>464000</v>
      </c>
      <c r="E239" s="989"/>
      <c r="F239" s="997"/>
      <c r="G239" s="997"/>
      <c r="H239" s="997"/>
    </row>
    <row r="240" spans="1:8" s="456" customFormat="1">
      <c r="A240" s="626"/>
      <c r="B240" s="922" t="s">
        <v>1581</v>
      </c>
      <c r="C240" s="937" t="s">
        <v>61</v>
      </c>
      <c r="D240" s="952">
        <v>737760</v>
      </c>
      <c r="E240" s="989"/>
      <c r="F240" s="997"/>
      <c r="G240" s="997"/>
      <c r="H240" s="997"/>
    </row>
    <row r="241" spans="1:8" s="456" customFormat="1">
      <c r="A241" s="626"/>
      <c r="B241" s="922" t="s">
        <v>1582</v>
      </c>
      <c r="C241" s="937" t="s">
        <v>61</v>
      </c>
      <c r="D241" s="952">
        <v>1040520</v>
      </c>
      <c r="E241" s="989"/>
      <c r="F241" s="997"/>
      <c r="G241" s="997"/>
      <c r="H241" s="997"/>
    </row>
    <row r="242" spans="1:8" s="456" customFormat="1">
      <c r="A242" s="626"/>
      <c r="B242" s="922" t="s">
        <v>1583</v>
      </c>
      <c r="C242" s="937" t="s">
        <v>61</v>
      </c>
      <c r="D242" s="952">
        <v>1257440</v>
      </c>
      <c r="E242" s="989"/>
      <c r="F242" s="997"/>
      <c r="G242" s="997"/>
      <c r="H242" s="997"/>
    </row>
    <row r="243" spans="1:8" s="456" customFormat="1">
      <c r="A243" s="626"/>
      <c r="B243" s="922" t="s">
        <v>1584</v>
      </c>
      <c r="C243" s="937" t="s">
        <v>61</v>
      </c>
      <c r="D243" s="952">
        <v>2061320</v>
      </c>
      <c r="E243" s="989"/>
      <c r="F243" s="997"/>
      <c r="G243" s="997"/>
      <c r="H243" s="997"/>
    </row>
    <row r="244" spans="1:8">
      <c r="A244" s="1011"/>
      <c r="B244" s="1012" t="s">
        <v>1989</v>
      </c>
      <c r="C244" s="1013"/>
      <c r="D244" s="1014"/>
      <c r="E244" s="1015" t="s">
        <v>1573</v>
      </c>
      <c r="F244" s="1015" t="s">
        <v>1575</v>
      </c>
      <c r="G244" s="1016"/>
      <c r="H244" s="1016"/>
    </row>
    <row r="245" spans="1:8">
      <c r="A245" s="513" t="s">
        <v>1619</v>
      </c>
      <c r="B245" s="915" t="s">
        <v>1512</v>
      </c>
      <c r="C245" s="942" t="s">
        <v>1</v>
      </c>
      <c r="D245" s="977">
        <f>AVERAGE(E245:F245)</f>
        <v>9904.08</v>
      </c>
      <c r="E245" s="1001">
        <f>(51222*1.16)/6</f>
        <v>9902.92</v>
      </c>
      <c r="F245" s="1001">
        <f>(51234*1.16)/6</f>
        <v>9905.24</v>
      </c>
      <c r="G245" s="967"/>
      <c r="H245" s="967"/>
    </row>
    <row r="246" spans="1:8">
      <c r="A246" s="513" t="s">
        <v>1619</v>
      </c>
      <c r="B246" s="915" t="s">
        <v>1513</v>
      </c>
      <c r="C246" s="942" t="s">
        <v>1</v>
      </c>
      <c r="D246" s="977">
        <f t="shared" ref="D246:D255" si="7">AVERAGE(E246:F246)</f>
        <v>21676.05</v>
      </c>
      <c r="E246" s="1001">
        <f>(112104*1.16)/6</f>
        <v>21673.439999999999</v>
      </c>
      <c r="F246" s="1001">
        <f>(112131*1.16)/6</f>
        <v>21678.66</v>
      </c>
      <c r="G246" s="967"/>
      <c r="H246" s="967"/>
    </row>
    <row r="247" spans="1:8">
      <c r="A247" s="513" t="s">
        <v>1619</v>
      </c>
      <c r="B247" s="915" t="s">
        <v>1514</v>
      </c>
      <c r="C247" s="942" t="s">
        <v>1</v>
      </c>
      <c r="D247" s="977">
        <f t="shared" si="7"/>
        <v>35764.056666666664</v>
      </c>
      <c r="E247" s="1001">
        <f>(184964*1.16)/6</f>
        <v>35759.706666666665</v>
      </c>
      <c r="F247" s="1001">
        <f>(185009*1.16)/6</f>
        <v>35768.406666666662</v>
      </c>
      <c r="G247" s="967"/>
      <c r="H247" s="967"/>
    </row>
    <row r="248" spans="1:8">
      <c r="A248" s="513" t="s">
        <v>1619</v>
      </c>
      <c r="B248" s="915" t="s">
        <v>1515</v>
      </c>
      <c r="C248" s="942" t="s">
        <v>1</v>
      </c>
      <c r="D248" s="977">
        <f t="shared" si="7"/>
        <v>78091.199999999983</v>
      </c>
      <c r="E248" s="1001">
        <f>(403870*1.16)/6</f>
        <v>78081.533333333326</v>
      </c>
      <c r="F248" s="1001">
        <f>(403970*1.16)/6</f>
        <v>78100.866666666654</v>
      </c>
      <c r="G248" s="967"/>
      <c r="H248" s="967"/>
    </row>
    <row r="249" spans="1:8">
      <c r="A249" s="513" t="s">
        <v>1619</v>
      </c>
      <c r="B249" s="915" t="s">
        <v>1516</v>
      </c>
      <c r="C249" s="942" t="s">
        <v>1</v>
      </c>
      <c r="D249" s="977">
        <f t="shared" si="7"/>
        <v>132277.31333333332</v>
      </c>
      <c r="E249" s="1001">
        <f>(684108*1.16)/6</f>
        <v>132260.87999999998</v>
      </c>
      <c r="F249" s="1001">
        <f>(684278*1.16)/6</f>
        <v>132293.74666666667</v>
      </c>
      <c r="G249" s="967"/>
      <c r="H249" s="967"/>
    </row>
    <row r="250" spans="1:8">
      <c r="A250" s="513" t="s">
        <v>1619</v>
      </c>
      <c r="B250" s="915" t="s">
        <v>1517</v>
      </c>
      <c r="C250" s="942" t="s">
        <v>1</v>
      </c>
      <c r="D250" s="977">
        <f t="shared" si="7"/>
        <v>208231.40666666668</v>
      </c>
      <c r="E250" s="1001">
        <f>(1076925*1.16)/6</f>
        <v>208205.5</v>
      </c>
      <c r="F250" s="1001">
        <f>(1077193*1.16)/6</f>
        <v>208257.31333333332</v>
      </c>
      <c r="G250" s="967"/>
      <c r="H250" s="967"/>
    </row>
    <row r="251" spans="1:8">
      <c r="A251" s="513" t="s">
        <v>1619</v>
      </c>
      <c r="B251" s="915" t="s">
        <v>1518</v>
      </c>
      <c r="C251" s="942" t="s">
        <v>1</v>
      </c>
      <c r="D251" s="977">
        <f t="shared" si="7"/>
        <v>291355.26666666666</v>
      </c>
      <c r="E251" s="1001">
        <f>(1506822*1.16)/6</f>
        <v>291318.92</v>
      </c>
      <c r="F251" s="1001">
        <f>(1507198*1.16)/6</f>
        <v>291391.61333333334</v>
      </c>
      <c r="G251" s="967"/>
      <c r="H251" s="967"/>
    </row>
    <row r="252" spans="1:8">
      <c r="A252" s="513" t="s">
        <v>1619</v>
      </c>
      <c r="B252" s="915" t="s">
        <v>1519</v>
      </c>
      <c r="C252" s="942" t="s">
        <v>1</v>
      </c>
      <c r="D252" s="977">
        <f t="shared" si="7"/>
        <v>361316.41333333333</v>
      </c>
      <c r="E252" s="1001">
        <f>(1868645*1.16)/6</f>
        <v>361271.36666666664</v>
      </c>
      <c r="F252" s="1001">
        <f>(1869111*1.16)/6</f>
        <v>361361.45999999996</v>
      </c>
      <c r="G252" s="967"/>
      <c r="H252" s="967"/>
    </row>
    <row r="253" spans="1:8">
      <c r="A253" s="513" t="s">
        <v>1619</v>
      </c>
      <c r="B253" s="915" t="s">
        <v>1520</v>
      </c>
      <c r="C253" s="942" t="s">
        <v>1</v>
      </c>
      <c r="D253" s="977">
        <f t="shared" si="7"/>
        <v>474232.93999999994</v>
      </c>
      <c r="E253" s="1001">
        <f>(2452623*1.16)/6</f>
        <v>474173.77999999997</v>
      </c>
      <c r="F253" s="1001">
        <f>(2453235*1.16)/6</f>
        <v>474292.09999999992</v>
      </c>
      <c r="G253" s="967"/>
      <c r="H253" s="967"/>
    </row>
    <row r="254" spans="1:8">
      <c r="A254" s="513" t="s">
        <v>1619</v>
      </c>
      <c r="B254" s="915" t="s">
        <v>1521</v>
      </c>
      <c r="C254" s="942" t="s">
        <v>1</v>
      </c>
      <c r="D254" s="977">
        <f t="shared" si="7"/>
        <v>608669.59333333327</v>
      </c>
      <c r="E254" s="1001">
        <f>(3147898*1.16)/6</f>
        <v>608593.61333333328</v>
      </c>
      <c r="F254" s="1001">
        <f>(3148684*1.16)/6</f>
        <v>608745.57333333336</v>
      </c>
      <c r="G254" s="967"/>
      <c r="H254" s="967"/>
    </row>
    <row r="255" spans="1:8">
      <c r="A255" s="513" t="s">
        <v>1619</v>
      </c>
      <c r="B255" s="915" t="s">
        <v>1522</v>
      </c>
      <c r="C255" s="942" t="s">
        <v>1</v>
      </c>
      <c r="D255" s="977">
        <f t="shared" si="7"/>
        <v>758167.49333333317</v>
      </c>
      <c r="E255" s="1001">
        <f>(3921066*1.16)/6</f>
        <v>758072.75999999989</v>
      </c>
      <c r="F255" s="1001">
        <f>(3922046*1.16)/6</f>
        <v>758262.22666666657</v>
      </c>
      <c r="G255" s="1002"/>
      <c r="H255" s="1002"/>
    </row>
    <row r="256" spans="1:8">
      <c r="A256" s="1011"/>
      <c r="B256" s="1012" t="s">
        <v>1990</v>
      </c>
      <c r="C256" s="1013"/>
      <c r="D256" s="1014"/>
      <c r="E256" s="1015" t="s">
        <v>1573</v>
      </c>
      <c r="F256" s="1015" t="s">
        <v>1575</v>
      </c>
      <c r="G256" s="1016"/>
      <c r="H256" s="1016"/>
    </row>
    <row r="257" spans="1:10">
      <c r="A257" s="513" t="s">
        <v>1619</v>
      </c>
      <c r="B257" s="915" t="s">
        <v>1512</v>
      </c>
      <c r="C257" s="942" t="s">
        <v>1</v>
      </c>
      <c r="D257" s="977">
        <f>AVERAGE(E257:F257)</f>
        <v>8217.6333333333332</v>
      </c>
      <c r="E257" s="1001">
        <f>(42500*1.16)/6</f>
        <v>8216.6666666666661</v>
      </c>
      <c r="F257" s="1001">
        <f>(42510*1.16)/6</f>
        <v>8218.6</v>
      </c>
      <c r="G257" s="1001"/>
      <c r="H257" s="1001"/>
      <c r="J257" s="26"/>
    </row>
    <row r="258" spans="1:10">
      <c r="A258" s="513" t="s">
        <v>1619</v>
      </c>
      <c r="B258" s="915" t="s">
        <v>1513</v>
      </c>
      <c r="C258" s="942" t="s">
        <v>1</v>
      </c>
      <c r="D258" s="977">
        <f t="shared" ref="D258:D266" si="8">AVERAGE(E258:F258)</f>
        <v>18077.826666666668</v>
      </c>
      <c r="E258" s="1001">
        <f>(93495*1.16)/6</f>
        <v>18075.7</v>
      </c>
      <c r="F258" s="1001">
        <f>(93517*1.16)/6</f>
        <v>18079.953333333331</v>
      </c>
      <c r="G258" s="1001"/>
      <c r="H258" s="1001"/>
    </row>
    <row r="259" spans="1:10">
      <c r="A259" s="513" t="s">
        <v>1619</v>
      </c>
      <c r="B259" s="915" t="s">
        <v>1514</v>
      </c>
      <c r="C259" s="942" t="s">
        <v>1</v>
      </c>
      <c r="D259" s="977">
        <f t="shared" si="8"/>
        <v>29857.626666666667</v>
      </c>
      <c r="E259" s="1001">
        <f>(154417*1.16)/6</f>
        <v>29853.953333333335</v>
      </c>
      <c r="F259" s="1001">
        <f>(154455*1.16)/6</f>
        <v>29861.3</v>
      </c>
      <c r="G259" s="1001"/>
      <c r="H259" s="1001"/>
    </row>
    <row r="260" spans="1:10">
      <c r="A260" s="513" t="s">
        <v>1619</v>
      </c>
      <c r="B260" s="915" t="s">
        <v>1515</v>
      </c>
      <c r="C260" s="942" t="s">
        <v>1</v>
      </c>
      <c r="D260" s="977">
        <f t="shared" si="8"/>
        <v>63960.273333333324</v>
      </c>
      <c r="E260" s="1001">
        <f>(330788*1.16)/6</f>
        <v>63952.346666666657</v>
      </c>
      <c r="F260" s="1001">
        <f>(330870*1.16)/6</f>
        <v>63968.19999999999</v>
      </c>
      <c r="G260" s="1001"/>
      <c r="H260" s="1001"/>
    </row>
    <row r="261" spans="1:10">
      <c r="A261" s="513" t="s">
        <v>1619</v>
      </c>
      <c r="B261" s="915" t="s">
        <v>1516</v>
      </c>
      <c r="C261" s="942" t="s">
        <v>1</v>
      </c>
      <c r="D261" s="977">
        <f t="shared" si="8"/>
        <v>108809.54666666666</v>
      </c>
      <c r="E261" s="1001">
        <f>(562738*1.16)/6</f>
        <v>108796.01333333332</v>
      </c>
      <c r="F261" s="1001">
        <f>(562878*1.16)/6</f>
        <v>108823.08</v>
      </c>
      <c r="G261" s="1001"/>
      <c r="H261" s="1001"/>
    </row>
    <row r="262" spans="1:10">
      <c r="A262" s="513" t="s">
        <v>1619</v>
      </c>
      <c r="B262" s="915" t="s">
        <v>1517</v>
      </c>
      <c r="C262" s="942" t="s">
        <v>1</v>
      </c>
      <c r="D262" s="977">
        <f t="shared" si="8"/>
        <v>169364.63999999998</v>
      </c>
      <c r="E262" s="1001">
        <f>(875915*1.16)/6</f>
        <v>169343.56666666665</v>
      </c>
      <c r="F262" s="1001">
        <f>(876133*1.16)/6</f>
        <v>169385.71333333332</v>
      </c>
      <c r="G262" s="1001"/>
      <c r="H262" s="1001"/>
    </row>
    <row r="263" spans="1:10">
      <c r="A263" s="513" t="s">
        <v>1619</v>
      </c>
      <c r="B263" s="915" t="s">
        <v>1518</v>
      </c>
      <c r="C263" s="942" t="s">
        <v>1</v>
      </c>
      <c r="D263" s="977">
        <f t="shared" si="8"/>
        <v>238745.78666666662</v>
      </c>
      <c r="E263" s="1001">
        <f>(1234738*1.16)/6</f>
        <v>238716.01333333331</v>
      </c>
      <c r="F263" s="1001">
        <f>(1235046*1.16)/6</f>
        <v>238775.55999999997</v>
      </c>
      <c r="G263" s="1001"/>
      <c r="H263" s="1001"/>
    </row>
    <row r="264" spans="1:10">
      <c r="A264" s="513" t="s">
        <v>1619</v>
      </c>
      <c r="B264" s="915" t="s">
        <v>1519</v>
      </c>
      <c r="C264" s="942" t="s">
        <v>1</v>
      </c>
      <c r="D264" s="977">
        <f t="shared" si="8"/>
        <v>297060.05</v>
      </c>
      <c r="E264" s="1001">
        <f>(1536326*1.16)/6</f>
        <v>297023.02666666667</v>
      </c>
      <c r="F264" s="1001">
        <f>(1536709*1.16)/6</f>
        <v>297097.0733333333</v>
      </c>
      <c r="G264" s="1001"/>
      <c r="H264" s="1001"/>
    </row>
    <row r="265" spans="1:10">
      <c r="A265" s="513" t="s">
        <v>1619</v>
      </c>
      <c r="B265" s="915" t="s">
        <v>1520</v>
      </c>
      <c r="C265" s="942" t="s">
        <v>1</v>
      </c>
      <c r="D265" s="977">
        <f t="shared" si="8"/>
        <v>394136.19666666666</v>
      </c>
      <c r="E265" s="1001">
        <f>(2038381*1.16)/6</f>
        <v>394086.99333333335</v>
      </c>
      <c r="F265" s="1001">
        <f>(2038890*1.16)/6</f>
        <v>394185.39999999997</v>
      </c>
      <c r="G265" s="1001"/>
      <c r="H265" s="1001"/>
    </row>
    <row r="266" spans="1:10">
      <c r="A266" s="513" t="s">
        <v>1619</v>
      </c>
      <c r="B266" s="915" t="s">
        <v>1521</v>
      </c>
      <c r="C266" s="942" t="s">
        <v>1</v>
      </c>
      <c r="D266" s="977">
        <f t="shared" si="8"/>
        <v>505201.07333333325</v>
      </c>
      <c r="E266" s="1001">
        <f>(2612783*1.16)/6</f>
        <v>505138.04666666663</v>
      </c>
      <c r="F266" s="1001">
        <f>(2613435*1.16)/6</f>
        <v>505264.09999999992</v>
      </c>
      <c r="G266" s="1001"/>
      <c r="H266" s="1001"/>
    </row>
    <row r="267" spans="1:10">
      <c r="A267" s="513" t="s">
        <v>1619</v>
      </c>
      <c r="B267" s="915" t="s">
        <v>1522</v>
      </c>
      <c r="C267" s="942" t="s">
        <v>1</v>
      </c>
      <c r="D267" s="977">
        <f>AVERAGE(E267:F267)</f>
        <v>650909.73666666658</v>
      </c>
      <c r="E267" s="1001">
        <f>(3366354*1.16)/6</f>
        <v>650828.43999999994</v>
      </c>
      <c r="F267" s="1001">
        <f>(3367195*1.16)/6</f>
        <v>650991.03333333333</v>
      </c>
      <c r="G267" s="1017"/>
      <c r="H267" s="1017"/>
    </row>
    <row r="268" spans="1:10">
      <c r="A268" s="474"/>
      <c r="B268" s="925" t="s">
        <v>45</v>
      </c>
      <c r="C268" s="943"/>
      <c r="D268" s="970"/>
      <c r="E268" s="943"/>
      <c r="F268" s="943"/>
      <c r="G268" s="943"/>
      <c r="H268" s="943"/>
    </row>
    <row r="269" spans="1:10">
      <c r="A269" s="474"/>
      <c r="B269" s="917" t="s">
        <v>1475</v>
      </c>
      <c r="C269" s="937" t="s">
        <v>61</v>
      </c>
      <c r="D269" s="901">
        <v>255000</v>
      </c>
      <c r="E269" s="952">
        <f>21416*1.16</f>
        <v>24842.559999999998</v>
      </c>
      <c r="F269" s="901">
        <f>20442*1.16</f>
        <v>23712.719999999998</v>
      </c>
      <c r="G269" s="978">
        <f>20985*1.16</f>
        <v>24342.6</v>
      </c>
      <c r="H269" s="978"/>
    </row>
    <row r="270" spans="1:10">
      <c r="A270" s="474"/>
      <c r="B270" s="917" t="s">
        <v>1440</v>
      </c>
      <c r="C270" s="937" t="s">
        <v>61</v>
      </c>
      <c r="D270" s="901">
        <v>310000</v>
      </c>
      <c r="E270" s="983"/>
      <c r="F270" s="901"/>
      <c r="G270" s="901"/>
      <c r="H270" s="901"/>
    </row>
    <row r="271" spans="1:10">
      <c r="A271" s="474"/>
      <c r="B271" s="917" t="s">
        <v>1861</v>
      </c>
      <c r="C271" s="937" t="s">
        <v>61</v>
      </c>
      <c r="D271" s="971">
        <f>343966*1.16</f>
        <v>399000.56</v>
      </c>
      <c r="E271" s="983"/>
      <c r="F271" s="901"/>
      <c r="G271" s="901"/>
      <c r="H271" s="901"/>
    </row>
    <row r="272" spans="1:10">
      <c r="A272" s="474"/>
      <c r="B272" s="917" t="s">
        <v>1597</v>
      </c>
      <c r="C272" s="937" t="s">
        <v>1600</v>
      </c>
      <c r="D272" s="901"/>
      <c r="E272" s="983"/>
      <c r="F272" s="901"/>
      <c r="G272" s="901"/>
      <c r="H272" s="901"/>
    </row>
    <row r="273" spans="1:14">
      <c r="A273" s="474"/>
      <c r="B273" s="917" t="s">
        <v>1598</v>
      </c>
      <c r="C273" s="937" t="s">
        <v>61</v>
      </c>
      <c r="D273" s="972">
        <v>343966</v>
      </c>
      <c r="E273" s="983"/>
      <c r="F273" s="901"/>
      <c r="G273" s="901"/>
      <c r="H273" s="901"/>
    </row>
    <row r="274" spans="1:14">
      <c r="A274" s="474"/>
      <c r="B274" s="917" t="s">
        <v>1599</v>
      </c>
      <c r="C274" s="937" t="s">
        <v>61</v>
      </c>
      <c r="D274" s="973">
        <f>243000*1.16</f>
        <v>281880</v>
      </c>
      <c r="E274" s="983"/>
      <c r="F274" s="901"/>
      <c r="G274" s="901"/>
      <c r="H274" s="901"/>
    </row>
    <row r="275" spans="1:14">
      <c r="A275" s="474"/>
      <c r="B275" s="917" t="s">
        <v>1603</v>
      </c>
      <c r="C275" s="937" t="s">
        <v>1600</v>
      </c>
      <c r="D275" s="972">
        <v>325862</v>
      </c>
      <c r="E275" s="983"/>
      <c r="F275" s="901"/>
      <c r="G275" s="901"/>
      <c r="H275" s="901"/>
    </row>
    <row r="276" spans="1:14">
      <c r="A276" s="474"/>
      <c r="B276" s="917" t="s">
        <v>1601</v>
      </c>
      <c r="C276" s="937" t="s">
        <v>61</v>
      </c>
      <c r="D276" s="972">
        <f>220000*1.16</f>
        <v>255199.99999999997</v>
      </c>
      <c r="E276" s="983"/>
      <c r="F276" s="901"/>
      <c r="G276" s="901"/>
      <c r="H276" s="901"/>
    </row>
    <row r="277" spans="1:14">
      <c r="A277" s="474"/>
      <c r="B277" s="917" t="s">
        <v>1602</v>
      </c>
      <c r="C277" s="937" t="s">
        <v>61</v>
      </c>
      <c r="D277" s="972">
        <f>250000*1.16</f>
        <v>290000</v>
      </c>
      <c r="E277" s="983"/>
      <c r="F277" s="901"/>
      <c r="G277" s="901"/>
      <c r="H277" s="901"/>
    </row>
    <row r="278" spans="1:14">
      <c r="A278" s="474"/>
      <c r="B278" s="917" t="s">
        <v>1441</v>
      </c>
      <c r="C278" s="896" t="s">
        <v>61</v>
      </c>
      <c r="D278" s="901">
        <v>180000</v>
      </c>
      <c r="E278" s="983"/>
      <c r="F278" s="901"/>
      <c r="G278" s="901"/>
      <c r="H278" s="901"/>
    </row>
    <row r="279" spans="1:14">
      <c r="A279" s="474"/>
      <c r="B279" s="917" t="s">
        <v>1442</v>
      </c>
      <c r="C279" s="896" t="s">
        <v>61</v>
      </c>
      <c r="D279" s="901">
        <f>220000*1.16</f>
        <v>255199.99999999997</v>
      </c>
      <c r="E279" s="983"/>
      <c r="F279" s="901"/>
      <c r="G279" s="901"/>
      <c r="H279" s="901"/>
    </row>
    <row r="280" spans="1:14" ht="25.5">
      <c r="A280" s="1011"/>
      <c r="B280" s="1018" t="s">
        <v>1462</v>
      </c>
      <c r="C280" s="1019"/>
      <c r="D280" s="1020"/>
      <c r="E280" s="1021" t="s">
        <v>1567</v>
      </c>
      <c r="F280" s="1022" t="s">
        <v>1568</v>
      </c>
      <c r="G280" s="1023"/>
      <c r="H280" s="1046"/>
      <c r="I280" s="1049"/>
      <c r="J280" s="1045"/>
      <c r="K280" s="1043"/>
    </row>
    <row r="281" spans="1:14">
      <c r="A281" s="513" t="s">
        <v>1619</v>
      </c>
      <c r="B281" s="623" t="s">
        <v>1493</v>
      </c>
      <c r="C281" s="944" t="s">
        <v>1</v>
      </c>
      <c r="D281" s="975">
        <f>AVERAGE(E281:F281)</f>
        <v>28681</v>
      </c>
      <c r="E281" s="984">
        <f>(29500*1.16)/1.25</f>
        <v>27376</v>
      </c>
      <c r="F281" s="975">
        <f>(31020*1.16)/1.2</f>
        <v>29986</v>
      </c>
      <c r="G281" s="975"/>
      <c r="H281" s="975"/>
      <c r="I281" s="1044"/>
      <c r="J281" s="1043"/>
      <c r="K281" s="1043"/>
      <c r="L281" s="26"/>
      <c r="N281" s="25"/>
    </row>
    <row r="282" spans="1:14">
      <c r="A282" s="513" t="s">
        <v>1619</v>
      </c>
      <c r="B282" s="623" t="s">
        <v>1494</v>
      </c>
      <c r="C282" s="944" t="s">
        <v>1</v>
      </c>
      <c r="D282" s="975">
        <f t="shared" ref="D282:D289" si="9">AVERAGE(E282:F282)</f>
        <v>45727.199999999997</v>
      </c>
      <c r="E282" s="984">
        <f>(49800*1.16)/1.25</f>
        <v>46214.399999999994</v>
      </c>
      <c r="F282" s="975">
        <f>(46800*1.16)/1.2</f>
        <v>45239.999999999993</v>
      </c>
      <c r="G282" s="975"/>
      <c r="H282" s="975"/>
      <c r="I282" s="1044"/>
      <c r="J282" s="1043"/>
      <c r="K282" s="1043"/>
      <c r="L282" s="26"/>
    </row>
    <row r="283" spans="1:14">
      <c r="A283" s="513" t="s">
        <v>1619</v>
      </c>
      <c r="B283" s="623" t="s">
        <v>1495</v>
      </c>
      <c r="C283" s="944" t="s">
        <v>1</v>
      </c>
      <c r="D283" s="975">
        <f t="shared" si="9"/>
        <v>59299.199999999997</v>
      </c>
      <c r="E283" s="984">
        <f>(63900*1.16)/1.25</f>
        <v>59299.199999999997</v>
      </c>
      <c r="F283" s="975">
        <f>(61344*1.16)/1.2</f>
        <v>59299.199999999997</v>
      </c>
      <c r="G283" s="975"/>
      <c r="H283" s="975"/>
      <c r="I283" s="1044"/>
      <c r="J283" s="1043"/>
      <c r="K283" s="1043"/>
      <c r="L283" s="26"/>
    </row>
    <row r="284" spans="1:14">
      <c r="A284" s="513" t="s">
        <v>1619</v>
      </c>
      <c r="B284" s="623" t="s">
        <v>1496</v>
      </c>
      <c r="C284" s="944" t="s">
        <v>1</v>
      </c>
      <c r="D284" s="975">
        <f t="shared" si="9"/>
        <v>77070.399999999994</v>
      </c>
      <c r="E284" s="984">
        <f>(81400*1.16)/1.25</f>
        <v>75539.199999999997</v>
      </c>
      <c r="F284" s="975">
        <f>(81312*1.16)/1.2</f>
        <v>78601.600000000006</v>
      </c>
      <c r="G284" s="975"/>
      <c r="H284" s="975"/>
      <c r="I284" s="1044"/>
      <c r="J284" s="1043"/>
      <c r="K284" s="1043"/>
      <c r="L284" s="26"/>
    </row>
    <row r="285" spans="1:14">
      <c r="A285" s="513" t="s">
        <v>1619</v>
      </c>
      <c r="B285" s="623" t="s">
        <v>1497</v>
      </c>
      <c r="C285" s="944" t="s">
        <v>1</v>
      </c>
      <c r="D285" s="975">
        <f t="shared" si="9"/>
        <v>99551.199999999983</v>
      </c>
      <c r="E285" s="984">
        <f>(108300*1.16)/1.25</f>
        <v>100502.39999999999</v>
      </c>
      <c r="F285" s="975">
        <f>(102000*1.16)/1.2</f>
        <v>98599.999999999985</v>
      </c>
      <c r="G285" s="975"/>
      <c r="H285" s="975"/>
      <c r="I285" s="1044"/>
      <c r="J285" s="1043"/>
      <c r="K285" s="1043"/>
      <c r="L285" s="26"/>
    </row>
    <row r="286" spans="1:14">
      <c r="A286" s="513" t="s">
        <v>1619</v>
      </c>
      <c r="B286" s="623" t="s">
        <v>1498</v>
      </c>
      <c r="C286" s="944" t="s">
        <v>1</v>
      </c>
      <c r="D286" s="975">
        <f t="shared" si="9"/>
        <v>129177.60000000001</v>
      </c>
      <c r="E286" s="984">
        <f>(140900*1.16)/1.25</f>
        <v>130755.2</v>
      </c>
      <c r="F286" s="975">
        <f>(132000*1.16)/1.2</f>
        <v>127600</v>
      </c>
      <c r="G286" s="975"/>
      <c r="H286" s="975"/>
      <c r="I286" s="1044"/>
      <c r="J286" s="1043"/>
      <c r="K286" s="1043"/>
      <c r="L286" s="26"/>
    </row>
    <row r="287" spans="1:14">
      <c r="A287" s="513" t="s">
        <v>1619</v>
      </c>
      <c r="B287" s="623" t="s">
        <v>1499</v>
      </c>
      <c r="C287" s="944" t="s">
        <v>1</v>
      </c>
      <c r="D287" s="975">
        <f t="shared" si="9"/>
        <v>173953.59999999998</v>
      </c>
      <c r="E287" s="984">
        <f>(189900*1.16)/1.25</f>
        <v>176227.19999999998</v>
      </c>
      <c r="F287" s="975">
        <f>(177600*1.16)/1.2</f>
        <v>171680</v>
      </c>
      <c r="G287" s="975"/>
      <c r="H287" s="975"/>
      <c r="I287" s="1044"/>
      <c r="J287" s="1043"/>
      <c r="K287" s="1043"/>
      <c r="L287" s="26"/>
    </row>
    <row r="288" spans="1:14">
      <c r="A288" s="513" t="s">
        <v>1619</v>
      </c>
      <c r="B288" s="623" t="s">
        <v>1500</v>
      </c>
      <c r="C288" s="944" t="s">
        <v>1</v>
      </c>
      <c r="D288" s="975">
        <f t="shared" si="9"/>
        <v>210052.8</v>
      </c>
      <c r="E288" s="984">
        <f>(227700*1.16)/1.25</f>
        <v>211305.60000000001</v>
      </c>
      <c r="F288" s="975">
        <f>(216000*1.16)/1.2</f>
        <v>208799.99999999997</v>
      </c>
      <c r="G288" s="975"/>
      <c r="H288" s="975"/>
      <c r="I288" s="1044"/>
      <c r="J288" s="1043"/>
      <c r="K288" s="1043"/>
      <c r="L288" s="26"/>
    </row>
    <row r="289" spans="1:12" s="456" customFormat="1">
      <c r="A289" s="513" t="s">
        <v>1619</v>
      </c>
      <c r="B289" s="623" t="s">
        <v>1501</v>
      </c>
      <c r="C289" s="944" t="s">
        <v>1</v>
      </c>
      <c r="D289" s="975">
        <f t="shared" si="9"/>
        <v>301948</v>
      </c>
      <c r="E289" s="984">
        <f>(327000*1.16)/1.25</f>
        <v>303456</v>
      </c>
      <c r="F289" s="975">
        <f>(310800*1.16)/1.2</f>
        <v>300440</v>
      </c>
      <c r="G289" s="975"/>
      <c r="H289" s="975"/>
      <c r="I289" s="1044"/>
      <c r="J289" s="1043"/>
      <c r="K289" s="1043"/>
      <c r="L289" s="26"/>
    </row>
    <row r="290" spans="1:12" ht="26.25">
      <c r="A290" s="1011"/>
      <c r="B290" s="1024" t="s">
        <v>1463</v>
      </c>
      <c r="C290" s="1025"/>
      <c r="D290" s="1023"/>
      <c r="E290" s="1021" t="s">
        <v>1567</v>
      </c>
      <c r="F290" s="1022" t="s">
        <v>1568</v>
      </c>
      <c r="G290" s="1023"/>
      <c r="H290" s="1023"/>
    </row>
    <row r="291" spans="1:12">
      <c r="A291" s="513" t="s">
        <v>1619</v>
      </c>
      <c r="B291" s="623" t="s">
        <v>1501</v>
      </c>
      <c r="C291" s="944" t="s">
        <v>1</v>
      </c>
      <c r="D291" s="975">
        <f>AVERAGE(E291:F291)</f>
        <v>333569.59999999998</v>
      </c>
      <c r="E291" s="984">
        <f>(670300*1.16)/2.5</f>
        <v>311019.2</v>
      </c>
      <c r="F291" s="975">
        <f>(368400*1.16)/1.2</f>
        <v>356119.99999999994</v>
      </c>
      <c r="G291" s="975"/>
      <c r="H291" s="975"/>
    </row>
    <row r="292" spans="1:12">
      <c r="A292" s="474"/>
      <c r="B292" s="926" t="s">
        <v>1502</v>
      </c>
      <c r="C292" s="1005" t="s">
        <v>1</v>
      </c>
      <c r="D292" s="958">
        <f>E292</f>
        <v>390502.39999999997</v>
      </c>
      <c r="E292" s="965">
        <f>(841600*1.16)/2.5</f>
        <v>390502.39999999997</v>
      </c>
      <c r="F292" s="1026"/>
      <c r="G292" s="958"/>
      <c r="H292" s="958"/>
    </row>
    <row r="293" spans="1:12">
      <c r="A293" s="474"/>
      <c r="B293" s="926" t="s">
        <v>1503</v>
      </c>
      <c r="C293" s="1005" t="s">
        <v>1</v>
      </c>
      <c r="D293" s="958">
        <v>425000</v>
      </c>
      <c r="E293" s="965"/>
      <c r="F293" s="958"/>
      <c r="G293" s="958"/>
      <c r="H293" s="958"/>
    </row>
    <row r="294" spans="1:12">
      <c r="A294" s="513" t="s">
        <v>1619</v>
      </c>
      <c r="B294" s="623" t="s">
        <v>1569</v>
      </c>
      <c r="C294" s="944" t="s">
        <v>1</v>
      </c>
      <c r="D294" s="975">
        <f>AVERAGE(E294:F294)</f>
        <v>489682.39999999997</v>
      </c>
      <c r="E294" s="984">
        <f>(1050700*1.16)/2.5</f>
        <v>487524.8</v>
      </c>
      <c r="F294" s="975">
        <f>424000*1.16</f>
        <v>491839.99999999994</v>
      </c>
      <c r="G294" s="975"/>
      <c r="H294" s="975"/>
    </row>
    <row r="295" spans="1:12">
      <c r="A295" s="513" t="s">
        <v>1619</v>
      </c>
      <c r="B295" s="623" t="s">
        <v>1464</v>
      </c>
      <c r="C295" s="944" t="s">
        <v>1</v>
      </c>
      <c r="D295" s="975">
        <f t="shared" ref="D295:D298" si="10">AVERAGE(E295:F295)</f>
        <v>613176</v>
      </c>
      <c r="E295" s="984">
        <f>(1318000*1.16)/2.5</f>
        <v>611552</v>
      </c>
      <c r="F295" s="975">
        <f>530000*1.16</f>
        <v>614800</v>
      </c>
      <c r="G295" s="975"/>
      <c r="H295" s="975"/>
    </row>
    <row r="296" spans="1:12">
      <c r="A296" s="513" t="s">
        <v>1619</v>
      </c>
      <c r="B296" s="623" t="s">
        <v>1465</v>
      </c>
      <c r="C296" s="944" t="s">
        <v>1</v>
      </c>
      <c r="D296" s="975">
        <f t="shared" si="10"/>
        <v>767154.39999999991</v>
      </c>
      <c r="E296" s="984">
        <f>(1649200*1.16)/2.5</f>
        <v>765228.79999999993</v>
      </c>
      <c r="F296" s="975">
        <f>663000*1.16</f>
        <v>769080</v>
      </c>
      <c r="G296" s="975"/>
      <c r="H296" s="975"/>
    </row>
    <row r="297" spans="1:12">
      <c r="A297" s="513" t="s">
        <v>1619</v>
      </c>
      <c r="B297" s="623" t="s">
        <v>1466</v>
      </c>
      <c r="C297" s="944" t="s">
        <v>1</v>
      </c>
      <c r="D297" s="975">
        <f t="shared" si="10"/>
        <v>859444</v>
      </c>
      <c r="E297" s="984">
        <f>(1847000*1.16)/2.5</f>
        <v>857008</v>
      </c>
      <c r="F297" s="975">
        <f>(743000*1.16)</f>
        <v>861879.99999999988</v>
      </c>
      <c r="G297" s="975"/>
      <c r="H297" s="975"/>
    </row>
    <row r="298" spans="1:12">
      <c r="A298" s="513" t="s">
        <v>1619</v>
      </c>
      <c r="B298" s="623" t="s">
        <v>1467</v>
      </c>
      <c r="C298" s="944" t="s">
        <v>1</v>
      </c>
      <c r="D298" s="975">
        <f t="shared" si="10"/>
        <v>1006880</v>
      </c>
      <c r="E298" s="984">
        <f>(2165000*1.16)/2.5</f>
        <v>1004560</v>
      </c>
      <c r="F298" s="975">
        <f>(870000*1.16)</f>
        <v>1009199.9999999999</v>
      </c>
      <c r="G298" s="975"/>
      <c r="H298" s="1048"/>
      <c r="I298" s="17"/>
    </row>
    <row r="299" spans="1:12">
      <c r="A299" s="1011"/>
      <c r="B299" s="1018" t="s">
        <v>1613</v>
      </c>
      <c r="C299" s="1027"/>
      <c r="D299" s="1020"/>
      <c r="E299" s="1021" t="s">
        <v>1573</v>
      </c>
      <c r="F299" s="1028" t="s">
        <v>1575</v>
      </c>
      <c r="G299" s="1023"/>
      <c r="H299" s="1046"/>
      <c r="I299" s="908"/>
      <c r="J299" s="1047"/>
    </row>
    <row r="300" spans="1:12">
      <c r="A300" s="513" t="s">
        <v>1619</v>
      </c>
      <c r="B300" s="623" t="s">
        <v>1605</v>
      </c>
      <c r="C300" s="944" t="s">
        <v>1</v>
      </c>
      <c r="D300" s="975">
        <f>AVERAGE(E300:F300)</f>
        <v>32985.66333333333</v>
      </c>
      <c r="E300" s="984">
        <f>(170599*1.16)/6</f>
        <v>32982.473333333335</v>
      </c>
      <c r="F300" s="975">
        <f>(170632*1.16)/6</f>
        <v>32988.853333333333</v>
      </c>
      <c r="G300" s="975"/>
      <c r="H300" s="975"/>
      <c r="I300" s="457"/>
      <c r="J300" s="1043"/>
      <c r="K300" s="26"/>
    </row>
    <row r="301" spans="1:12">
      <c r="A301" s="513" t="s">
        <v>1619</v>
      </c>
      <c r="B301" s="623" t="s">
        <v>1606</v>
      </c>
      <c r="C301" s="944" t="s">
        <v>1</v>
      </c>
      <c r="D301" s="975">
        <f t="shared" ref="D301:D314" si="11">AVERAGE(E301:F301)</f>
        <v>45047.82666666666</v>
      </c>
      <c r="E301" s="984">
        <f>(232983*1.16)/6</f>
        <v>45043.38</v>
      </c>
      <c r="F301" s="975">
        <f>(233029*1.16)/6</f>
        <v>45052.273333333324</v>
      </c>
      <c r="G301" s="975"/>
      <c r="H301" s="975"/>
      <c r="I301" s="23"/>
      <c r="J301" s="26"/>
      <c r="K301" s="26"/>
    </row>
    <row r="302" spans="1:12">
      <c r="A302" s="513" t="s">
        <v>1619</v>
      </c>
      <c r="B302" s="623" t="s">
        <v>1607</v>
      </c>
      <c r="C302" s="944" t="s">
        <v>1</v>
      </c>
      <c r="D302" s="975">
        <f t="shared" si="11"/>
        <v>65794.91</v>
      </c>
      <c r="E302" s="984">
        <f>(340285*1.16)/6</f>
        <v>65788.433333333334</v>
      </c>
      <c r="F302" s="975">
        <f>(340352*1.16)/6</f>
        <v>65801.386666666658</v>
      </c>
      <c r="G302" s="975"/>
      <c r="H302" s="975"/>
      <c r="I302" s="23"/>
      <c r="J302" s="26"/>
      <c r="K302" s="26"/>
    </row>
    <row r="303" spans="1:12">
      <c r="A303" s="513" t="s">
        <v>1619</v>
      </c>
      <c r="B303" s="623" t="s">
        <v>1608</v>
      </c>
      <c r="C303" s="944" t="s">
        <v>1</v>
      </c>
      <c r="D303" s="975">
        <f t="shared" si="11"/>
        <v>97280.5</v>
      </c>
      <c r="E303" s="984">
        <f>(503125*1.16)/6</f>
        <v>97270.833333333328</v>
      </c>
      <c r="F303" s="975">
        <f>(503225*1.16)/6</f>
        <v>97290.166666666672</v>
      </c>
      <c r="G303" s="975"/>
      <c r="H303" s="975"/>
      <c r="I303" s="23"/>
      <c r="J303" s="26"/>
      <c r="K303" s="26"/>
    </row>
    <row r="304" spans="1:12">
      <c r="A304" s="513" t="s">
        <v>1619</v>
      </c>
      <c r="B304" s="623" t="s">
        <v>1610</v>
      </c>
      <c r="C304" s="944" t="s">
        <v>1</v>
      </c>
      <c r="D304" s="975">
        <f t="shared" si="11"/>
        <v>113363.31999999999</v>
      </c>
      <c r="E304" s="984">
        <f>(585804*1.16)/6</f>
        <v>113255.43999999999</v>
      </c>
      <c r="F304" s="975">
        <f>(586920*1.16)/6</f>
        <v>113471.2</v>
      </c>
      <c r="G304" s="975"/>
      <c r="H304" s="975"/>
      <c r="I304" s="23"/>
      <c r="J304" s="26"/>
      <c r="K304" s="26"/>
    </row>
    <row r="305" spans="1:11">
      <c r="A305" s="513" t="s">
        <v>1619</v>
      </c>
      <c r="B305" s="623" t="s">
        <v>1611</v>
      </c>
      <c r="C305" s="944" t="s">
        <v>1</v>
      </c>
      <c r="D305" s="975">
        <f t="shared" si="11"/>
        <v>159127.06</v>
      </c>
      <c r="E305" s="984">
        <f>(822989*1.16)/6</f>
        <v>159111.20666666667</v>
      </c>
      <c r="F305" s="975">
        <f>(823153*1.16)/6</f>
        <v>159142.91333333333</v>
      </c>
      <c r="G305" s="975"/>
      <c r="H305" s="975"/>
      <c r="I305" s="23"/>
      <c r="J305" s="26"/>
      <c r="K305" s="26"/>
    </row>
    <row r="306" spans="1:11">
      <c r="A306" s="513" t="s">
        <v>1619</v>
      </c>
      <c r="B306" s="623" t="s">
        <v>1612</v>
      </c>
      <c r="C306" s="944" t="s">
        <v>1</v>
      </c>
      <c r="D306" s="975">
        <f t="shared" si="11"/>
        <v>211142.90999999997</v>
      </c>
      <c r="E306" s="984">
        <f>(1092010*1.16)/6</f>
        <v>211121.93333333332</v>
      </c>
      <c r="F306" s="975">
        <f>(1092227*1.16)/6</f>
        <v>211163.88666666663</v>
      </c>
      <c r="G306" s="975"/>
      <c r="H306" s="975"/>
      <c r="I306" s="23"/>
      <c r="J306" s="26"/>
      <c r="K306" s="26"/>
    </row>
    <row r="307" spans="1:11">
      <c r="A307" s="513" t="s">
        <v>1619</v>
      </c>
      <c r="B307" s="623" t="s">
        <v>1609</v>
      </c>
      <c r="C307" s="944" t="s">
        <v>1</v>
      </c>
      <c r="D307" s="975">
        <f t="shared" si="11"/>
        <v>264402.37666666665</v>
      </c>
      <c r="E307" s="984">
        <f>(1367462*1.16)/6</f>
        <v>264375.98666666663</v>
      </c>
      <c r="F307" s="975">
        <f>(1367735*1.16)/6</f>
        <v>264428.76666666666</v>
      </c>
      <c r="G307" s="975"/>
      <c r="H307" s="975"/>
      <c r="I307" s="23"/>
      <c r="J307" s="26"/>
      <c r="K307" s="26"/>
    </row>
    <row r="308" spans="1:11">
      <c r="A308" s="513" t="s">
        <v>1619</v>
      </c>
      <c r="B308" s="623" t="s">
        <v>1468</v>
      </c>
      <c r="C308" s="944" t="s">
        <v>1</v>
      </c>
      <c r="D308" s="975">
        <f t="shared" si="11"/>
        <v>367116.79999999999</v>
      </c>
      <c r="E308" s="984">
        <f>(2056915*1.16)/6.5</f>
        <v>367080.21538461535</v>
      </c>
      <c r="F308" s="975">
        <f>(2057325*1.16)/6.5</f>
        <v>367153.38461538462</v>
      </c>
      <c r="G308" s="975"/>
      <c r="H308" s="975"/>
      <c r="I308" s="23"/>
      <c r="J308" s="26"/>
      <c r="K308" s="26"/>
    </row>
    <row r="309" spans="1:11">
      <c r="A309" s="513" t="s">
        <v>1619</v>
      </c>
      <c r="B309" s="623" t="s">
        <v>1469</v>
      </c>
      <c r="C309" s="944" t="s">
        <v>1</v>
      </c>
      <c r="D309" s="975">
        <f t="shared" si="11"/>
        <v>421017.62769230769</v>
      </c>
      <c r="E309" s="984">
        <f>(2358415*1.16)/6.5</f>
        <v>420886.36923076923</v>
      </c>
      <c r="F309" s="975">
        <f>(2359886*1.16)/6.5</f>
        <v>421148.88615384611</v>
      </c>
      <c r="G309" s="975"/>
      <c r="H309" s="975"/>
      <c r="I309" s="23"/>
      <c r="J309" s="26"/>
      <c r="K309" s="26"/>
    </row>
    <row r="310" spans="1:11">
      <c r="A310" s="513" t="s">
        <v>1619</v>
      </c>
      <c r="B310" s="623" t="s">
        <v>1470</v>
      </c>
      <c r="C310" s="944" t="s">
        <v>1</v>
      </c>
      <c r="D310" s="975">
        <f t="shared" si="11"/>
        <v>548459.59999999986</v>
      </c>
      <c r="E310" s="984">
        <f>(3072458*1.16)/6.5</f>
        <v>548315.5815384615</v>
      </c>
      <c r="F310" s="975">
        <f>(3074072*1.16)/6.5</f>
        <v>548603.61846153834</v>
      </c>
      <c r="G310" s="975"/>
      <c r="H310" s="975"/>
      <c r="I310" s="23"/>
      <c r="J310" s="26"/>
      <c r="K310" s="26"/>
    </row>
    <row r="311" spans="1:11">
      <c r="A311" s="513" t="s">
        <v>1619</v>
      </c>
      <c r="B311" s="623" t="s">
        <v>1471</v>
      </c>
      <c r="C311" s="944" t="s">
        <v>1</v>
      </c>
      <c r="D311" s="975">
        <f t="shared" si="11"/>
        <v>676568.03692307696</v>
      </c>
      <c r="E311" s="984">
        <f>(3772601*1.16)/6.5</f>
        <v>673264.17846153851</v>
      </c>
      <c r="F311" s="975">
        <f>(3809627*1.16)/6.5</f>
        <v>679871.89538461529</v>
      </c>
      <c r="G311" s="975"/>
      <c r="H311" s="975"/>
      <c r="I311" s="23"/>
      <c r="J311" s="26"/>
      <c r="K311" s="26"/>
    </row>
    <row r="312" spans="1:11">
      <c r="A312" s="513" t="s">
        <v>1619</v>
      </c>
      <c r="B312" s="623" t="s">
        <v>1472</v>
      </c>
      <c r="C312" s="944" t="s">
        <v>1</v>
      </c>
      <c r="D312" s="975">
        <f t="shared" si="11"/>
        <v>985130.98153846152</v>
      </c>
      <c r="E312" s="984">
        <f>(5492899*1.16)/6.5</f>
        <v>980271.20615384611</v>
      </c>
      <c r="F312" s="975">
        <f>(5547362*1.16)/6.5</f>
        <v>989990.75692307693</v>
      </c>
      <c r="G312" s="975"/>
      <c r="H312" s="975"/>
      <c r="I312" s="23"/>
      <c r="J312" s="26"/>
      <c r="K312" s="26"/>
    </row>
    <row r="313" spans="1:11">
      <c r="A313" s="513" t="s">
        <v>1619</v>
      </c>
      <c r="B313" s="623" t="s">
        <v>1473</v>
      </c>
      <c r="C313" s="944" t="s">
        <v>1</v>
      </c>
      <c r="D313" s="975">
        <f t="shared" si="11"/>
        <v>1355968.1692307692</v>
      </c>
      <c r="E313" s="984">
        <f>(7561999*1.16)/6.5</f>
        <v>1349525.9753846154</v>
      </c>
      <c r="F313" s="975">
        <f>(7634196*1.16)/6.5</f>
        <v>1362410.3630769229</v>
      </c>
      <c r="G313" s="975"/>
      <c r="H313" s="975"/>
      <c r="I313" s="23"/>
      <c r="J313" s="26"/>
      <c r="K313" s="26"/>
    </row>
    <row r="314" spans="1:11">
      <c r="A314" s="513" t="s">
        <v>1619</v>
      </c>
      <c r="B314" s="623" t="s">
        <v>1474</v>
      </c>
      <c r="C314" s="944" t="s">
        <v>1</v>
      </c>
      <c r="D314" s="975">
        <f t="shared" si="11"/>
        <v>1550788.1169230766</v>
      </c>
      <c r="E314" s="984">
        <f>(8646856*1.16)/6.5</f>
        <v>1543131.2246153844</v>
      </c>
      <c r="F314" s="975">
        <f>(8732666*1.16)/6.5</f>
        <v>1558445.009230769</v>
      </c>
      <c r="G314" s="975"/>
      <c r="H314" s="975"/>
      <c r="I314" s="23"/>
      <c r="J314" s="26"/>
      <c r="K314" s="26"/>
    </row>
    <row r="315" spans="1:11">
      <c r="A315" s="1011"/>
      <c r="B315" s="1029" t="s">
        <v>1446</v>
      </c>
      <c r="C315" s="1025"/>
      <c r="D315" s="1030"/>
      <c r="E315" s="1021" t="s">
        <v>1567</v>
      </c>
      <c r="F315" s="1022" t="s">
        <v>1568</v>
      </c>
      <c r="G315" s="1023"/>
      <c r="H315" s="1023"/>
    </row>
    <row r="316" spans="1:11">
      <c r="A316" s="513" t="s">
        <v>1619</v>
      </c>
      <c r="B316" s="1008" t="s">
        <v>1454</v>
      </c>
      <c r="C316" s="944" t="s">
        <v>61</v>
      </c>
      <c r="D316" s="1001">
        <f>AVERAGE(E316:F316)</f>
        <v>78010</v>
      </c>
      <c r="E316" s="984">
        <f>54500*1.16</f>
        <v>63219.999999999993</v>
      </c>
      <c r="F316" s="975">
        <f>(80000*1.16)</f>
        <v>92800</v>
      </c>
      <c r="G316" s="975"/>
      <c r="H316" s="975"/>
      <c r="J316" s="26"/>
    </row>
    <row r="317" spans="1:11">
      <c r="A317" s="513" t="s">
        <v>1619</v>
      </c>
      <c r="B317" s="1008" t="s">
        <v>1455</v>
      </c>
      <c r="C317" s="944" t="s">
        <v>61</v>
      </c>
      <c r="D317" s="1001">
        <f t="shared" ref="D317:D323" si="12">AVERAGE(E317:F317)</f>
        <v>118435.99999999999</v>
      </c>
      <c r="E317" s="984">
        <f>96400*1.16</f>
        <v>111823.99999999999</v>
      </c>
      <c r="F317" s="975">
        <f>(107800*1.16)</f>
        <v>125047.99999999999</v>
      </c>
      <c r="G317" s="975"/>
      <c r="H317" s="975"/>
    </row>
    <row r="318" spans="1:11">
      <c r="A318" s="513" t="s">
        <v>1619</v>
      </c>
      <c r="B318" s="1008" t="s">
        <v>1456</v>
      </c>
      <c r="C318" s="944" t="s">
        <v>61</v>
      </c>
      <c r="D318" s="1001">
        <f t="shared" si="12"/>
        <v>160950</v>
      </c>
      <c r="E318" s="984">
        <f>123500*1.16</f>
        <v>143260</v>
      </c>
      <c r="F318" s="975">
        <f>(154000*1.16)</f>
        <v>178640</v>
      </c>
      <c r="G318" s="975"/>
      <c r="H318" s="975"/>
    </row>
    <row r="319" spans="1:11">
      <c r="A319" s="513" t="s">
        <v>1619</v>
      </c>
      <c r="B319" s="1008" t="s">
        <v>1457</v>
      </c>
      <c r="C319" s="944" t="s">
        <v>61</v>
      </c>
      <c r="D319" s="1001">
        <f t="shared" si="12"/>
        <v>181424</v>
      </c>
      <c r="E319" s="984">
        <f>147800*1.16</f>
        <v>171448</v>
      </c>
      <c r="F319" s="975">
        <f>(165000*1.16)</f>
        <v>191400</v>
      </c>
      <c r="G319" s="975"/>
      <c r="H319" s="975"/>
    </row>
    <row r="320" spans="1:11">
      <c r="A320" s="513" t="s">
        <v>1619</v>
      </c>
      <c r="B320" s="1008" t="s">
        <v>1458</v>
      </c>
      <c r="C320" s="944" t="s">
        <v>61</v>
      </c>
      <c r="D320" s="1001">
        <f t="shared" si="12"/>
        <v>225967.99999999997</v>
      </c>
      <c r="E320" s="984">
        <f>188300*1.16</f>
        <v>218427.99999999997</v>
      </c>
      <c r="F320" s="975">
        <f>(201300*1.16)</f>
        <v>233507.99999999997</v>
      </c>
      <c r="G320" s="975"/>
      <c r="H320" s="975"/>
    </row>
    <row r="321" spans="1:8">
      <c r="A321" s="513" t="s">
        <v>1619</v>
      </c>
      <c r="B321" s="1008" t="s">
        <v>1459</v>
      </c>
      <c r="C321" s="944" t="s">
        <v>61</v>
      </c>
      <c r="D321" s="1001">
        <f t="shared" si="12"/>
        <v>266510</v>
      </c>
      <c r="E321" s="984">
        <f>221900*1.16</f>
        <v>257403.99999999997</v>
      </c>
      <c r="F321" s="975">
        <f>(237600*1.16)</f>
        <v>275616</v>
      </c>
      <c r="G321" s="975"/>
      <c r="H321" s="975"/>
    </row>
    <row r="322" spans="1:8">
      <c r="A322" s="513" t="s">
        <v>1619</v>
      </c>
      <c r="B322" s="1008" t="s">
        <v>1460</v>
      </c>
      <c r="C322" s="944" t="s">
        <v>61</v>
      </c>
      <c r="D322" s="1001">
        <f t="shared" si="12"/>
        <v>343534</v>
      </c>
      <c r="E322" s="984">
        <f>286500*1.16</f>
        <v>332340</v>
      </c>
      <c r="F322" s="975">
        <f>(305800*1.16)</f>
        <v>354728</v>
      </c>
      <c r="G322" s="975"/>
      <c r="H322" s="975"/>
    </row>
    <row r="323" spans="1:8">
      <c r="A323" s="513" t="s">
        <v>1619</v>
      </c>
      <c r="B323" s="1008" t="s">
        <v>1461</v>
      </c>
      <c r="C323" s="944" t="s">
        <v>61</v>
      </c>
      <c r="D323" s="1001">
        <f t="shared" si="12"/>
        <v>490853.99999999994</v>
      </c>
      <c r="E323" s="984">
        <f>423300*1.16</f>
        <v>491027.99999999994</v>
      </c>
      <c r="F323" s="975">
        <f>(423000*1.16)</f>
        <v>490679.99999999994</v>
      </c>
      <c r="G323" s="975"/>
      <c r="H323" s="975"/>
    </row>
    <row r="324" spans="1:8">
      <c r="A324" s="1011"/>
      <c r="B324" s="1031" t="s">
        <v>1604</v>
      </c>
      <c r="C324" s="1013"/>
      <c r="D324" s="1032"/>
      <c r="E324" s="1021" t="s">
        <v>1573</v>
      </c>
      <c r="F324" s="1033" t="s">
        <v>1575</v>
      </c>
      <c r="G324" s="1023"/>
      <c r="H324" s="1023"/>
    </row>
    <row r="325" spans="1:8">
      <c r="A325" s="474"/>
      <c r="B325" s="929" t="s">
        <v>1614</v>
      </c>
      <c r="C325" s="937" t="s">
        <v>61</v>
      </c>
      <c r="D325" s="978">
        <f>E325</f>
        <v>122335.92</v>
      </c>
      <c r="E325" s="992">
        <f>(105462*1.16)</f>
        <v>122335.92</v>
      </c>
      <c r="F325" s="956">
        <f>(129318*1.16)</f>
        <v>150008.87999999998</v>
      </c>
      <c r="G325" s="901"/>
      <c r="H325" s="901"/>
    </row>
    <row r="326" spans="1:8">
      <c r="A326" s="474"/>
      <c r="B326" s="929" t="s">
        <v>1615</v>
      </c>
      <c r="C326" s="937" t="s">
        <v>61</v>
      </c>
      <c r="D326" s="978">
        <f>E326</f>
        <v>138298.68</v>
      </c>
      <c r="E326" s="992">
        <f>(119223*1.16)</f>
        <v>138298.68</v>
      </c>
      <c r="F326" s="956">
        <f>(245337*1.16)</f>
        <v>284590.92</v>
      </c>
      <c r="G326" s="901"/>
      <c r="H326" s="901"/>
    </row>
    <row r="327" spans="1:8">
      <c r="A327" s="474"/>
      <c r="B327" s="929" t="s">
        <v>1616</v>
      </c>
      <c r="C327" s="937" t="s">
        <v>61</v>
      </c>
      <c r="D327" s="978">
        <f>E327</f>
        <v>207952.03999999998</v>
      </c>
      <c r="E327" s="992">
        <f>(179269*1.16)</f>
        <v>207952.03999999998</v>
      </c>
      <c r="F327" s="956">
        <f>(262358*1.16)</f>
        <v>304335.27999999997</v>
      </c>
      <c r="G327" s="901"/>
      <c r="H327" s="901"/>
    </row>
    <row r="328" spans="1:8">
      <c r="A328" s="474"/>
      <c r="B328" s="929" t="s">
        <v>1617</v>
      </c>
      <c r="C328" s="937" t="s">
        <v>61</v>
      </c>
      <c r="D328" s="978">
        <f>E328</f>
        <v>227862.28</v>
      </c>
      <c r="E328" s="992">
        <f>(196433*1.16)</f>
        <v>227862.28</v>
      </c>
      <c r="F328" s="901"/>
      <c r="G328" s="901"/>
      <c r="H328" s="901"/>
    </row>
    <row r="329" spans="1:8" ht="26.25">
      <c r="A329" s="474"/>
      <c r="B329" s="929" t="s">
        <v>1618</v>
      </c>
      <c r="C329" s="937" t="s">
        <v>61</v>
      </c>
      <c r="D329" s="978">
        <v>225000</v>
      </c>
      <c r="E329" s="983"/>
      <c r="F329" s="901"/>
      <c r="G329" s="901"/>
      <c r="H329" s="901"/>
    </row>
    <row r="330" spans="1:8">
      <c r="A330" s="474"/>
      <c r="B330" s="929" t="s">
        <v>1451</v>
      </c>
      <c r="C330" s="937" t="s">
        <v>61</v>
      </c>
      <c r="D330" s="978">
        <v>230000</v>
      </c>
      <c r="E330" s="983"/>
      <c r="F330" s="901"/>
      <c r="G330" s="901"/>
      <c r="H330" s="901"/>
    </row>
    <row r="331" spans="1:8">
      <c r="A331" s="474"/>
      <c r="B331" s="929" t="s">
        <v>1452</v>
      </c>
      <c r="C331" s="937" t="s">
        <v>61</v>
      </c>
      <c r="D331" s="978">
        <v>275000</v>
      </c>
      <c r="E331" s="983"/>
      <c r="F331" s="901"/>
      <c r="G331" s="901"/>
      <c r="H331" s="901"/>
    </row>
    <row r="332" spans="1:8" s="456" customFormat="1">
      <c r="A332" s="626"/>
      <c r="B332" s="929" t="s">
        <v>1453</v>
      </c>
      <c r="C332" s="937" t="s">
        <v>61</v>
      </c>
      <c r="D332" s="978">
        <v>287000</v>
      </c>
      <c r="E332" s="983"/>
      <c r="F332" s="901"/>
      <c r="G332" s="901"/>
      <c r="H332" s="901"/>
    </row>
    <row r="333" spans="1:8">
      <c r="A333" s="474"/>
      <c r="B333" s="927" t="s">
        <v>1505</v>
      </c>
      <c r="C333" s="944"/>
      <c r="D333" s="976"/>
      <c r="E333" s="991" t="s">
        <v>1573</v>
      </c>
      <c r="F333" s="999" t="s">
        <v>1568</v>
      </c>
      <c r="G333" s="975"/>
      <c r="H333" s="975"/>
    </row>
    <row r="334" spans="1:8">
      <c r="A334" s="474"/>
      <c r="B334" s="928" t="s">
        <v>1596</v>
      </c>
      <c r="C334" s="935" t="s">
        <v>61</v>
      </c>
      <c r="D334" s="979">
        <f>F334</f>
        <v>49499.519999999997</v>
      </c>
      <c r="E334" s="992"/>
      <c r="F334" s="956">
        <f>(42672*1.16)</f>
        <v>49499.519999999997</v>
      </c>
      <c r="G334" s="956"/>
      <c r="H334" s="956"/>
    </row>
    <row r="335" spans="1:8">
      <c r="A335" s="474"/>
      <c r="B335" s="928" t="s">
        <v>1447</v>
      </c>
      <c r="C335" s="935" t="s">
        <v>61</v>
      </c>
      <c r="D335" s="979">
        <f>F335</f>
        <v>66908.799999999988</v>
      </c>
      <c r="E335" s="992"/>
      <c r="F335" s="956">
        <f>(57680*1.16)</f>
        <v>66908.799999999988</v>
      </c>
      <c r="G335" s="956"/>
      <c r="H335" s="956"/>
    </row>
    <row r="336" spans="1:8">
      <c r="A336" s="474"/>
      <c r="B336" s="928" t="s">
        <v>1448</v>
      </c>
      <c r="C336" s="935" t="s">
        <v>61</v>
      </c>
      <c r="D336" s="979">
        <f>F336</f>
        <v>88760.87999999999</v>
      </c>
      <c r="E336" s="992"/>
      <c r="F336" s="956">
        <f>(76518*1.16)</f>
        <v>88760.87999999999</v>
      </c>
      <c r="G336" s="956"/>
      <c r="H336" s="956"/>
    </row>
    <row r="337" spans="1:13">
      <c r="A337" s="474"/>
      <c r="B337" s="928" t="s">
        <v>1449</v>
      </c>
      <c r="C337" s="935" t="s">
        <v>61</v>
      </c>
      <c r="D337" s="979">
        <f>F337</f>
        <v>129504.71999999999</v>
      </c>
      <c r="E337" s="992"/>
      <c r="F337" s="956">
        <f>(111642*1.16)</f>
        <v>129504.71999999999</v>
      </c>
      <c r="G337" s="956"/>
      <c r="H337" s="956"/>
    </row>
    <row r="338" spans="1:13">
      <c r="A338" s="474"/>
      <c r="B338" s="928" t="s">
        <v>1450</v>
      </c>
      <c r="C338" s="935" t="s">
        <v>61</v>
      </c>
      <c r="D338" s="980">
        <f>F338</f>
        <v>155696.35999999999</v>
      </c>
      <c r="E338" s="992"/>
      <c r="F338" s="956">
        <f>(134221*1.16)</f>
        <v>155696.35999999999</v>
      </c>
      <c r="G338" s="956"/>
      <c r="H338" s="956"/>
    </row>
    <row r="339" spans="1:13" ht="26.25">
      <c r="A339" s="474"/>
      <c r="B339" s="930" t="s">
        <v>390</v>
      </c>
      <c r="C339" s="945"/>
      <c r="D339" s="981">
        <v>362340</v>
      </c>
      <c r="E339" s="993"/>
      <c r="F339" s="945"/>
      <c r="G339" s="958"/>
      <c r="H339" s="958"/>
      <c r="I339" s="50"/>
      <c r="J339" s="50"/>
      <c r="K339" s="50"/>
      <c r="L339" s="50"/>
      <c r="M339" s="50"/>
    </row>
    <row r="340" spans="1:13" ht="26.25">
      <c r="A340" s="474"/>
      <c r="B340" s="930" t="s">
        <v>391</v>
      </c>
      <c r="C340" s="945"/>
      <c r="D340" s="981">
        <v>396000</v>
      </c>
      <c r="E340" s="993"/>
      <c r="F340" s="945"/>
      <c r="G340" s="958"/>
      <c r="H340" s="958"/>
      <c r="I340" s="50"/>
      <c r="J340" s="50"/>
      <c r="K340" s="50"/>
      <c r="L340" s="50"/>
      <c r="M340" s="50"/>
    </row>
    <row r="341" spans="1:13">
      <c r="A341" s="474"/>
      <c r="B341" s="930" t="s">
        <v>392</v>
      </c>
      <c r="C341" s="945"/>
      <c r="D341" s="981">
        <v>120780</v>
      </c>
      <c r="E341" s="994"/>
      <c r="F341" s="945"/>
      <c r="G341" s="958"/>
      <c r="H341" s="958"/>
      <c r="I341" s="50"/>
      <c r="J341" s="50"/>
      <c r="K341" s="50"/>
      <c r="L341" s="50"/>
      <c r="M341" s="50"/>
    </row>
    <row r="342" spans="1:13">
      <c r="A342" s="474"/>
      <c r="B342" s="930" t="s">
        <v>393</v>
      </c>
      <c r="C342" s="945"/>
      <c r="D342" s="981">
        <v>1370160</v>
      </c>
      <c r="E342" s="994"/>
      <c r="F342" s="945"/>
      <c r="G342" s="958"/>
      <c r="H342" s="958"/>
      <c r="I342" s="50"/>
      <c r="J342" s="50"/>
      <c r="K342" s="50"/>
      <c r="L342" s="50"/>
      <c r="M342" s="50"/>
    </row>
    <row r="343" spans="1:13">
      <c r="A343" s="474"/>
      <c r="B343" s="930" t="s">
        <v>394</v>
      </c>
      <c r="C343" s="945"/>
      <c r="D343" s="981">
        <v>144540</v>
      </c>
      <c r="E343" s="994"/>
      <c r="F343" s="945"/>
      <c r="G343" s="958"/>
      <c r="H343" s="958"/>
      <c r="I343" s="50"/>
      <c r="J343" s="50"/>
      <c r="K343" s="50"/>
      <c r="L343" s="50"/>
      <c r="M343" s="50"/>
    </row>
    <row r="344" spans="1:13">
      <c r="A344" s="474"/>
      <c r="B344" s="930" t="s">
        <v>395</v>
      </c>
      <c r="C344" s="945"/>
      <c r="D344" s="981">
        <v>497970</v>
      </c>
      <c r="E344" s="994"/>
      <c r="F344" s="945"/>
      <c r="G344" s="958"/>
      <c r="H344" s="958"/>
      <c r="I344" s="50"/>
      <c r="J344" s="50"/>
      <c r="K344" s="50"/>
      <c r="L344" s="50"/>
      <c r="M344" s="50"/>
    </row>
    <row r="345" spans="1:13" ht="27" thickBot="1">
      <c r="A345" s="475"/>
      <c r="B345" s="931" t="s">
        <v>396</v>
      </c>
      <c r="C345" s="946"/>
      <c r="D345" s="982">
        <v>75240</v>
      </c>
      <c r="E345" s="995"/>
      <c r="F345" s="946"/>
      <c r="G345" s="1003"/>
      <c r="H345" s="1003"/>
      <c r="I345" s="50"/>
      <c r="J345" s="50"/>
      <c r="K345" s="50"/>
      <c r="L345" s="50"/>
      <c r="M345" s="50"/>
    </row>
    <row r="346" spans="1:13">
      <c r="B346" s="54"/>
      <c r="C346" s="463"/>
      <c r="D346" s="464"/>
    </row>
    <row r="347" spans="1:13">
      <c r="C347" s="463"/>
      <c r="D347" s="464"/>
    </row>
    <row r="348" spans="1:13">
      <c r="C348" s="31"/>
      <c r="D348" s="465"/>
    </row>
    <row r="349" spans="1:13">
      <c r="A349" s="397"/>
      <c r="C349" s="52"/>
      <c r="D349" s="377"/>
    </row>
    <row r="350" spans="1:13">
      <c r="C350" s="52"/>
      <c r="D350" s="377"/>
    </row>
    <row r="351" spans="1:13">
      <c r="C351" s="52"/>
      <c r="D351" s="378"/>
    </row>
    <row r="352" spans="1:13">
      <c r="A352" s="397"/>
      <c r="C352" s="52"/>
      <c r="D352" s="377"/>
    </row>
    <row r="353" spans="1:4">
      <c r="A353" s="397"/>
      <c r="C353" s="376"/>
      <c r="D353" s="377"/>
    </row>
    <row r="354" spans="1:4">
      <c r="A354" s="397"/>
      <c r="C354" s="52"/>
      <c r="D354" s="377"/>
    </row>
    <row r="355" spans="1:4">
      <c r="A355" s="397"/>
      <c r="C355" s="376"/>
      <c r="D355" s="377"/>
    </row>
    <row r="356" spans="1:4">
      <c r="C356" s="52"/>
      <c r="D356" s="53"/>
    </row>
    <row r="357" spans="1:4">
      <c r="D357"/>
    </row>
  </sheetData>
  <autoFilter ref="B2:B345"/>
  <sortState ref="A3:H75">
    <sortCondition ref="B3"/>
  </sortState>
  <mergeCells count="1">
    <mergeCell ref="A1:D1"/>
  </mergeCells>
  <pageMargins left="0.7" right="0.7" top="0.75" bottom="0.75" header="0.3" footer="0.3"/>
  <pageSetup paperSize="9" scale="95" orientation="portrait" r:id="rId1"/>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652</v>
      </c>
      <c r="H7" s="61"/>
    </row>
    <row r="8" spans="1:8">
      <c r="A8" s="60" t="s">
        <v>653</v>
      </c>
      <c r="B8" s="62"/>
      <c r="C8" s="61"/>
      <c r="D8" s="62"/>
      <c r="E8" s="62"/>
      <c r="F8" s="62"/>
      <c r="G8" s="62" t="s">
        <v>654</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1327</v>
      </c>
      <c r="B12" s="1481"/>
      <c r="C12" s="1482"/>
      <c r="D12" s="68"/>
      <c r="E12" s="86"/>
      <c r="F12" s="161"/>
      <c r="G12" s="71">
        <f>H38*10%</f>
        <v>398.49132432149509</v>
      </c>
      <c r="H12" s="72"/>
    </row>
    <row r="13" spans="1:8">
      <c r="A13" s="175" t="s">
        <v>655</v>
      </c>
      <c r="B13" s="176"/>
      <c r="C13" s="174"/>
      <c r="D13" s="174" t="s">
        <v>19</v>
      </c>
      <c r="E13" s="173">
        <f>+'EQUIPOS '!D30</f>
        <v>141600</v>
      </c>
      <c r="F13" s="69">
        <v>1.5</v>
      </c>
      <c r="G13" s="173">
        <f>+E13/F13</f>
        <v>94400</v>
      </c>
      <c r="H13" s="72"/>
    </row>
    <row r="14" spans="1:8">
      <c r="A14" s="1483" t="s">
        <v>643</v>
      </c>
      <c r="B14" s="1484"/>
      <c r="C14" s="1485"/>
      <c r="D14" s="73" t="s">
        <v>6</v>
      </c>
      <c r="E14" s="74">
        <f>+'EQUIPOS '!D4</f>
        <v>87000</v>
      </c>
      <c r="F14" s="69">
        <v>17</v>
      </c>
      <c r="G14" s="71">
        <f>+E14/F14</f>
        <v>5117.6470588235297</v>
      </c>
      <c r="H14" s="72"/>
    </row>
    <row r="15" spans="1:8">
      <c r="A15" s="1463" t="s">
        <v>186</v>
      </c>
      <c r="B15" s="1464"/>
      <c r="C15" s="1465"/>
      <c r="D15" s="73" t="s">
        <v>6</v>
      </c>
      <c r="E15" s="74">
        <f>+'EQUIPOS '!D15</f>
        <v>100000</v>
      </c>
      <c r="F15" s="69">
        <v>16</v>
      </c>
      <c r="G15" s="71">
        <f>+E15/F15</f>
        <v>6250</v>
      </c>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106166.13838314502</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656</v>
      </c>
      <c r="B34" s="84"/>
      <c r="C34" s="103">
        <f>+SALARIOS!C49*4</f>
        <v>102288</v>
      </c>
      <c r="D34" s="104">
        <f>+SALARIOS!C48</f>
        <v>1.7846558312967005</v>
      </c>
      <c r="E34" s="69">
        <f>+C34*D34</f>
        <v>182548.87567167688</v>
      </c>
      <c r="F34" s="69">
        <v>45.81</v>
      </c>
      <c r="G34" s="105">
        <f>+E34/F34</f>
        <v>3984.9132432149504</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3984.9132432149504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110151.05162635997</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16522.657743953994</v>
      </c>
      <c r="H43" s="117"/>
    </row>
    <row r="44" spans="1:8">
      <c r="A44" s="83" t="s">
        <v>513</v>
      </c>
      <c r="B44" s="84"/>
      <c r="C44" s="84"/>
      <c r="D44" s="84"/>
      <c r="E44" s="85"/>
      <c r="F44" s="115">
        <f>(SALARIOS!C46)</f>
        <v>0.05</v>
      </c>
      <c r="G44" s="116">
        <f>+F44*H40</f>
        <v>5507.5525813179993</v>
      </c>
      <c r="H44" s="117"/>
    </row>
    <row r="45" spans="1:8" ht="15.75" thickBot="1">
      <c r="A45" s="89" t="s">
        <v>514</v>
      </c>
      <c r="B45" s="90"/>
      <c r="C45" s="90"/>
      <c r="D45" s="90"/>
      <c r="E45" s="91"/>
      <c r="F45" s="118">
        <f>SALARIOS!C47</f>
        <v>0.05</v>
      </c>
      <c r="G45" s="119">
        <f>+F45*H40</f>
        <v>5507.5525813179993</v>
      </c>
      <c r="H45" s="80"/>
    </row>
    <row r="46" spans="1:8" ht="15.75" thickBot="1">
      <c r="A46" s="61"/>
      <c r="B46" s="61"/>
      <c r="C46" s="61"/>
      <c r="D46" s="61"/>
      <c r="E46" s="61"/>
      <c r="F46" s="61"/>
      <c r="G46" s="81" t="s">
        <v>491</v>
      </c>
      <c r="H46" s="120">
        <f>SUM(G43:G45)</f>
        <v>27537.762906589993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137689</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election activeCell="D16" sqref="D16"/>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657</v>
      </c>
      <c r="H7" s="61"/>
    </row>
    <row r="8" spans="1:8">
      <c r="A8" s="60" t="s">
        <v>658</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1327</v>
      </c>
      <c r="B12" s="1481"/>
      <c r="C12" s="1482"/>
      <c r="D12" s="68"/>
      <c r="E12" s="86"/>
      <c r="F12" s="161"/>
      <c r="G12" s="71">
        <f>H38*10%</f>
        <v>3521.0069780929707</v>
      </c>
      <c r="H12" s="72"/>
    </row>
    <row r="13" spans="1:8">
      <c r="A13" s="175" t="s">
        <v>220</v>
      </c>
      <c r="B13" s="176"/>
      <c r="C13" s="174"/>
      <c r="D13" s="174" t="s">
        <v>1</v>
      </c>
      <c r="E13" s="173">
        <f>+'EQUIPOS '!D11</f>
        <v>1500</v>
      </c>
      <c r="F13" s="69">
        <v>0.5</v>
      </c>
      <c r="G13" s="173">
        <f>+E13/F13</f>
        <v>3000</v>
      </c>
      <c r="H13" s="72"/>
    </row>
    <row r="14" spans="1:8">
      <c r="A14" s="1483" t="s">
        <v>182</v>
      </c>
      <c r="B14" s="1484"/>
      <c r="C14" s="1485"/>
      <c r="D14" s="73" t="s">
        <v>17</v>
      </c>
      <c r="E14" s="74">
        <f>+'EQUIPOS '!D7</f>
        <v>42340</v>
      </c>
      <c r="F14" s="161">
        <v>10</v>
      </c>
      <c r="G14" s="71">
        <f>+E14/F14</f>
        <v>4234</v>
      </c>
      <c r="H14" s="72"/>
    </row>
    <row r="15" spans="1:8">
      <c r="A15" s="1486" t="s">
        <v>1326</v>
      </c>
      <c r="B15" s="1487"/>
      <c r="C15" s="1488"/>
      <c r="D15" s="445" t="s">
        <v>6</v>
      </c>
      <c r="E15" s="839">
        <f>+'EQUIPOS '!D6</f>
        <v>5292.5</v>
      </c>
      <c r="F15" s="840">
        <v>1</v>
      </c>
      <c r="G15" s="434">
        <f>E15*F15</f>
        <v>5292.5</v>
      </c>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16047.50697809297</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194</v>
      </c>
      <c r="B21" s="84"/>
      <c r="C21" s="85"/>
      <c r="D21" s="141" t="s">
        <v>19</v>
      </c>
      <c r="E21" s="139">
        <f>'5,5'!H26</f>
        <v>345913.20750000002</v>
      </c>
      <c r="F21" s="137">
        <v>0.13</v>
      </c>
      <c r="G21" s="137">
        <f>+E21*F21</f>
        <v>44968.716975000003</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44968.716975000003</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659</v>
      </c>
      <c r="B34" s="84"/>
      <c r="C34" s="103">
        <f>+SALARIOS!C49*3</f>
        <v>76716</v>
      </c>
      <c r="D34" s="104">
        <f>+SALARIOS!C48</f>
        <v>1.7846558312967005</v>
      </c>
      <c r="E34" s="69">
        <f>+C34*D34</f>
        <v>136911.65675375768</v>
      </c>
      <c r="F34" s="69">
        <v>6</v>
      </c>
      <c r="G34" s="105">
        <f>+E34/F34</f>
        <v>22818.609458959614</v>
      </c>
      <c r="H34" s="72"/>
    </row>
    <row r="35" spans="1:8">
      <c r="A35" s="83" t="s">
        <v>624</v>
      </c>
      <c r="B35" s="84"/>
      <c r="C35" s="103">
        <f>+SALARIOS!C50</f>
        <v>41660</v>
      </c>
      <c r="D35" s="104">
        <f>+SALARIOS!C48</f>
        <v>1.7846558312967005</v>
      </c>
      <c r="E35" s="69">
        <f>+C35*D35</f>
        <v>74348.76193182054</v>
      </c>
      <c r="F35" s="69">
        <v>6</v>
      </c>
      <c r="G35" s="105">
        <f>+E35/F35</f>
        <v>12391.460321970089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35210.069780929705</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96226.293734022678</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14433.944060103402</v>
      </c>
      <c r="H43" s="117"/>
    </row>
    <row r="44" spans="1:8">
      <c r="A44" s="83" t="s">
        <v>513</v>
      </c>
      <c r="B44" s="84"/>
      <c r="C44" s="84"/>
      <c r="D44" s="84"/>
      <c r="E44" s="85"/>
      <c r="F44" s="115">
        <f>(SALARIOS!C46)</f>
        <v>0.05</v>
      </c>
      <c r="G44" s="116">
        <f>+F44*H40</f>
        <v>4811.3146867011337</v>
      </c>
      <c r="H44" s="117"/>
    </row>
    <row r="45" spans="1:8" ht="15.75" thickBot="1">
      <c r="A45" s="89" t="s">
        <v>514</v>
      </c>
      <c r="B45" s="90"/>
      <c r="C45" s="90"/>
      <c r="D45" s="90"/>
      <c r="E45" s="91"/>
      <c r="F45" s="118">
        <f>SALARIOS!C47</f>
        <v>0.05</v>
      </c>
      <c r="G45" s="119">
        <f>+F45*H40</f>
        <v>4811.3146867011337</v>
      </c>
      <c r="H45" s="80"/>
    </row>
    <row r="46" spans="1:8" ht="15.75" thickBot="1">
      <c r="A46" s="61"/>
      <c r="B46" s="61"/>
      <c r="C46" s="61"/>
      <c r="D46" s="61"/>
      <c r="E46" s="61"/>
      <c r="F46" s="61"/>
      <c r="G46" s="81" t="s">
        <v>491</v>
      </c>
      <c r="H46" s="120">
        <f>SUM(G43:G45)</f>
        <v>24056.57343350567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120283</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topLeftCell="A7" workbookViewId="0">
      <selection activeCell="D16" sqref="D16"/>
    </sheetView>
  </sheetViews>
  <sheetFormatPr baseColWidth="10" defaultRowHeight="15"/>
  <cols>
    <col min="5" max="5"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660</v>
      </c>
      <c r="H7" s="61"/>
    </row>
    <row r="8" spans="1:8">
      <c r="A8" s="60" t="s">
        <v>661</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1327</v>
      </c>
      <c r="B12" s="1481"/>
      <c r="C12" s="1482"/>
      <c r="D12" s="68"/>
      <c r="E12" s="86"/>
      <c r="F12" s="161"/>
      <c r="G12" s="71">
        <f>H38*10%</f>
        <v>3521.0069780929707</v>
      </c>
      <c r="H12" s="72"/>
    </row>
    <row r="13" spans="1:8">
      <c r="A13" s="175" t="s">
        <v>220</v>
      </c>
      <c r="B13" s="176"/>
      <c r="C13" s="174"/>
      <c r="D13" s="174" t="s">
        <v>1</v>
      </c>
      <c r="E13" s="173">
        <f>+'EQUIPOS '!D11</f>
        <v>1500</v>
      </c>
      <c r="F13" s="69">
        <v>0.5</v>
      </c>
      <c r="G13" s="173">
        <f>+E13/F13</f>
        <v>3000</v>
      </c>
      <c r="H13" s="72"/>
    </row>
    <row r="14" spans="1:8">
      <c r="A14" s="1483" t="s">
        <v>182</v>
      </c>
      <c r="B14" s="1484"/>
      <c r="C14" s="1485"/>
      <c r="D14" s="73" t="s">
        <v>17</v>
      </c>
      <c r="E14" s="74">
        <f>+'EQUIPOS '!D7</f>
        <v>42340</v>
      </c>
      <c r="F14" s="69">
        <v>10</v>
      </c>
      <c r="G14" s="71">
        <f>+E14/F14</f>
        <v>4234</v>
      </c>
      <c r="H14" s="72"/>
    </row>
    <row r="15" spans="1:8">
      <c r="A15" s="1486" t="s">
        <v>1326</v>
      </c>
      <c r="B15" s="1487"/>
      <c r="C15" s="1488"/>
      <c r="D15" s="445" t="s">
        <v>6</v>
      </c>
      <c r="E15" s="839">
        <f>+'EQUIPOS '!D6</f>
        <v>5292.5</v>
      </c>
      <c r="F15" s="815">
        <v>1</v>
      </c>
      <c r="G15" s="434">
        <f>E15*F15</f>
        <v>5292.5</v>
      </c>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16047.50697809297</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194</v>
      </c>
      <c r="B21" s="84"/>
      <c r="C21" s="85"/>
      <c r="D21" s="141" t="s">
        <v>19</v>
      </c>
      <c r="E21" s="139">
        <f>'5,5'!H26</f>
        <v>345913.20750000002</v>
      </c>
      <c r="F21" s="137">
        <v>0.15</v>
      </c>
      <c r="G21" s="137">
        <f>+E21*F21</f>
        <v>51886.981124999998</v>
      </c>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51886.981124999998</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69"/>
      <c r="H28" s="72"/>
    </row>
    <row r="29" spans="1:8">
      <c r="A29" s="83"/>
      <c r="B29" s="84"/>
      <c r="C29" s="98"/>
      <c r="D29" s="68"/>
      <c r="E29" s="99"/>
      <c r="F29" s="69"/>
      <c r="G29" s="69"/>
      <c r="H29" s="72"/>
    </row>
    <row r="30" spans="1:8" ht="15.75" thickBot="1">
      <c r="A30" s="100"/>
      <c r="B30" s="101"/>
      <c r="C30" s="76"/>
      <c r="D30" s="77"/>
      <c r="E30" s="78"/>
      <c r="F30" s="79"/>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659</v>
      </c>
      <c r="B34" s="84"/>
      <c r="C34" s="103">
        <f>+SALARIOS!C49*3</f>
        <v>76716</v>
      </c>
      <c r="D34" s="104">
        <f>+SALARIOS!C48</f>
        <v>1.7846558312967005</v>
      </c>
      <c r="E34" s="69">
        <f>+C34*D34</f>
        <v>136911.65675375768</v>
      </c>
      <c r="F34" s="69">
        <v>6</v>
      </c>
      <c r="G34" s="105">
        <f>+E34/F34</f>
        <v>22818.609458959614</v>
      </c>
      <c r="H34" s="72"/>
    </row>
    <row r="35" spans="1:8">
      <c r="A35" s="83" t="s">
        <v>624</v>
      </c>
      <c r="B35" s="84"/>
      <c r="C35" s="103">
        <f>+SALARIOS!C50</f>
        <v>41660</v>
      </c>
      <c r="D35" s="104">
        <f>+SALARIOS!C48</f>
        <v>1.7846558312967005</v>
      </c>
      <c r="E35" s="69">
        <f>+C35*D35</f>
        <v>74348.76193182054</v>
      </c>
      <c r="F35" s="69">
        <v>6</v>
      </c>
      <c r="G35" s="105">
        <f>+E35/F35</f>
        <v>12391.460321970089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35210.069780929705</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103144.55788402268</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15471.683682603401</v>
      </c>
      <c r="H43" s="117"/>
    </row>
    <row r="44" spans="1:8">
      <c r="A44" s="83" t="s">
        <v>513</v>
      </c>
      <c r="B44" s="84"/>
      <c r="C44" s="84"/>
      <c r="D44" s="84"/>
      <c r="E44" s="85"/>
      <c r="F44" s="115">
        <f>(SALARIOS!C46)</f>
        <v>0.05</v>
      </c>
      <c r="G44" s="116">
        <f>+F44*H40</f>
        <v>5157.2278942011344</v>
      </c>
      <c r="H44" s="117"/>
    </row>
    <row r="45" spans="1:8" ht="15.75" thickBot="1">
      <c r="A45" s="89" t="s">
        <v>514</v>
      </c>
      <c r="B45" s="90"/>
      <c r="C45" s="90"/>
      <c r="D45" s="90"/>
      <c r="E45" s="91"/>
      <c r="F45" s="118">
        <f>SALARIOS!C47</f>
        <v>0.05</v>
      </c>
      <c r="G45" s="119">
        <f>+F45*H40</f>
        <v>5157.2278942011344</v>
      </c>
      <c r="H45" s="80"/>
    </row>
    <row r="46" spans="1:8" ht="15.75" thickBot="1">
      <c r="A46" s="61"/>
      <c r="B46" s="61"/>
      <c r="C46" s="61"/>
      <c r="D46" s="61"/>
      <c r="E46" s="61"/>
      <c r="F46" s="61"/>
      <c r="G46" s="81" t="s">
        <v>491</v>
      </c>
      <c r="H46" s="120">
        <f>SUM(G43:G45)</f>
        <v>25786.13947100567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128931</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election activeCell="A29" sqref="A29:G3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662</v>
      </c>
      <c r="H7" s="61"/>
    </row>
    <row r="8" spans="1:8">
      <c r="A8" s="60" t="s">
        <v>663</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1327</v>
      </c>
      <c r="B12" s="1481"/>
      <c r="C12" s="1482"/>
      <c r="D12" s="68"/>
      <c r="E12" s="86"/>
      <c r="F12" s="161"/>
      <c r="G12" s="71">
        <f>H38*10%</f>
        <v>2160.9632608672619</v>
      </c>
      <c r="H12" s="72"/>
    </row>
    <row r="13" spans="1:8">
      <c r="A13" s="175" t="s">
        <v>110</v>
      </c>
      <c r="B13" s="176"/>
      <c r="C13" s="174"/>
      <c r="D13" s="174" t="s">
        <v>6</v>
      </c>
      <c r="E13" s="173">
        <f>+'EQUIPOS '!D12</f>
        <v>115999.99999999999</v>
      </c>
      <c r="F13" s="69">
        <v>17</v>
      </c>
      <c r="G13" s="173">
        <f>+E13/F13</f>
        <v>6823.5294117647054</v>
      </c>
      <c r="H13" s="72"/>
    </row>
    <row r="14" spans="1:8">
      <c r="A14" s="1483" t="s">
        <v>185</v>
      </c>
      <c r="B14" s="1484"/>
      <c r="C14" s="1485"/>
      <c r="D14" s="73" t="s">
        <v>6</v>
      </c>
      <c r="E14" s="74">
        <f>+'EQUIPOS '!D4</f>
        <v>87000</v>
      </c>
      <c r="F14" s="69">
        <v>17</v>
      </c>
      <c r="G14" s="71">
        <f>+E14/F14</f>
        <v>5117.6470588235297</v>
      </c>
      <c r="H14" s="72"/>
    </row>
    <row r="15" spans="1:8">
      <c r="A15" s="1463" t="s">
        <v>184</v>
      </c>
      <c r="B15" s="1464"/>
      <c r="C15" s="1465"/>
      <c r="D15" s="73" t="s">
        <v>19</v>
      </c>
      <c r="E15" s="74">
        <f>+'EQUIPOS '!D30</f>
        <v>141600</v>
      </c>
      <c r="F15" s="69">
        <v>20</v>
      </c>
      <c r="G15" s="71">
        <f>+E15/F15</f>
        <v>7080</v>
      </c>
      <c r="H15" s="72"/>
    </row>
    <row r="16" spans="1:8">
      <c r="A16" s="1463" t="s">
        <v>186</v>
      </c>
      <c r="B16" s="1464"/>
      <c r="C16" s="1465"/>
      <c r="D16" s="73" t="s">
        <v>6</v>
      </c>
      <c r="E16" s="74">
        <f>+'EQUIPOS '!D15</f>
        <v>100000</v>
      </c>
      <c r="F16" s="69">
        <v>20</v>
      </c>
      <c r="G16" s="71">
        <f>+E16/F16</f>
        <v>5000</v>
      </c>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26182.1397314555</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1860</v>
      </c>
      <c r="B21" s="84"/>
      <c r="C21" s="85"/>
      <c r="D21" s="141" t="s">
        <v>19</v>
      </c>
      <c r="E21" s="139">
        <f>+MATERIALES!D54</f>
        <v>38164</v>
      </c>
      <c r="F21" s="163">
        <v>0.3</v>
      </c>
      <c r="G21" s="137">
        <f>+E21*F21</f>
        <v>11449.199999999999</v>
      </c>
      <c r="H21" s="59"/>
    </row>
    <row r="22" spans="1:8">
      <c r="A22" s="127" t="s">
        <v>1888</v>
      </c>
      <c r="B22" s="84"/>
      <c r="C22" s="85"/>
      <c r="D22" s="68" t="s">
        <v>19</v>
      </c>
      <c r="E22" s="142">
        <f>+MATERIALES!D72</f>
        <v>398000</v>
      </c>
      <c r="F22" s="70">
        <v>0.05</v>
      </c>
      <c r="G22" s="69">
        <f>+E22*F22</f>
        <v>19900</v>
      </c>
      <c r="H22" s="59"/>
    </row>
    <row r="23" spans="1:8">
      <c r="A23" s="128" t="s">
        <v>214</v>
      </c>
      <c r="B23" s="129"/>
      <c r="C23" s="130"/>
      <c r="D23" s="131" t="s">
        <v>19</v>
      </c>
      <c r="E23" s="132">
        <f>+MATERIALES!D9</f>
        <v>395.85714285714289</v>
      </c>
      <c r="F23" s="133">
        <v>0.25</v>
      </c>
      <c r="G23" s="138">
        <f>+E23*F23</f>
        <v>98.964285714285722</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31448.164285714283</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t="s">
        <v>664</v>
      </c>
      <c r="B28" s="84"/>
      <c r="C28" s="95"/>
      <c r="D28" s="96">
        <v>25</v>
      </c>
      <c r="E28" s="96">
        <v>1</v>
      </c>
      <c r="F28" s="97">
        <f>+'EQUIPOS '!D31</f>
        <v>1060</v>
      </c>
      <c r="G28" s="97">
        <f>+D28*E28*F28</f>
        <v>26500</v>
      </c>
      <c r="H28" s="72"/>
    </row>
    <row r="29" spans="1:8">
      <c r="A29" s="83"/>
      <c r="B29" s="84"/>
      <c r="C29" s="98"/>
      <c r="D29" s="68"/>
      <c r="E29" s="96"/>
      <c r="F29" s="97"/>
      <c r="G29" s="97"/>
      <c r="H29" s="72"/>
    </row>
    <row r="30" spans="1:8" ht="15.75" thickBot="1">
      <c r="A30" s="100"/>
      <c r="B30" s="101"/>
      <c r="C30" s="76"/>
      <c r="D30" s="76"/>
      <c r="E30" s="76"/>
      <c r="F30" s="212"/>
      <c r="G30" s="76"/>
      <c r="H30" s="72"/>
    </row>
    <row r="31" spans="1:8" ht="15.75" thickBot="1">
      <c r="A31" s="61"/>
      <c r="B31" s="61"/>
      <c r="C31" s="61"/>
      <c r="D31" s="61"/>
      <c r="E31" s="61"/>
      <c r="F31" s="61"/>
      <c r="G31" s="81" t="s">
        <v>491</v>
      </c>
      <c r="H31" s="82">
        <f>SUM(G28:G30)</f>
        <v>26500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667</v>
      </c>
      <c r="B34" s="84"/>
      <c r="C34" s="103">
        <f>+SALARIOS!C49*5</f>
        <v>127860</v>
      </c>
      <c r="D34" s="104">
        <f>+SALARIOS!C48</f>
        <v>1.7846558312967005</v>
      </c>
      <c r="E34" s="69">
        <f>+C34*D34</f>
        <v>228186.09458959612</v>
      </c>
      <c r="F34" s="69">
        <v>14</v>
      </c>
      <c r="G34" s="105">
        <f>+E34/F34</f>
        <v>16299.006756399724</v>
      </c>
      <c r="H34" s="72"/>
    </row>
    <row r="35" spans="1:8">
      <c r="A35" s="83" t="s">
        <v>624</v>
      </c>
      <c r="B35" s="84"/>
      <c r="C35" s="103">
        <f>+SALARIOS!C50</f>
        <v>41660</v>
      </c>
      <c r="D35" s="104">
        <f>+SALARIOS!C48</f>
        <v>1.7846558312967005</v>
      </c>
      <c r="E35" s="69">
        <f>+C35*D35</f>
        <v>74348.76193182054</v>
      </c>
      <c r="F35" s="69">
        <v>14</v>
      </c>
      <c r="G35" s="105">
        <f>+E35/F35</f>
        <v>5310.6258522728958</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21609.632608672619</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105739.9366258424</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15860.990493876359</v>
      </c>
      <c r="H43" s="117"/>
    </row>
    <row r="44" spans="1:8">
      <c r="A44" s="83" t="s">
        <v>513</v>
      </c>
      <c r="B44" s="84"/>
      <c r="C44" s="84"/>
      <c r="D44" s="84"/>
      <c r="E44" s="85"/>
      <c r="F44" s="115">
        <f>(SALARIOS!C46)</f>
        <v>0.05</v>
      </c>
      <c r="G44" s="116">
        <f>+F44*H40</f>
        <v>5286.9968312921201</v>
      </c>
      <c r="H44" s="117"/>
    </row>
    <row r="45" spans="1:8" ht="15.75" thickBot="1">
      <c r="A45" s="89" t="s">
        <v>514</v>
      </c>
      <c r="B45" s="90"/>
      <c r="C45" s="90"/>
      <c r="D45" s="90"/>
      <c r="E45" s="91"/>
      <c r="F45" s="118">
        <f>SALARIOS!C47</f>
        <v>0.05</v>
      </c>
      <c r="G45" s="119">
        <f>+F45*H40</f>
        <v>5286.9968312921201</v>
      </c>
      <c r="H45" s="80"/>
    </row>
    <row r="46" spans="1:8" ht="15.75" thickBot="1">
      <c r="A46" s="61"/>
      <c r="B46" s="61"/>
      <c r="C46" s="61"/>
      <c r="D46" s="61"/>
      <c r="E46" s="61"/>
      <c r="F46" s="61"/>
      <c r="G46" s="81" t="s">
        <v>491</v>
      </c>
      <c r="H46" s="120">
        <f>SUM(G43:G45)</f>
        <v>26434.984156460599</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132175</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election activeCell="A29" sqref="A29:G30"/>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668</v>
      </c>
      <c r="H7" s="61"/>
    </row>
    <row r="8" spans="1:8">
      <c r="A8" s="60" t="s">
        <v>669</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3</v>
      </c>
      <c r="B12" s="1481"/>
      <c r="C12" s="1482"/>
      <c r="D12" s="68" t="s">
        <v>549</v>
      </c>
      <c r="E12" s="86">
        <v>3500</v>
      </c>
      <c r="F12" s="161">
        <v>1</v>
      </c>
      <c r="G12" s="71">
        <f>+E12*F12</f>
        <v>3500</v>
      </c>
      <c r="H12" s="72"/>
    </row>
    <row r="13" spans="1:8">
      <c r="A13" s="175" t="s">
        <v>110</v>
      </c>
      <c r="B13" s="176"/>
      <c r="C13" s="174"/>
      <c r="D13" s="174" t="s">
        <v>6</v>
      </c>
      <c r="E13" s="173">
        <f>+'EQUIPOS '!D12</f>
        <v>115999.99999999999</v>
      </c>
      <c r="F13" s="69">
        <v>9</v>
      </c>
      <c r="G13" s="173">
        <f>+E13/F13</f>
        <v>12888.888888888887</v>
      </c>
      <c r="H13" s="72"/>
    </row>
    <row r="14" spans="1:8">
      <c r="A14" s="1483" t="s">
        <v>185</v>
      </c>
      <c r="B14" s="1484"/>
      <c r="C14" s="1485"/>
      <c r="D14" s="73" t="s">
        <v>6</v>
      </c>
      <c r="E14" s="74">
        <f>+'EQUIPOS '!D4</f>
        <v>87000</v>
      </c>
      <c r="F14" s="69">
        <v>9</v>
      </c>
      <c r="G14" s="71">
        <f>+E14/F14</f>
        <v>9666.6666666666661</v>
      </c>
      <c r="H14" s="72"/>
    </row>
    <row r="15" spans="1:8">
      <c r="A15" s="1463" t="s">
        <v>184</v>
      </c>
      <c r="B15" s="1464"/>
      <c r="C15" s="1465"/>
      <c r="D15" s="73" t="s">
        <v>19</v>
      </c>
      <c r="E15" s="74">
        <f>+'EQUIPOS '!D30</f>
        <v>141600</v>
      </c>
      <c r="F15" s="69">
        <v>10</v>
      </c>
      <c r="G15" s="71">
        <f>+E15/F15</f>
        <v>14160</v>
      </c>
      <c r="H15" s="72"/>
    </row>
    <row r="16" spans="1:8">
      <c r="A16" s="1463" t="s">
        <v>186</v>
      </c>
      <c r="B16" s="1464"/>
      <c r="C16" s="1465"/>
      <c r="D16" s="73" t="s">
        <v>6</v>
      </c>
      <c r="E16" s="74">
        <f>+'EQUIPOS '!D15</f>
        <v>100000</v>
      </c>
      <c r="F16" s="69">
        <v>10</v>
      </c>
      <c r="G16" s="71">
        <f>+E16/F16</f>
        <v>10000</v>
      </c>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50215.555555555555</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215</v>
      </c>
      <c r="B21" s="84"/>
      <c r="C21" s="85"/>
      <c r="D21" s="141" t="s">
        <v>19</v>
      </c>
      <c r="E21" s="139">
        <f>+MATERIALES!D10</f>
        <v>4576.5866666666661</v>
      </c>
      <c r="F21" s="163">
        <v>0.3</v>
      </c>
      <c r="G21" s="137">
        <f>+E21*F21</f>
        <v>1372.9759999999999</v>
      </c>
      <c r="H21" s="59"/>
    </row>
    <row r="22" spans="1:8">
      <c r="A22" s="127" t="s">
        <v>222</v>
      </c>
      <c r="B22" s="84"/>
      <c r="C22" s="85"/>
      <c r="D22" s="68" t="s">
        <v>19</v>
      </c>
      <c r="E22" s="142">
        <f>+MATERIALES!D72</f>
        <v>398000</v>
      </c>
      <c r="F22" s="70">
        <v>7.4999999999999997E-2</v>
      </c>
      <c r="G22" s="69">
        <f>+E22*F22</f>
        <v>29850</v>
      </c>
      <c r="H22" s="59"/>
    </row>
    <row r="23" spans="1:8">
      <c r="A23" s="128" t="s">
        <v>214</v>
      </c>
      <c r="B23" s="129"/>
      <c r="C23" s="130"/>
      <c r="D23" s="131" t="s">
        <v>19</v>
      </c>
      <c r="E23" s="132">
        <f>+MATERIALES!D9</f>
        <v>395.85714285714289</v>
      </c>
      <c r="F23" s="133">
        <v>0.25</v>
      </c>
      <c r="G23" s="138">
        <f>+E23*F23</f>
        <v>98.964285714285722</v>
      </c>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31321.940285714285</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t="s">
        <v>664</v>
      </c>
      <c r="B28" s="84"/>
      <c r="C28" s="95"/>
      <c r="D28" s="96">
        <v>25</v>
      </c>
      <c r="E28" s="96">
        <v>1</v>
      </c>
      <c r="F28" s="97">
        <f>+'EQUIPOS '!D31</f>
        <v>1060</v>
      </c>
      <c r="G28" s="97">
        <f>+D28*E28*F28</f>
        <v>26500</v>
      </c>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26500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667</v>
      </c>
      <c r="B34" s="84"/>
      <c r="C34" s="103">
        <f>+SALARIOS!C49*5</f>
        <v>127860</v>
      </c>
      <c r="D34" s="104">
        <f>+SALARIOS!C48</f>
        <v>1.7846558312967005</v>
      </c>
      <c r="E34" s="69">
        <f>+C34*D34</f>
        <v>228186.09458959612</v>
      </c>
      <c r="F34" s="69">
        <v>14</v>
      </c>
      <c r="G34" s="105">
        <f>+E34/F34</f>
        <v>16299.006756399724</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16299.006756399724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124336.50259766958</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18650.475389650437</v>
      </c>
      <c r="H43" s="117"/>
    </row>
    <row r="44" spans="1:8">
      <c r="A44" s="83" t="s">
        <v>513</v>
      </c>
      <c r="B44" s="84"/>
      <c r="C44" s="84"/>
      <c r="D44" s="84"/>
      <c r="E44" s="85"/>
      <c r="F44" s="115">
        <f>(SALARIOS!C46)</f>
        <v>0.05</v>
      </c>
      <c r="G44" s="116">
        <f>+F44*H40</f>
        <v>6216.8251298834793</v>
      </c>
      <c r="H44" s="117"/>
    </row>
    <row r="45" spans="1:8" ht="15.75" thickBot="1">
      <c r="A45" s="89" t="s">
        <v>514</v>
      </c>
      <c r="B45" s="90"/>
      <c r="C45" s="90"/>
      <c r="D45" s="90"/>
      <c r="E45" s="91"/>
      <c r="F45" s="118">
        <f>SALARIOS!C47</f>
        <v>0.05</v>
      </c>
      <c r="G45" s="119">
        <f>+F45*H40</f>
        <v>6216.8251298834793</v>
      </c>
      <c r="H45" s="80"/>
    </row>
    <row r="46" spans="1:8" ht="15.75" thickBot="1">
      <c r="A46" s="61"/>
      <c r="B46" s="61"/>
      <c r="C46" s="61"/>
      <c r="D46" s="61"/>
      <c r="E46" s="61"/>
      <c r="F46" s="61"/>
      <c r="G46" s="81" t="s">
        <v>491</v>
      </c>
      <c r="H46" s="120">
        <f>SUM(G43:G45)</f>
        <v>31084.125649417398</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155421</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election activeCell="K34" sqref="K3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670</v>
      </c>
      <c r="H7" s="61"/>
    </row>
    <row r="8" spans="1:8">
      <c r="A8" s="60" t="s">
        <v>671</v>
      </c>
      <c r="B8" s="62"/>
      <c r="C8" s="61"/>
      <c r="D8" s="62"/>
      <c r="E8" s="62"/>
      <c r="F8" s="62"/>
      <c r="G8" s="62" t="s">
        <v>654</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c r="B12" s="1481"/>
      <c r="C12" s="1482"/>
      <c r="D12" s="68"/>
      <c r="E12" s="86"/>
      <c r="F12" s="161"/>
      <c r="G12" s="71"/>
      <c r="H12" s="72"/>
    </row>
    <row r="13" spans="1:8">
      <c r="A13" s="175" t="s">
        <v>3</v>
      </c>
      <c r="B13" s="176"/>
      <c r="C13" s="174"/>
      <c r="D13" s="174" t="s">
        <v>549</v>
      </c>
      <c r="E13" s="173">
        <v>3500</v>
      </c>
      <c r="F13" s="69">
        <v>1</v>
      </c>
      <c r="G13" s="173">
        <f>+E13*F13</f>
        <v>3500</v>
      </c>
      <c r="H13" s="72"/>
    </row>
    <row r="14" spans="1:8">
      <c r="A14" s="1463" t="s">
        <v>185</v>
      </c>
      <c r="B14" s="1464"/>
      <c r="C14" s="1465"/>
      <c r="D14" s="73" t="s">
        <v>6</v>
      </c>
      <c r="E14" s="74">
        <f>+'EQUIPOS '!D4</f>
        <v>87000</v>
      </c>
      <c r="F14" s="69">
        <v>9</v>
      </c>
      <c r="G14" s="71">
        <f>+E14/F14</f>
        <v>9666.6666666666661</v>
      </c>
      <c r="H14" s="72"/>
    </row>
    <row r="15" spans="1:8">
      <c r="A15" s="1463" t="s">
        <v>184</v>
      </c>
      <c r="B15" s="1464"/>
      <c r="C15" s="1465"/>
      <c r="D15" s="73" t="s">
        <v>19</v>
      </c>
      <c r="E15" s="74">
        <f>+'EQUIPOS '!D30</f>
        <v>141600</v>
      </c>
      <c r="F15" s="69">
        <v>9</v>
      </c>
      <c r="G15" s="71">
        <f>+E15/F15</f>
        <v>15733.333333333334</v>
      </c>
      <c r="H15" s="72"/>
    </row>
    <row r="16" spans="1:8">
      <c r="A16" s="1463" t="s">
        <v>186</v>
      </c>
      <c r="B16" s="1464"/>
      <c r="C16" s="1465"/>
      <c r="D16" s="73" t="s">
        <v>6</v>
      </c>
      <c r="E16" s="74">
        <f>+'EQUIPOS '!D15</f>
        <v>100000</v>
      </c>
      <c r="F16" s="69">
        <v>10</v>
      </c>
      <c r="G16" s="71">
        <f>+E16/F16</f>
        <v>10000</v>
      </c>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38900</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221</v>
      </c>
      <c r="B21" s="84"/>
      <c r="C21" s="85"/>
      <c r="D21" s="141" t="s">
        <v>111</v>
      </c>
      <c r="E21" s="139">
        <f>+MATERIALES!D71</f>
        <v>5500</v>
      </c>
      <c r="F21" s="163">
        <v>0.75</v>
      </c>
      <c r="G21" s="137"/>
      <c r="H21" s="59"/>
    </row>
    <row r="22" spans="1:8">
      <c r="A22" s="127" t="s">
        <v>222</v>
      </c>
      <c r="B22" s="84"/>
      <c r="C22" s="85"/>
      <c r="D22" s="68" t="s">
        <v>19</v>
      </c>
      <c r="E22" s="142">
        <f>+MATERIALES!D72</f>
        <v>398000</v>
      </c>
      <c r="F22" s="70">
        <v>1.22</v>
      </c>
      <c r="G22" s="69">
        <f>+E22*F22</f>
        <v>485560</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485560</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t="s">
        <v>664</v>
      </c>
      <c r="B28" s="84"/>
      <c r="C28" s="95"/>
      <c r="D28" s="96">
        <v>25</v>
      </c>
      <c r="E28" s="96">
        <v>1</v>
      </c>
      <c r="F28" s="97">
        <f>+'EQUIPOS '!D34</f>
        <v>45</v>
      </c>
      <c r="G28" s="97">
        <f>+D28*E28*F28</f>
        <v>1125</v>
      </c>
      <c r="H28" s="72"/>
    </row>
    <row r="29" spans="1:8">
      <c r="A29" s="83" t="s">
        <v>665</v>
      </c>
      <c r="B29" s="84"/>
      <c r="C29" s="98"/>
      <c r="D29" s="68">
        <v>25</v>
      </c>
      <c r="E29" s="96">
        <v>1</v>
      </c>
      <c r="F29" s="97">
        <f>+'EQUIPOS '!D36</f>
        <v>225</v>
      </c>
      <c r="G29" s="97">
        <f>+D29*E29*F29</f>
        <v>5625</v>
      </c>
      <c r="H29" s="72"/>
    </row>
    <row r="30" spans="1:8" ht="15.75" thickBot="1">
      <c r="A30" s="100" t="s">
        <v>666</v>
      </c>
      <c r="B30" s="101"/>
      <c r="C30" s="76"/>
      <c r="D30" s="76">
        <v>25</v>
      </c>
      <c r="E30" s="211">
        <v>1</v>
      </c>
      <c r="F30" s="212">
        <f>+'EQUIPOS '!D35</f>
        <v>272.73</v>
      </c>
      <c r="G30" s="76">
        <f>+D30*E30*F30</f>
        <v>6818.25</v>
      </c>
      <c r="H30" s="72"/>
    </row>
    <row r="31" spans="1:8" ht="15.75" thickBot="1">
      <c r="A31" s="61"/>
      <c r="B31" s="61"/>
      <c r="C31" s="61"/>
      <c r="D31" s="61"/>
      <c r="E31" s="61"/>
      <c r="F31" s="61"/>
      <c r="G31" s="81" t="s">
        <v>491</v>
      </c>
      <c r="H31" s="82">
        <f>SUM(G28:G30)</f>
        <v>13568.25</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667</v>
      </c>
      <c r="B34" s="84"/>
      <c r="C34" s="103">
        <f>+SALARIOS!C49*5</f>
        <v>127860</v>
      </c>
      <c r="D34" s="104">
        <f>+SALARIOS!C48</f>
        <v>1.7846558312967005</v>
      </c>
      <c r="E34" s="69">
        <f>+C34*D34</f>
        <v>228186.09458959612</v>
      </c>
      <c r="F34" s="69">
        <v>14</v>
      </c>
      <c r="G34" s="105">
        <f>+E34/F34</f>
        <v>16299.006756399724</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16299.006756399724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554327.25675639976</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83149.088513459967</v>
      </c>
      <c r="H43" s="117"/>
    </row>
    <row r="44" spans="1:8">
      <c r="A44" s="83" t="s">
        <v>513</v>
      </c>
      <c r="B44" s="84"/>
      <c r="C44" s="84"/>
      <c r="D44" s="84"/>
      <c r="E44" s="85"/>
      <c r="F44" s="115">
        <f>(SALARIOS!C46)</f>
        <v>0.05</v>
      </c>
      <c r="G44" s="116">
        <f>+F44*H40</f>
        <v>27716.36283781999</v>
      </c>
      <c r="H44" s="117"/>
    </row>
    <row r="45" spans="1:8" ht="15.75" thickBot="1">
      <c r="A45" s="89" t="s">
        <v>514</v>
      </c>
      <c r="B45" s="90"/>
      <c r="C45" s="90"/>
      <c r="D45" s="90"/>
      <c r="E45" s="91"/>
      <c r="F45" s="118">
        <f>SALARIOS!C47</f>
        <v>0.05</v>
      </c>
      <c r="G45" s="119">
        <f>+F45*H40</f>
        <v>27716.36283781999</v>
      </c>
      <c r="H45" s="80"/>
    </row>
    <row r="46" spans="1:8" ht="15.75" thickBot="1">
      <c r="A46" s="61"/>
      <c r="B46" s="61"/>
      <c r="C46" s="61"/>
      <c r="D46" s="61"/>
      <c r="E46" s="61"/>
      <c r="F46" s="61"/>
      <c r="G46" s="81" t="s">
        <v>491</v>
      </c>
      <c r="H46" s="120">
        <f>SUM(G43:G45)</f>
        <v>138581.81418909994</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692909</v>
      </c>
    </row>
  </sheetData>
  <mergeCells count="12">
    <mergeCell ref="A27:B27"/>
    <mergeCell ref="A33:B33"/>
    <mergeCell ref="A3:C4"/>
    <mergeCell ref="A5:C5"/>
    <mergeCell ref="D5:H5"/>
    <mergeCell ref="A11:C11"/>
    <mergeCell ref="A12:C12"/>
    <mergeCell ref="A14:C14"/>
    <mergeCell ref="A15:C15"/>
    <mergeCell ref="A16:C16"/>
    <mergeCell ref="A17:C17"/>
    <mergeCell ref="A20:C20"/>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7"/>
  <sheetViews>
    <sheetView topLeftCell="A28"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672</v>
      </c>
      <c r="H7" s="61"/>
    </row>
    <row r="8" spans="1:8">
      <c r="A8" s="60" t="s">
        <v>673</v>
      </c>
      <c r="B8" s="62"/>
      <c r="C8" s="61"/>
      <c r="D8" s="62"/>
      <c r="E8" s="62"/>
      <c r="F8" s="62"/>
      <c r="G8" s="62" t="s">
        <v>654</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H37*10%</f>
        <v>12009.794452084008</v>
      </c>
      <c r="H12" s="72"/>
    </row>
    <row r="13" spans="1:8">
      <c r="A13" s="1463" t="s">
        <v>185</v>
      </c>
      <c r="B13" s="1464"/>
      <c r="C13" s="1465"/>
      <c r="D13" s="73" t="s">
        <v>6</v>
      </c>
      <c r="E13" s="74">
        <f>+'EQUIPOS '!D4</f>
        <v>87000</v>
      </c>
      <c r="F13" s="69">
        <v>9</v>
      </c>
      <c r="G13" s="708">
        <f>+E13/F13</f>
        <v>9666.6666666666661</v>
      </c>
      <c r="H13" s="72"/>
    </row>
    <row r="14" spans="1:8">
      <c r="A14" s="1463" t="s">
        <v>184</v>
      </c>
      <c r="B14" s="1464"/>
      <c r="C14" s="1465"/>
      <c r="D14" s="73" t="s">
        <v>19</v>
      </c>
      <c r="E14" s="74">
        <f>+'EQUIPOS '!D30</f>
        <v>141600</v>
      </c>
      <c r="F14" s="69">
        <v>9</v>
      </c>
      <c r="G14" s="708">
        <f>+E14/F14</f>
        <v>15733.333333333334</v>
      </c>
      <c r="H14" s="72"/>
    </row>
    <row r="15" spans="1:8">
      <c r="A15" s="1463" t="s">
        <v>186</v>
      </c>
      <c r="B15" s="1464"/>
      <c r="C15" s="1465"/>
      <c r="D15" s="73" t="s">
        <v>6</v>
      </c>
      <c r="E15" s="74">
        <f>+'EQUIPOS '!D15</f>
        <v>100000</v>
      </c>
      <c r="F15" s="69">
        <v>10</v>
      </c>
      <c r="G15" s="71">
        <f>+E15/F15</f>
        <v>10000</v>
      </c>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SUM(G12:G16)</f>
        <v>47409.79445208401</v>
      </c>
    </row>
    <row r="18" spans="1:8" ht="15.75" thickBot="1">
      <c r="A18" s="63" t="s">
        <v>492</v>
      </c>
      <c r="B18" s="63"/>
      <c r="C18" s="61"/>
      <c r="D18" s="61"/>
      <c r="E18" s="61"/>
      <c r="F18" s="61"/>
      <c r="G18" s="61"/>
      <c r="H18" s="61"/>
    </row>
    <row r="19" spans="1:8">
      <c r="A19" s="1472" t="s">
        <v>485</v>
      </c>
      <c r="B19" s="1473"/>
      <c r="C19" s="1474"/>
      <c r="D19" s="188" t="s">
        <v>493</v>
      </c>
      <c r="E19" s="188" t="s">
        <v>494</v>
      </c>
      <c r="F19" s="188" t="s">
        <v>495</v>
      </c>
      <c r="G19" s="187" t="s">
        <v>489</v>
      </c>
      <c r="H19" s="67"/>
    </row>
    <row r="20" spans="1:8">
      <c r="A20" s="127" t="s">
        <v>221</v>
      </c>
      <c r="B20" s="84"/>
      <c r="C20" s="85"/>
      <c r="D20" s="141" t="s">
        <v>111</v>
      </c>
      <c r="E20" s="139">
        <f>+MATERIALES!D71</f>
        <v>5500</v>
      </c>
      <c r="F20" s="137">
        <v>0.75</v>
      </c>
      <c r="G20" s="137">
        <f>E20*F20</f>
        <v>4125</v>
      </c>
      <c r="H20" s="59"/>
    </row>
    <row r="21" spans="1:8">
      <c r="A21" s="127" t="s">
        <v>1888</v>
      </c>
      <c r="B21" s="84"/>
      <c r="C21" s="85"/>
      <c r="D21" s="68" t="s">
        <v>19</v>
      </c>
      <c r="E21" s="142">
        <f>+MATERIALES!D72</f>
        <v>398000</v>
      </c>
      <c r="F21" s="161">
        <v>1.3</v>
      </c>
      <c r="G21" s="69">
        <f>+E21*F21</f>
        <v>517400</v>
      </c>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521525</v>
      </c>
    </row>
    <row r="25" spans="1:8" ht="15.75" thickBot="1">
      <c r="A25" s="92" t="s">
        <v>496</v>
      </c>
      <c r="B25" s="92"/>
      <c r="C25" s="90"/>
      <c r="D25" s="61"/>
      <c r="E25" s="61"/>
      <c r="F25" s="61"/>
      <c r="G25" s="61"/>
      <c r="H25" s="61"/>
    </row>
    <row r="26" spans="1:8">
      <c r="A26" s="1454" t="s">
        <v>497</v>
      </c>
      <c r="B26" s="1456"/>
      <c r="C26" s="93" t="s">
        <v>498</v>
      </c>
      <c r="D26" s="186" t="s">
        <v>499</v>
      </c>
      <c r="E26" s="186" t="s">
        <v>500</v>
      </c>
      <c r="F26" s="186" t="s">
        <v>501</v>
      </c>
      <c r="G26" s="94" t="s">
        <v>489</v>
      </c>
      <c r="H26" s="67"/>
    </row>
    <row r="27" spans="1:8">
      <c r="A27" s="83" t="s">
        <v>15</v>
      </c>
      <c r="B27" s="84"/>
      <c r="C27" s="162">
        <f>F21</f>
        <v>1.3</v>
      </c>
      <c r="D27" s="96">
        <v>16</v>
      </c>
      <c r="E27" s="96">
        <f>C27*D27</f>
        <v>20.8</v>
      </c>
      <c r="F27" s="97">
        <f>'EQUIPOS '!D31</f>
        <v>1060</v>
      </c>
      <c r="G27" s="97">
        <f>+E27*F27</f>
        <v>22048</v>
      </c>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22048</v>
      </c>
    </row>
    <row r="31" spans="1:8" ht="15.75" thickBot="1">
      <c r="A31" s="92" t="s">
        <v>502</v>
      </c>
      <c r="B31" s="92"/>
      <c r="C31" s="61"/>
      <c r="D31" s="61"/>
      <c r="E31" s="61"/>
      <c r="F31" s="61"/>
      <c r="G31" s="61"/>
      <c r="H31" s="61"/>
    </row>
    <row r="32" spans="1:8">
      <c r="A32" s="1454" t="s">
        <v>503</v>
      </c>
      <c r="B32" s="1456"/>
      <c r="C32" s="186" t="s">
        <v>504</v>
      </c>
      <c r="D32" s="186" t="s">
        <v>505</v>
      </c>
      <c r="E32" s="124" t="s">
        <v>506</v>
      </c>
      <c r="F32" s="102" t="s">
        <v>488</v>
      </c>
      <c r="G32" s="185" t="s">
        <v>489</v>
      </c>
      <c r="H32" s="67"/>
    </row>
    <row r="33" spans="1:8">
      <c r="A33" s="83" t="s">
        <v>667</v>
      </c>
      <c r="B33" s="84"/>
      <c r="C33" s="103">
        <f>+SALARIOS!C49*5</f>
        <v>127860</v>
      </c>
      <c r="D33" s="104">
        <f>+SALARIOS!C48</f>
        <v>1.7846558312967005</v>
      </c>
      <c r="E33" s="69">
        <f>+C33*D33</f>
        <v>228186.09458959612</v>
      </c>
      <c r="F33" s="69">
        <v>1.9</v>
      </c>
      <c r="G33" s="105">
        <f>+E33/F33</f>
        <v>120097.94452084007</v>
      </c>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120097.94452084007</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711080.73897292407</v>
      </c>
    </row>
    <row r="40" spans="1:8" ht="15.75" thickBot="1">
      <c r="A40" s="63" t="s">
        <v>509</v>
      </c>
      <c r="B40" s="63"/>
      <c r="C40" s="61"/>
      <c r="D40" s="61"/>
      <c r="E40" s="61"/>
      <c r="F40" s="61"/>
      <c r="G40" s="61"/>
      <c r="H40" s="61"/>
    </row>
    <row r="41" spans="1:8">
      <c r="A41" s="110" t="s">
        <v>485</v>
      </c>
      <c r="B41" s="111"/>
      <c r="C41" s="111"/>
      <c r="D41" s="111"/>
      <c r="E41" s="112"/>
      <c r="F41" s="188" t="s">
        <v>510</v>
      </c>
      <c r="G41" s="187" t="s">
        <v>511</v>
      </c>
      <c r="H41" s="67"/>
    </row>
    <row r="42" spans="1:8">
      <c r="A42" s="83" t="s">
        <v>512</v>
      </c>
      <c r="B42" s="84"/>
      <c r="C42" s="84"/>
      <c r="D42" s="84"/>
      <c r="E42" s="85"/>
      <c r="F42" s="115">
        <f>(SALARIOS!C45)</f>
        <v>0.15</v>
      </c>
      <c r="G42" s="116">
        <f>++F42*H39</f>
        <v>106662.1108459386</v>
      </c>
      <c r="H42" s="117"/>
    </row>
    <row r="43" spans="1:8">
      <c r="A43" s="83" t="s">
        <v>513</v>
      </c>
      <c r="B43" s="84"/>
      <c r="C43" s="84"/>
      <c r="D43" s="84"/>
      <c r="E43" s="85"/>
      <c r="F43" s="115">
        <f>(SALARIOS!C46)</f>
        <v>0.05</v>
      </c>
      <c r="G43" s="116">
        <f>+F43*H39</f>
        <v>35554.036948646208</v>
      </c>
      <c r="H43" s="117"/>
    </row>
    <row r="44" spans="1:8" ht="15.75" thickBot="1">
      <c r="A44" s="89" t="s">
        <v>514</v>
      </c>
      <c r="B44" s="90"/>
      <c r="C44" s="90"/>
      <c r="D44" s="90"/>
      <c r="E44" s="91"/>
      <c r="F44" s="118">
        <f>SALARIOS!C47</f>
        <v>0.05</v>
      </c>
      <c r="G44" s="119">
        <f>+F44*H39</f>
        <v>35554.036948646208</v>
      </c>
      <c r="H44" s="80"/>
    </row>
    <row r="45" spans="1:8" ht="15.75" thickBot="1">
      <c r="A45" s="61"/>
      <c r="B45" s="61"/>
      <c r="C45" s="61"/>
      <c r="D45" s="61"/>
      <c r="E45" s="61"/>
      <c r="F45" s="61"/>
      <c r="G45" s="81" t="s">
        <v>491</v>
      </c>
      <c r="H45" s="120">
        <f>SUM(G42:G44)</f>
        <v>177770.18474323102</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888851</v>
      </c>
    </row>
  </sheetData>
  <mergeCells count="11">
    <mergeCell ref="A32:B32"/>
    <mergeCell ref="A3:C4"/>
    <mergeCell ref="A5:C5"/>
    <mergeCell ref="D5:H5"/>
    <mergeCell ref="A11:C11"/>
    <mergeCell ref="A13:C13"/>
    <mergeCell ref="A14:C14"/>
    <mergeCell ref="A15:C15"/>
    <mergeCell ref="A16:C16"/>
    <mergeCell ref="A19:C19"/>
    <mergeCell ref="A26:B26"/>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7"/>
  <sheetViews>
    <sheetView workbookViewId="0">
      <selection activeCell="A8" sqref="A8:C8"/>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674</v>
      </c>
      <c r="H7" s="61"/>
    </row>
    <row r="8" spans="1:8">
      <c r="A8" s="60" t="s">
        <v>675</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H37*10%</f>
        <v>2028.32084079641</v>
      </c>
      <c r="H12" s="72"/>
    </row>
    <row r="13" spans="1:8">
      <c r="A13" s="1463" t="s">
        <v>63</v>
      </c>
      <c r="B13" s="1464"/>
      <c r="C13" s="1465"/>
      <c r="D13" s="73" t="s">
        <v>6</v>
      </c>
      <c r="E13" s="74">
        <f>+'EQUIPOS '!D9</f>
        <v>84100</v>
      </c>
      <c r="F13" s="69">
        <v>20</v>
      </c>
      <c r="G13" s="71">
        <f>+E13/F13</f>
        <v>4205</v>
      </c>
      <c r="H13" s="72"/>
    </row>
    <row r="14" spans="1:8">
      <c r="A14" s="1463"/>
      <c r="B14" s="1464"/>
      <c r="C14" s="1465"/>
      <c r="D14" s="73"/>
      <c r="E14" s="74"/>
      <c r="F14" s="69"/>
      <c r="G14" s="71"/>
      <c r="H14" s="72"/>
    </row>
    <row r="15" spans="1:8">
      <c r="A15" s="1463"/>
      <c r="B15" s="1464"/>
      <c r="C15" s="1465"/>
      <c r="D15" s="73"/>
      <c r="E15" s="74"/>
      <c r="F15" s="69"/>
      <c r="G15" s="71"/>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SUM(G12:G16)</f>
        <v>6233.3208407964103</v>
      </c>
    </row>
    <row r="18" spans="1:8" ht="15.75" thickBot="1">
      <c r="A18" s="63" t="s">
        <v>492</v>
      </c>
      <c r="B18" s="63"/>
      <c r="C18" s="61"/>
      <c r="D18" s="61"/>
      <c r="E18" s="61"/>
      <c r="F18" s="61"/>
      <c r="G18" s="61"/>
      <c r="H18" s="61"/>
    </row>
    <row r="19" spans="1:8">
      <c r="A19" s="1472" t="s">
        <v>485</v>
      </c>
      <c r="B19" s="1473"/>
      <c r="C19" s="1474"/>
      <c r="D19" s="188" t="s">
        <v>493</v>
      </c>
      <c r="E19" s="188" t="s">
        <v>494</v>
      </c>
      <c r="F19" s="188" t="s">
        <v>495</v>
      </c>
      <c r="G19" s="187" t="s">
        <v>489</v>
      </c>
      <c r="H19" s="67"/>
    </row>
    <row r="20" spans="1:8">
      <c r="A20" s="127"/>
      <c r="B20" s="84"/>
      <c r="C20" s="85"/>
      <c r="D20" s="141"/>
      <c r="E20" s="139"/>
      <c r="F20" s="163"/>
      <c r="G20" s="137"/>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1454" t="s">
        <v>497</v>
      </c>
      <c r="B26" s="1456"/>
      <c r="C26" s="93" t="s">
        <v>498</v>
      </c>
      <c r="D26" s="186" t="s">
        <v>499</v>
      </c>
      <c r="E26" s="186" t="s">
        <v>500</v>
      </c>
      <c r="F26" s="186"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454" t="s">
        <v>503</v>
      </c>
      <c r="B32" s="1456"/>
      <c r="C32" s="186" t="s">
        <v>504</v>
      </c>
      <c r="D32" s="186" t="s">
        <v>505</v>
      </c>
      <c r="E32" s="124" t="s">
        <v>506</v>
      </c>
      <c r="F32" s="102" t="s">
        <v>488</v>
      </c>
      <c r="G32" s="185" t="s">
        <v>489</v>
      </c>
      <c r="H32" s="67"/>
    </row>
    <row r="33" spans="1:8">
      <c r="A33" s="83" t="s">
        <v>553</v>
      </c>
      <c r="B33" s="84"/>
      <c r="C33" s="103">
        <f>+SALARIOS!C49*2</f>
        <v>51144</v>
      </c>
      <c r="D33" s="104">
        <f>+SALARIOS!C48</f>
        <v>1.7846558312967005</v>
      </c>
      <c r="E33" s="69">
        <f>+C33*D33</f>
        <v>91274.437835838442</v>
      </c>
      <c r="F33" s="69">
        <v>4.5</v>
      </c>
      <c r="G33" s="105">
        <f>+E33/F33</f>
        <v>20283.208407964099</v>
      </c>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20283.208407964099</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26516.529248760511</v>
      </c>
    </row>
    <row r="40" spans="1:8" ht="15.75" thickBot="1">
      <c r="A40" s="63" t="s">
        <v>509</v>
      </c>
      <c r="B40" s="63"/>
      <c r="C40" s="61"/>
      <c r="D40" s="61"/>
      <c r="E40" s="61"/>
      <c r="F40" s="61"/>
      <c r="G40" s="61"/>
      <c r="H40" s="61"/>
    </row>
    <row r="41" spans="1:8">
      <c r="A41" s="110" t="s">
        <v>485</v>
      </c>
      <c r="B41" s="111"/>
      <c r="C41" s="111"/>
      <c r="D41" s="111"/>
      <c r="E41" s="112"/>
      <c r="F41" s="188" t="s">
        <v>510</v>
      </c>
      <c r="G41" s="187" t="s">
        <v>511</v>
      </c>
      <c r="H41" s="67"/>
    </row>
    <row r="42" spans="1:8">
      <c r="A42" s="83" t="s">
        <v>512</v>
      </c>
      <c r="B42" s="84"/>
      <c r="C42" s="84"/>
      <c r="D42" s="84"/>
      <c r="E42" s="85"/>
      <c r="F42" s="115">
        <f>(SALARIOS!C45)</f>
        <v>0.15</v>
      </c>
      <c r="G42" s="116">
        <f>++F42*H39</f>
        <v>3977.4793873140766</v>
      </c>
      <c r="H42" s="117"/>
    </row>
    <row r="43" spans="1:8">
      <c r="A43" s="83" t="s">
        <v>513</v>
      </c>
      <c r="B43" s="84"/>
      <c r="C43" s="84"/>
      <c r="D43" s="84"/>
      <c r="E43" s="85"/>
      <c r="F43" s="115">
        <f>(SALARIOS!C46)</f>
        <v>0.05</v>
      </c>
      <c r="G43" s="116">
        <f>+F43*H39</f>
        <v>1325.8264624380256</v>
      </c>
      <c r="H43" s="117"/>
    </row>
    <row r="44" spans="1:8" ht="15.75" thickBot="1">
      <c r="A44" s="89" t="s">
        <v>514</v>
      </c>
      <c r="B44" s="90"/>
      <c r="C44" s="90"/>
      <c r="D44" s="90"/>
      <c r="E44" s="91"/>
      <c r="F44" s="118">
        <f>SALARIOS!C47</f>
        <v>0.05</v>
      </c>
      <c r="G44" s="119">
        <f>+F44*H39</f>
        <v>1325.8264624380256</v>
      </c>
      <c r="H44" s="80"/>
    </row>
    <row r="45" spans="1:8" ht="15.75" thickBot="1">
      <c r="A45" s="61"/>
      <c r="B45" s="61"/>
      <c r="C45" s="61"/>
      <c r="D45" s="61"/>
      <c r="E45" s="61"/>
      <c r="F45" s="61"/>
      <c r="G45" s="81" t="s">
        <v>491</v>
      </c>
      <c r="H45" s="120">
        <f>SUM(G42:G44)</f>
        <v>6629.1323121901278</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33146</v>
      </c>
    </row>
  </sheetData>
  <mergeCells count="11">
    <mergeCell ref="A32:B32"/>
    <mergeCell ref="A3:C4"/>
    <mergeCell ref="A5:C5"/>
    <mergeCell ref="D5:H5"/>
    <mergeCell ref="A11:C11"/>
    <mergeCell ref="A13:C13"/>
    <mergeCell ref="A14:C14"/>
    <mergeCell ref="A15:C15"/>
    <mergeCell ref="A16:C16"/>
    <mergeCell ref="A19:C19"/>
    <mergeCell ref="A26:B26"/>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7"/>
  <sheetViews>
    <sheetView workbookViewId="0">
      <selection activeCell="F34" sqref="F3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676</v>
      </c>
      <c r="H7" s="61"/>
    </row>
    <row r="8" spans="1:8">
      <c r="A8" s="60" t="s">
        <v>677</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H37*10%</f>
        <v>1140.9304729479807</v>
      </c>
      <c r="H12" s="72"/>
    </row>
    <row r="13" spans="1:8">
      <c r="A13" s="1463" t="s">
        <v>63</v>
      </c>
      <c r="B13" s="1464"/>
      <c r="C13" s="1465"/>
      <c r="D13" s="73" t="s">
        <v>6</v>
      </c>
      <c r="E13" s="74">
        <f>+'EQUIPOS '!D9</f>
        <v>84100</v>
      </c>
      <c r="F13" s="69">
        <v>22</v>
      </c>
      <c r="G13" s="71">
        <f>+E13/F13</f>
        <v>3822.7272727272725</v>
      </c>
      <c r="H13" s="72"/>
    </row>
    <row r="14" spans="1:8">
      <c r="A14" s="1463"/>
      <c r="B14" s="1464"/>
      <c r="C14" s="1465"/>
      <c r="D14" s="73"/>
      <c r="E14" s="74"/>
      <c r="F14" s="69"/>
      <c r="G14" s="71"/>
      <c r="H14" s="72"/>
    </row>
    <row r="15" spans="1:8">
      <c r="A15" s="1463"/>
      <c r="B15" s="1464"/>
      <c r="C15" s="1465"/>
      <c r="D15" s="73"/>
      <c r="E15" s="74"/>
      <c r="F15" s="69"/>
      <c r="G15" s="71"/>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SUM(G12:G16)</f>
        <v>4963.657745675253</v>
      </c>
    </row>
    <row r="18" spans="1:8" ht="15.75" thickBot="1">
      <c r="A18" s="63" t="s">
        <v>492</v>
      </c>
      <c r="B18" s="63"/>
      <c r="C18" s="61"/>
      <c r="D18" s="61"/>
      <c r="E18" s="61"/>
      <c r="F18" s="61"/>
      <c r="G18" s="61"/>
      <c r="H18" s="61"/>
    </row>
    <row r="19" spans="1:8">
      <c r="A19" s="1472" t="s">
        <v>485</v>
      </c>
      <c r="B19" s="1473"/>
      <c r="C19" s="1474"/>
      <c r="D19" s="188" t="s">
        <v>493</v>
      </c>
      <c r="E19" s="188" t="s">
        <v>494</v>
      </c>
      <c r="F19" s="188" t="s">
        <v>495</v>
      </c>
      <c r="G19" s="187" t="s">
        <v>489</v>
      </c>
      <c r="H19" s="67"/>
    </row>
    <row r="20" spans="1:8">
      <c r="A20" s="127"/>
      <c r="B20" s="84"/>
      <c r="C20" s="85"/>
      <c r="D20" s="141"/>
      <c r="E20" s="139"/>
      <c r="F20" s="163"/>
      <c r="G20" s="137"/>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1454" t="s">
        <v>497</v>
      </c>
      <c r="B26" s="1456"/>
      <c r="C26" s="93" t="s">
        <v>498</v>
      </c>
      <c r="D26" s="186" t="s">
        <v>499</v>
      </c>
      <c r="E26" s="186" t="s">
        <v>500</v>
      </c>
      <c r="F26" s="186"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454" t="s">
        <v>503</v>
      </c>
      <c r="B32" s="1456"/>
      <c r="C32" s="186" t="s">
        <v>504</v>
      </c>
      <c r="D32" s="186" t="s">
        <v>505</v>
      </c>
      <c r="E32" s="124" t="s">
        <v>506</v>
      </c>
      <c r="F32" s="102" t="s">
        <v>488</v>
      </c>
      <c r="G32" s="185" t="s">
        <v>489</v>
      </c>
      <c r="H32" s="67"/>
    </row>
    <row r="33" spans="1:8">
      <c r="A33" s="83" t="s">
        <v>553</v>
      </c>
      <c r="B33" s="84"/>
      <c r="C33" s="103">
        <f>+SALARIOS!C49*2</f>
        <v>51144</v>
      </c>
      <c r="D33" s="104">
        <f>+SALARIOS!C48</f>
        <v>1.7846558312967005</v>
      </c>
      <c r="E33" s="69">
        <f>+C33*D33</f>
        <v>91274.437835838442</v>
      </c>
      <c r="F33" s="69">
        <v>8</v>
      </c>
      <c r="G33" s="105">
        <f>+E33/F33</f>
        <v>11409.304729479805</v>
      </c>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11409.304729479805</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16372.962475155058</v>
      </c>
    </row>
    <row r="40" spans="1:8" ht="15.75" thickBot="1">
      <c r="A40" s="63" t="s">
        <v>509</v>
      </c>
      <c r="B40" s="63"/>
      <c r="C40" s="61"/>
      <c r="D40" s="61"/>
      <c r="E40" s="61"/>
      <c r="F40" s="61"/>
      <c r="G40" s="61"/>
      <c r="H40" s="61"/>
    </row>
    <row r="41" spans="1:8">
      <c r="A41" s="110" t="s">
        <v>485</v>
      </c>
      <c r="B41" s="111"/>
      <c r="C41" s="111"/>
      <c r="D41" s="111"/>
      <c r="E41" s="112"/>
      <c r="F41" s="188" t="s">
        <v>510</v>
      </c>
      <c r="G41" s="187" t="s">
        <v>511</v>
      </c>
      <c r="H41" s="67"/>
    </row>
    <row r="42" spans="1:8">
      <c r="A42" s="83" t="s">
        <v>512</v>
      </c>
      <c r="B42" s="84"/>
      <c r="C42" s="84"/>
      <c r="D42" s="84"/>
      <c r="E42" s="85"/>
      <c r="F42" s="115">
        <f>(SALARIOS!C45)</f>
        <v>0.15</v>
      </c>
      <c r="G42" s="116">
        <f>++F42*H39</f>
        <v>2455.9443712732586</v>
      </c>
      <c r="H42" s="117"/>
    </row>
    <row r="43" spans="1:8">
      <c r="A43" s="83" t="s">
        <v>513</v>
      </c>
      <c r="B43" s="84"/>
      <c r="C43" s="84"/>
      <c r="D43" s="84"/>
      <c r="E43" s="85"/>
      <c r="F43" s="115">
        <f>(SALARIOS!C46)</f>
        <v>0.05</v>
      </c>
      <c r="G43" s="116">
        <f>+F43*H39</f>
        <v>818.64812375775296</v>
      </c>
      <c r="H43" s="117"/>
    </row>
    <row r="44" spans="1:8" ht="15.75" thickBot="1">
      <c r="A44" s="89" t="s">
        <v>514</v>
      </c>
      <c r="B44" s="90"/>
      <c r="C44" s="90"/>
      <c r="D44" s="90"/>
      <c r="E44" s="91"/>
      <c r="F44" s="118">
        <f>SALARIOS!C47</f>
        <v>0.05</v>
      </c>
      <c r="G44" s="119">
        <f>+F44*H39</f>
        <v>818.64812375775296</v>
      </c>
      <c r="H44" s="80"/>
    </row>
    <row r="45" spans="1:8" ht="15.75" thickBot="1">
      <c r="A45" s="61"/>
      <c r="B45" s="61"/>
      <c r="C45" s="61"/>
      <c r="D45" s="61"/>
      <c r="E45" s="61"/>
      <c r="F45" s="61"/>
      <c r="G45" s="81" t="s">
        <v>491</v>
      </c>
      <c r="H45" s="120">
        <f>SUM(G42:G44)</f>
        <v>4093.2406187887646</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20466</v>
      </c>
    </row>
  </sheetData>
  <mergeCells count="11">
    <mergeCell ref="A32:B32"/>
    <mergeCell ref="A3:C4"/>
    <mergeCell ref="A5:C5"/>
    <mergeCell ref="D5:H5"/>
    <mergeCell ref="A11:C11"/>
    <mergeCell ref="A13:C13"/>
    <mergeCell ref="A14:C14"/>
    <mergeCell ref="A15:C15"/>
    <mergeCell ref="A16:C16"/>
    <mergeCell ref="A19:C19"/>
    <mergeCell ref="A26:B26"/>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7"/>
  <sheetViews>
    <sheetView workbookViewId="0">
      <selection activeCell="F34" sqref="F3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678</v>
      </c>
      <c r="H7" s="61"/>
    </row>
    <row r="8" spans="1:8">
      <c r="A8" s="60" t="s">
        <v>679</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H37*10%</f>
        <v>1014.160420398205</v>
      </c>
      <c r="H12" s="72"/>
    </row>
    <row r="13" spans="1:8">
      <c r="A13" s="1463" t="s">
        <v>63</v>
      </c>
      <c r="B13" s="1464"/>
      <c r="C13" s="1465"/>
      <c r="D13" s="73" t="s">
        <v>6</v>
      </c>
      <c r="E13" s="74">
        <f>+'EQUIPOS '!D9</f>
        <v>84100</v>
      </c>
      <c r="F13" s="69">
        <v>22</v>
      </c>
      <c r="G13" s="71">
        <f>+E13/F13</f>
        <v>3822.7272727272725</v>
      </c>
      <c r="H13" s="72"/>
    </row>
    <row r="14" spans="1:8">
      <c r="A14" s="1463"/>
      <c r="B14" s="1464"/>
      <c r="C14" s="1465"/>
      <c r="D14" s="73"/>
      <c r="E14" s="74"/>
      <c r="F14" s="69"/>
      <c r="G14" s="71"/>
      <c r="H14" s="72"/>
    </row>
    <row r="15" spans="1:8">
      <c r="A15" s="1463"/>
      <c r="B15" s="1464"/>
      <c r="C15" s="1465"/>
      <c r="D15" s="73"/>
      <c r="E15" s="74"/>
      <c r="F15" s="69"/>
      <c r="G15" s="71"/>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SUM(G12:G16)</f>
        <v>4836.8876931254772</v>
      </c>
    </row>
    <row r="18" spans="1:8" ht="15.75" thickBot="1">
      <c r="A18" s="63" t="s">
        <v>492</v>
      </c>
      <c r="B18" s="63"/>
      <c r="C18" s="61"/>
      <c r="D18" s="61"/>
      <c r="E18" s="61"/>
      <c r="F18" s="61"/>
      <c r="G18" s="61"/>
      <c r="H18" s="61"/>
    </row>
    <row r="19" spans="1:8">
      <c r="A19" s="1472" t="s">
        <v>485</v>
      </c>
      <c r="B19" s="1473"/>
      <c r="C19" s="1474"/>
      <c r="D19" s="188" t="s">
        <v>493</v>
      </c>
      <c r="E19" s="188" t="s">
        <v>494</v>
      </c>
      <c r="F19" s="188" t="s">
        <v>495</v>
      </c>
      <c r="G19" s="187" t="s">
        <v>489</v>
      </c>
      <c r="H19" s="67"/>
    </row>
    <row r="20" spans="1:8">
      <c r="A20" s="127"/>
      <c r="B20" s="84"/>
      <c r="C20" s="85"/>
      <c r="D20" s="141"/>
      <c r="E20" s="139"/>
      <c r="F20" s="163"/>
      <c r="G20" s="137"/>
      <c r="H20" s="59"/>
    </row>
    <row r="21" spans="1:8">
      <c r="A21" s="127"/>
      <c r="B21" s="84"/>
      <c r="C21" s="85"/>
      <c r="D21" s="68"/>
      <c r="E21" s="142"/>
      <c r="F21" s="70"/>
      <c r="G21" s="69"/>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0</v>
      </c>
    </row>
    <row r="25" spans="1:8" ht="15.75" thickBot="1">
      <c r="A25" s="92" t="s">
        <v>496</v>
      </c>
      <c r="B25" s="92"/>
      <c r="C25" s="90"/>
      <c r="D25" s="61"/>
      <c r="E25" s="61"/>
      <c r="F25" s="61"/>
      <c r="G25" s="61"/>
      <c r="H25" s="61"/>
    </row>
    <row r="26" spans="1:8">
      <c r="A26" s="1454" t="s">
        <v>497</v>
      </c>
      <c r="B26" s="1456"/>
      <c r="C26" s="93" t="s">
        <v>498</v>
      </c>
      <c r="D26" s="186" t="s">
        <v>499</v>
      </c>
      <c r="E26" s="186" t="s">
        <v>500</v>
      </c>
      <c r="F26" s="186"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454" t="s">
        <v>503</v>
      </c>
      <c r="B32" s="1456"/>
      <c r="C32" s="186" t="s">
        <v>504</v>
      </c>
      <c r="D32" s="186" t="s">
        <v>505</v>
      </c>
      <c r="E32" s="124" t="s">
        <v>506</v>
      </c>
      <c r="F32" s="102" t="s">
        <v>488</v>
      </c>
      <c r="G32" s="185" t="s">
        <v>489</v>
      </c>
      <c r="H32" s="67"/>
    </row>
    <row r="33" spans="1:8">
      <c r="A33" s="83" t="s">
        <v>553</v>
      </c>
      <c r="B33" s="84"/>
      <c r="C33" s="103">
        <f>+SALARIOS!C49*2</f>
        <v>51144</v>
      </c>
      <c r="D33" s="104">
        <f>+SALARIOS!C48</f>
        <v>1.7846558312967005</v>
      </c>
      <c r="E33" s="69">
        <f>+C33*D33</f>
        <v>91274.437835838442</v>
      </c>
      <c r="F33" s="69">
        <v>9</v>
      </c>
      <c r="G33" s="105">
        <f>+E33/F33</f>
        <v>10141.60420398205</v>
      </c>
      <c r="H33" s="72"/>
    </row>
    <row r="34" spans="1:8">
      <c r="A34" s="83"/>
      <c r="B34" s="84"/>
      <c r="C34" s="103"/>
      <c r="D34" s="104"/>
      <c r="E34" s="69"/>
      <c r="F34" s="69"/>
      <c r="G34" s="105"/>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10141.60420398205</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14978.491897107528</v>
      </c>
    </row>
    <row r="40" spans="1:8" ht="15.75" thickBot="1">
      <c r="A40" s="63" t="s">
        <v>509</v>
      </c>
      <c r="B40" s="63"/>
      <c r="C40" s="61"/>
      <c r="D40" s="61"/>
      <c r="E40" s="61"/>
      <c r="F40" s="61"/>
      <c r="G40" s="61"/>
      <c r="H40" s="61"/>
    </row>
    <row r="41" spans="1:8">
      <c r="A41" s="110" t="s">
        <v>485</v>
      </c>
      <c r="B41" s="111"/>
      <c r="C41" s="111"/>
      <c r="D41" s="111"/>
      <c r="E41" s="112"/>
      <c r="F41" s="188" t="s">
        <v>510</v>
      </c>
      <c r="G41" s="187" t="s">
        <v>511</v>
      </c>
      <c r="H41" s="67"/>
    </row>
    <row r="42" spans="1:8">
      <c r="A42" s="83" t="s">
        <v>512</v>
      </c>
      <c r="B42" s="84"/>
      <c r="C42" s="84"/>
      <c r="D42" s="84"/>
      <c r="E42" s="85"/>
      <c r="F42" s="115">
        <f>(SALARIOS!C45)</f>
        <v>0.15</v>
      </c>
      <c r="G42" s="116">
        <f>++F42*H39</f>
        <v>2246.7737845661291</v>
      </c>
      <c r="H42" s="117"/>
    </row>
    <row r="43" spans="1:8">
      <c r="A43" s="83" t="s">
        <v>513</v>
      </c>
      <c r="B43" s="84"/>
      <c r="C43" s="84"/>
      <c r="D43" s="84"/>
      <c r="E43" s="85"/>
      <c r="F43" s="115">
        <f>(SALARIOS!C46)</f>
        <v>0.05</v>
      </c>
      <c r="G43" s="116">
        <f>+F43*H39</f>
        <v>748.92459485537643</v>
      </c>
      <c r="H43" s="117"/>
    </row>
    <row r="44" spans="1:8" ht="15.75" thickBot="1">
      <c r="A44" s="89" t="s">
        <v>514</v>
      </c>
      <c r="B44" s="90"/>
      <c r="C44" s="90"/>
      <c r="D44" s="90"/>
      <c r="E44" s="91"/>
      <c r="F44" s="118">
        <f>SALARIOS!C47</f>
        <v>0.05</v>
      </c>
      <c r="G44" s="119">
        <f>+F44*H39</f>
        <v>748.92459485537643</v>
      </c>
      <c r="H44" s="80"/>
    </row>
    <row r="45" spans="1:8" ht="15.75" thickBot="1">
      <c r="A45" s="61"/>
      <c r="B45" s="61"/>
      <c r="C45" s="61"/>
      <c r="D45" s="61"/>
      <c r="E45" s="61"/>
      <c r="F45" s="61"/>
      <c r="G45" s="81" t="s">
        <v>491</v>
      </c>
      <c r="H45" s="120">
        <f>SUM(G42:G44)</f>
        <v>3744.6229742768819</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18723</v>
      </c>
    </row>
  </sheetData>
  <mergeCells count="11">
    <mergeCell ref="A32:B32"/>
    <mergeCell ref="A3:C4"/>
    <mergeCell ref="A5:C5"/>
    <mergeCell ref="D5:H5"/>
    <mergeCell ref="A11:C11"/>
    <mergeCell ref="A13:C13"/>
    <mergeCell ref="A14:C14"/>
    <mergeCell ref="A15:C15"/>
    <mergeCell ref="A16:C16"/>
    <mergeCell ref="A19:C19"/>
    <mergeCell ref="A26:B2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5"/>
  <sheetViews>
    <sheetView zoomScaleNormal="100" zoomScaleSheetLayoutView="90" workbookViewId="0">
      <selection activeCell="E40" sqref="E40"/>
    </sheetView>
  </sheetViews>
  <sheetFormatPr baseColWidth="10" defaultRowHeight="15"/>
  <cols>
    <col min="1" max="1" width="7.85546875" style="30" customWidth="1"/>
    <col min="2" max="2" width="15.5703125" customWidth="1"/>
    <col min="3" max="3" width="13.28515625" customWidth="1"/>
    <col min="4" max="4" width="15.42578125" bestFit="1" customWidth="1"/>
    <col min="5" max="5" width="15" customWidth="1"/>
    <col min="6" max="6" width="13.85546875" bestFit="1" customWidth="1"/>
    <col min="7" max="7" width="12.5703125" customWidth="1"/>
    <col min="8" max="8" width="12.42578125" customWidth="1"/>
    <col min="9" max="9" width="13" customWidth="1"/>
    <col min="10" max="10" width="12.85546875" customWidth="1"/>
    <col min="12" max="12" width="13.7109375" customWidth="1"/>
    <col min="13" max="13" width="13" bestFit="1" customWidth="1"/>
    <col min="14" max="14" width="16.140625" customWidth="1"/>
  </cols>
  <sheetData>
    <row r="1" spans="2:12" ht="24" customHeight="1" thickBot="1">
      <c r="B1" s="1400" t="s">
        <v>23</v>
      </c>
      <c r="C1" s="1401"/>
      <c r="D1" s="1401"/>
      <c r="E1" s="1401"/>
      <c r="F1" s="1401"/>
      <c r="G1" s="1401"/>
      <c r="H1" s="1401"/>
      <c r="I1" s="1401"/>
      <c r="J1" s="1401"/>
      <c r="K1" s="1401"/>
      <c r="L1" s="1402"/>
    </row>
    <row r="2" spans="2:12" ht="45">
      <c r="B2" s="1" t="s">
        <v>8</v>
      </c>
      <c r="C2" s="1" t="s">
        <v>9</v>
      </c>
      <c r="D2" s="1" t="s">
        <v>21</v>
      </c>
      <c r="E2" s="1" t="s">
        <v>10</v>
      </c>
      <c r="F2" s="1" t="s">
        <v>7</v>
      </c>
      <c r="G2" s="1" t="s">
        <v>12</v>
      </c>
      <c r="H2" s="1" t="s">
        <v>11</v>
      </c>
      <c r="I2" s="1" t="s">
        <v>18</v>
      </c>
      <c r="J2" s="1" t="s">
        <v>13</v>
      </c>
      <c r="K2" s="1" t="s">
        <v>16</v>
      </c>
      <c r="L2" s="1">
        <v>1.07</v>
      </c>
    </row>
    <row r="3" spans="2:12">
      <c r="B3" s="1414" t="s">
        <v>1479</v>
      </c>
      <c r="C3" s="1414"/>
      <c r="D3" s="1414"/>
      <c r="E3" s="1414"/>
      <c r="F3" s="1414"/>
      <c r="G3" s="1414"/>
      <c r="H3" s="1414"/>
      <c r="I3" s="1414"/>
      <c r="J3" s="1414"/>
      <c r="K3" s="1414"/>
      <c r="L3" s="1"/>
    </row>
    <row r="4" spans="2:12">
      <c r="B4" s="2">
        <v>6</v>
      </c>
      <c r="C4" s="3">
        <f>B4*0.0254</f>
        <v>0.15239999999999998</v>
      </c>
      <c r="D4" s="460">
        <f>ROUND((MATERIALES!D281*$L$2)/1.2,0)</f>
        <v>25574</v>
      </c>
      <c r="E4" s="3">
        <f>C4+0.4</f>
        <v>0.5524</v>
      </c>
      <c r="F4" s="4">
        <f>((3.1416*(C4*C4))/4)*1</f>
        <v>1.8241511903999995E-2</v>
      </c>
      <c r="G4" s="3">
        <f>ROUND(SUM(E4*1*0.15),2)</f>
        <v>0.08</v>
      </c>
      <c r="H4" s="3">
        <f>ROUND(SUM(E4*1*1.85),2)</f>
        <v>1.02</v>
      </c>
      <c r="I4" s="3">
        <f>ROUND(SUM(E4*1*0.1),2)</f>
        <v>0.06</v>
      </c>
      <c r="J4" s="3">
        <f>ROUND(SUM(H4-(I4+F4)),2)</f>
        <v>0.94</v>
      </c>
      <c r="K4" s="3">
        <f>ROUND(SUM((H4+G4)-F4),2)</f>
        <v>1.08</v>
      </c>
      <c r="L4" s="6"/>
    </row>
    <row r="5" spans="2:12">
      <c r="B5" s="2">
        <v>8</v>
      </c>
      <c r="C5" s="3">
        <f t="shared" ref="C5:C20" si="0">B5*0.0254</f>
        <v>0.20319999999999999</v>
      </c>
      <c r="D5" s="460">
        <f>ROUND((MATERIALES!D282*$L$2)/1.2,0)</f>
        <v>40773</v>
      </c>
      <c r="E5" s="3">
        <f>C5+0.4</f>
        <v>0.60319999999999996</v>
      </c>
      <c r="F5" s="4">
        <f t="shared" ref="F5:F20" si="1">((3.1416*(C5*C5))/4)*1</f>
        <v>3.2429354495999999E-2</v>
      </c>
      <c r="G5" s="3">
        <f t="shared" ref="G5:G20" si="2">ROUND(SUM(E5*1*0.15),2)</f>
        <v>0.09</v>
      </c>
      <c r="H5" s="3">
        <f t="shared" ref="H5:H20" si="3">ROUND(SUM(E5*1*1.85),2)</f>
        <v>1.1200000000000001</v>
      </c>
      <c r="I5" s="3">
        <f t="shared" ref="I5:I20" si="4">ROUND(SUM(E5*1*0.1),2)</f>
        <v>0.06</v>
      </c>
      <c r="J5" s="3">
        <f t="shared" ref="J5:J20" si="5">ROUND(SUM(H5-(I5+F5)),2)</f>
        <v>1.03</v>
      </c>
      <c r="K5" s="3">
        <f t="shared" ref="K5:K20" si="6">ROUND(SUM((H5+G5)-F5),2)</f>
        <v>1.18</v>
      </c>
      <c r="L5" s="6"/>
    </row>
    <row r="6" spans="2:12">
      <c r="B6" s="2">
        <v>10</v>
      </c>
      <c r="C6" s="3">
        <f t="shared" si="0"/>
        <v>0.254</v>
      </c>
      <c r="D6" s="460">
        <f>ROUND((MATERIALES!D283*$L$2)/1.2,0)</f>
        <v>52875</v>
      </c>
      <c r="E6" s="3">
        <f>C6+0.4</f>
        <v>0.65400000000000003</v>
      </c>
      <c r="F6" s="4">
        <f t="shared" si="1"/>
        <v>5.06708664E-2</v>
      </c>
      <c r="G6" s="3">
        <f t="shared" si="2"/>
        <v>0.1</v>
      </c>
      <c r="H6" s="3">
        <f t="shared" si="3"/>
        <v>1.21</v>
      </c>
      <c r="I6" s="3">
        <f t="shared" si="4"/>
        <v>7.0000000000000007E-2</v>
      </c>
      <c r="J6" s="3">
        <f t="shared" si="5"/>
        <v>1.0900000000000001</v>
      </c>
      <c r="K6" s="3">
        <f t="shared" si="6"/>
        <v>1.26</v>
      </c>
      <c r="L6" s="6"/>
    </row>
    <row r="7" spans="2:12">
      <c r="B7" s="2">
        <v>12</v>
      </c>
      <c r="C7" s="3">
        <f t="shared" si="0"/>
        <v>0.30479999999999996</v>
      </c>
      <c r="D7" s="460">
        <f>ROUND((MATERIALES!D284*$L$2)/1.2,0)</f>
        <v>68721</v>
      </c>
      <c r="E7" s="3">
        <f>C7+0.5</f>
        <v>0.80479999999999996</v>
      </c>
      <c r="F7" s="4">
        <f t="shared" si="1"/>
        <v>7.2966047615999979E-2</v>
      </c>
      <c r="G7" s="3">
        <f t="shared" si="2"/>
        <v>0.12</v>
      </c>
      <c r="H7" s="3">
        <f t="shared" si="3"/>
        <v>1.49</v>
      </c>
      <c r="I7" s="3">
        <f t="shared" si="4"/>
        <v>0.08</v>
      </c>
      <c r="J7" s="3">
        <f t="shared" si="5"/>
        <v>1.34</v>
      </c>
      <c r="K7" s="3">
        <f t="shared" si="6"/>
        <v>1.54</v>
      </c>
      <c r="L7" s="6"/>
    </row>
    <row r="8" spans="2:12">
      <c r="B8" s="2">
        <v>14</v>
      </c>
      <c r="C8" s="3">
        <f t="shared" si="0"/>
        <v>0.35559999999999997</v>
      </c>
      <c r="D8" s="460">
        <f>ROUND((MATERIALES!D285*$L$2)/1.2,0)</f>
        <v>88766</v>
      </c>
      <c r="E8" s="3">
        <f>C8+0.5</f>
        <v>0.85559999999999992</v>
      </c>
      <c r="F8" s="4">
        <f t="shared" si="1"/>
        <v>9.9314898143999991E-2</v>
      </c>
      <c r="G8" s="3">
        <f t="shared" si="2"/>
        <v>0.13</v>
      </c>
      <c r="H8" s="3">
        <f t="shared" si="3"/>
        <v>1.58</v>
      </c>
      <c r="I8" s="3">
        <f t="shared" si="4"/>
        <v>0.09</v>
      </c>
      <c r="J8" s="3">
        <f t="shared" si="5"/>
        <v>1.39</v>
      </c>
      <c r="K8" s="3">
        <f t="shared" si="6"/>
        <v>1.61</v>
      </c>
      <c r="L8" s="6"/>
    </row>
    <row r="9" spans="2:12">
      <c r="B9" s="2">
        <v>16</v>
      </c>
      <c r="C9" s="3">
        <f t="shared" si="0"/>
        <v>0.40639999999999998</v>
      </c>
      <c r="D9" s="460">
        <f>ROUND((MATERIALES!D286*$L$2)/1.2,0)</f>
        <v>115183</v>
      </c>
      <c r="E9" s="3">
        <f t="shared" ref="E9:E15" si="7">C9+0.7</f>
        <v>1.1063999999999998</v>
      </c>
      <c r="F9" s="4">
        <f t="shared" si="1"/>
        <v>0.12971741798399999</v>
      </c>
      <c r="G9" s="3">
        <f t="shared" si="2"/>
        <v>0.17</v>
      </c>
      <c r="H9" s="3">
        <f t="shared" si="3"/>
        <v>2.0499999999999998</v>
      </c>
      <c r="I9" s="3">
        <f t="shared" si="4"/>
        <v>0.11</v>
      </c>
      <c r="J9" s="3">
        <f t="shared" si="5"/>
        <v>1.81</v>
      </c>
      <c r="K9" s="3">
        <f t="shared" si="6"/>
        <v>2.09</v>
      </c>
      <c r="L9" s="6"/>
    </row>
    <row r="10" spans="2:12">
      <c r="B10" s="2">
        <v>18</v>
      </c>
      <c r="C10" s="3">
        <f t="shared" si="0"/>
        <v>0.4572</v>
      </c>
      <c r="D10" s="460">
        <f>ROUND((MATERIALES!D287*$L$2)/1.2,0)</f>
        <v>155109</v>
      </c>
      <c r="E10" s="3">
        <f t="shared" si="7"/>
        <v>1.1572</v>
      </c>
      <c r="F10" s="4">
        <f t="shared" si="1"/>
        <v>0.16417360713599999</v>
      </c>
      <c r="G10" s="3">
        <f t="shared" si="2"/>
        <v>0.17</v>
      </c>
      <c r="H10" s="3">
        <f t="shared" si="3"/>
        <v>2.14</v>
      </c>
      <c r="I10" s="3">
        <f t="shared" si="4"/>
        <v>0.12</v>
      </c>
      <c r="J10" s="3">
        <f t="shared" si="5"/>
        <v>1.86</v>
      </c>
      <c r="K10" s="3">
        <f t="shared" si="6"/>
        <v>2.15</v>
      </c>
      <c r="L10" s="6"/>
    </row>
    <row r="11" spans="2:12">
      <c r="B11" s="2">
        <v>20</v>
      </c>
      <c r="C11" s="3">
        <f t="shared" si="0"/>
        <v>0.50800000000000001</v>
      </c>
      <c r="D11" s="460">
        <f>ROUND((MATERIALES!D288*$L$2)/1.2,0)</f>
        <v>187297</v>
      </c>
      <c r="E11" s="3">
        <f t="shared" si="7"/>
        <v>1.208</v>
      </c>
      <c r="F11" s="4">
        <f t="shared" si="1"/>
        <v>0.2026834656</v>
      </c>
      <c r="G11" s="3">
        <f t="shared" si="2"/>
        <v>0.18</v>
      </c>
      <c r="H11" s="3">
        <f t="shared" si="3"/>
        <v>2.23</v>
      </c>
      <c r="I11" s="3">
        <f t="shared" si="4"/>
        <v>0.12</v>
      </c>
      <c r="J11" s="3">
        <f t="shared" si="5"/>
        <v>1.91</v>
      </c>
      <c r="K11" s="3">
        <f t="shared" si="6"/>
        <v>2.21</v>
      </c>
      <c r="L11" s="6"/>
    </row>
    <row r="12" spans="2:12" ht="15.75" thickBot="1">
      <c r="B12" s="7">
        <v>24</v>
      </c>
      <c r="C12" s="8">
        <f t="shared" si="0"/>
        <v>0.60959999999999992</v>
      </c>
      <c r="D12" s="460">
        <f>ROUND((MATERIALES!D289*$L$2)/1.2,0)</f>
        <v>269237</v>
      </c>
      <c r="E12" s="8">
        <f t="shared" si="7"/>
        <v>1.3095999999999999</v>
      </c>
      <c r="F12" s="9">
        <f t="shared" si="1"/>
        <v>0.29186419046399992</v>
      </c>
      <c r="G12" s="8">
        <f t="shared" si="2"/>
        <v>0.2</v>
      </c>
      <c r="H12" s="8">
        <f t="shared" si="3"/>
        <v>2.42</v>
      </c>
      <c r="I12" s="8">
        <f t="shared" si="4"/>
        <v>0.13</v>
      </c>
      <c r="J12" s="8">
        <f t="shared" si="5"/>
        <v>2</v>
      </c>
      <c r="K12" s="8">
        <f t="shared" si="6"/>
        <v>2.33</v>
      </c>
      <c r="L12" s="10"/>
    </row>
    <row r="13" spans="2:12" ht="15.75" thickTop="1">
      <c r="B13" s="1413" t="s">
        <v>1480</v>
      </c>
      <c r="C13" s="1413"/>
      <c r="D13" s="1413"/>
      <c r="E13" s="1413"/>
      <c r="F13" s="1413"/>
      <c r="G13" s="1413"/>
      <c r="H13" s="1413"/>
      <c r="I13" s="1413"/>
      <c r="J13" s="1413"/>
      <c r="K13" s="1413"/>
      <c r="L13" s="14"/>
    </row>
    <row r="14" spans="2:12">
      <c r="B14" s="11">
        <v>24</v>
      </c>
      <c r="C14" s="12">
        <f>B14*0.0254</f>
        <v>0.60959999999999992</v>
      </c>
      <c r="D14" s="461">
        <f>ROUND((MATERIALES!D291*$L$2)/2.5,0)</f>
        <v>142768</v>
      </c>
      <c r="E14" s="12">
        <f t="shared" si="7"/>
        <v>1.3095999999999999</v>
      </c>
      <c r="F14" s="13">
        <f t="shared" si="1"/>
        <v>0.29186419046399992</v>
      </c>
      <c r="G14" s="12">
        <f t="shared" si="2"/>
        <v>0.2</v>
      </c>
      <c r="H14" s="12">
        <f t="shared" si="3"/>
        <v>2.42</v>
      </c>
      <c r="I14" s="12">
        <f t="shared" si="4"/>
        <v>0.13</v>
      </c>
      <c r="J14" s="12">
        <f t="shared" si="5"/>
        <v>2</v>
      </c>
      <c r="K14" s="12">
        <f t="shared" si="6"/>
        <v>2.33</v>
      </c>
      <c r="L14" s="14"/>
    </row>
    <row r="15" spans="2:12">
      <c r="B15" s="2">
        <v>27</v>
      </c>
      <c r="C15" s="3">
        <f t="shared" si="0"/>
        <v>0.68579999999999997</v>
      </c>
      <c r="D15" s="461">
        <f>ROUND((MATERIALES!D292*$L$2)/2.5,0)</f>
        <v>167135</v>
      </c>
      <c r="E15" s="3">
        <f t="shared" si="7"/>
        <v>1.3857999999999999</v>
      </c>
      <c r="F15" s="4">
        <f t="shared" si="1"/>
        <v>0.36939061605599993</v>
      </c>
      <c r="G15" s="3">
        <f t="shared" si="2"/>
        <v>0.21</v>
      </c>
      <c r="H15" s="3">
        <f t="shared" si="3"/>
        <v>2.56</v>
      </c>
      <c r="I15" s="3">
        <f t="shared" si="4"/>
        <v>0.14000000000000001</v>
      </c>
      <c r="J15" s="3">
        <f t="shared" si="5"/>
        <v>2.0499999999999998</v>
      </c>
      <c r="K15" s="3">
        <f t="shared" si="6"/>
        <v>2.4</v>
      </c>
      <c r="L15" s="6"/>
    </row>
    <row r="16" spans="2:12">
      <c r="B16" s="2">
        <v>30</v>
      </c>
      <c r="C16" s="3">
        <f t="shared" si="0"/>
        <v>0.76200000000000001</v>
      </c>
      <c r="D16" s="461">
        <f>ROUND((MATERIALES!D293*$L$2)/2.5,0)</f>
        <v>181900</v>
      </c>
      <c r="E16" s="3">
        <f>C16+0.85</f>
        <v>1.6120000000000001</v>
      </c>
      <c r="F16" s="4">
        <f t="shared" si="1"/>
        <v>0.45603779760000002</v>
      </c>
      <c r="G16" s="3">
        <f t="shared" si="2"/>
        <v>0.24</v>
      </c>
      <c r="H16" s="3">
        <f t="shared" si="3"/>
        <v>2.98</v>
      </c>
      <c r="I16" s="3">
        <f t="shared" si="4"/>
        <v>0.16</v>
      </c>
      <c r="J16" s="3">
        <f t="shared" si="5"/>
        <v>2.36</v>
      </c>
      <c r="K16" s="3">
        <f t="shared" si="6"/>
        <v>2.76</v>
      </c>
      <c r="L16" s="6"/>
    </row>
    <row r="17" spans="2:12">
      <c r="B17" s="2">
        <v>36</v>
      </c>
      <c r="C17" s="3">
        <f t="shared" si="0"/>
        <v>0.91439999999999999</v>
      </c>
      <c r="D17" s="461">
        <f>ROUND((MATERIALES!D295*$L$2)/2.5,0)</f>
        <v>262439</v>
      </c>
      <c r="E17" s="3">
        <f>C17+0.85</f>
        <v>1.7644</v>
      </c>
      <c r="F17" s="4">
        <f t="shared" si="1"/>
        <v>0.65669442854399995</v>
      </c>
      <c r="G17" s="3">
        <f t="shared" si="2"/>
        <v>0.26</v>
      </c>
      <c r="H17" s="3">
        <f t="shared" si="3"/>
        <v>3.26</v>
      </c>
      <c r="I17" s="3">
        <f t="shared" si="4"/>
        <v>0.18</v>
      </c>
      <c r="J17" s="3">
        <f t="shared" si="5"/>
        <v>2.42</v>
      </c>
      <c r="K17" s="3">
        <f t="shared" si="6"/>
        <v>2.86</v>
      </c>
      <c r="L17" s="6"/>
    </row>
    <row r="18" spans="2:12">
      <c r="B18" s="2">
        <v>40</v>
      </c>
      <c r="C18" s="3">
        <f t="shared" si="0"/>
        <v>1.016</v>
      </c>
      <c r="D18" s="461">
        <f>ROUND((MATERIALES!D296*$L$2)/2.5,0)</f>
        <v>328342</v>
      </c>
      <c r="E18" s="3">
        <f>C18+0.85</f>
        <v>1.8660000000000001</v>
      </c>
      <c r="F18" s="4">
        <f t="shared" si="1"/>
        <v>0.8107338624</v>
      </c>
      <c r="G18" s="3">
        <f t="shared" si="2"/>
        <v>0.28000000000000003</v>
      </c>
      <c r="H18" s="3">
        <f t="shared" si="3"/>
        <v>3.45</v>
      </c>
      <c r="I18" s="3">
        <f t="shared" si="4"/>
        <v>0.19</v>
      </c>
      <c r="J18" s="3">
        <f t="shared" si="5"/>
        <v>2.4500000000000002</v>
      </c>
      <c r="K18" s="3">
        <f t="shared" si="6"/>
        <v>2.92</v>
      </c>
      <c r="L18" s="6"/>
    </row>
    <row r="19" spans="2:12">
      <c r="B19" s="2">
        <v>44</v>
      </c>
      <c r="C19" s="3">
        <f t="shared" si="0"/>
        <v>1.1175999999999999</v>
      </c>
      <c r="D19" s="461">
        <f>ROUND((MATERIALES!D297*$L$2)/2.5,0)</f>
        <v>367842</v>
      </c>
      <c r="E19" s="3">
        <f>C19+0.85</f>
        <v>1.9676</v>
      </c>
      <c r="F19" s="4">
        <f t="shared" si="1"/>
        <v>0.9809879735039998</v>
      </c>
      <c r="G19" s="3">
        <f t="shared" si="2"/>
        <v>0.3</v>
      </c>
      <c r="H19" s="3">
        <f t="shared" si="3"/>
        <v>3.64</v>
      </c>
      <c r="I19" s="3">
        <f t="shared" si="4"/>
        <v>0.2</v>
      </c>
      <c r="J19" s="3">
        <f t="shared" si="5"/>
        <v>2.46</v>
      </c>
      <c r="K19" s="3">
        <f t="shared" si="6"/>
        <v>2.96</v>
      </c>
      <c r="L19" s="6"/>
    </row>
    <row r="20" spans="2:12">
      <c r="B20" s="2">
        <v>48</v>
      </c>
      <c r="C20" s="3">
        <f t="shared" si="0"/>
        <v>1.2191999999999998</v>
      </c>
      <c r="D20" s="461">
        <f>ROUND((MATERIALES!D298*$L$2)/2.5,0)</f>
        <v>430945</v>
      </c>
      <c r="E20" s="3">
        <f>C20+0.85</f>
        <v>2.0691999999999999</v>
      </c>
      <c r="F20" s="4">
        <f t="shared" si="1"/>
        <v>1.1674567618559997</v>
      </c>
      <c r="G20" s="3">
        <f t="shared" si="2"/>
        <v>0.31</v>
      </c>
      <c r="H20" s="3">
        <f t="shared" si="3"/>
        <v>3.83</v>
      </c>
      <c r="I20" s="3">
        <f t="shared" si="4"/>
        <v>0.21</v>
      </c>
      <c r="J20" s="3">
        <f t="shared" si="5"/>
        <v>2.4500000000000002</v>
      </c>
      <c r="K20" s="3">
        <f t="shared" si="6"/>
        <v>2.97</v>
      </c>
      <c r="L20" s="6"/>
    </row>
    <row r="23" spans="2:12" ht="15.75" thickBot="1">
      <c r="B23" s="15"/>
      <c r="C23" s="15"/>
      <c r="D23" s="15"/>
      <c r="E23" s="15"/>
      <c r="F23" s="15"/>
      <c r="G23" s="15"/>
      <c r="H23" s="15"/>
      <c r="I23" s="15"/>
      <c r="J23" s="15"/>
      <c r="K23" s="15"/>
      <c r="L23" s="15"/>
    </row>
    <row r="24" spans="2:12" ht="15.75" thickTop="1"/>
    <row r="25" spans="2:12" ht="15.75" thickBot="1"/>
    <row r="26" spans="2:12" ht="33" customHeight="1" thickBot="1">
      <c r="B26" s="1403" t="s">
        <v>22</v>
      </c>
      <c r="C26" s="1404"/>
      <c r="D26" s="1404"/>
      <c r="E26" s="1404"/>
      <c r="F26" s="1404"/>
      <c r="G26" s="1404"/>
      <c r="H26" s="1404"/>
      <c r="I26" s="1404"/>
      <c r="J26" s="1404"/>
      <c r="K26" s="1404"/>
      <c r="L26" s="1405"/>
    </row>
    <row r="27" spans="2:12" ht="45">
      <c r="B27" s="1" t="s">
        <v>8</v>
      </c>
      <c r="C27" s="1" t="s">
        <v>9</v>
      </c>
      <c r="D27" s="1" t="s">
        <v>21</v>
      </c>
      <c r="E27" s="1" t="s">
        <v>10</v>
      </c>
      <c r="F27" s="1" t="s">
        <v>7</v>
      </c>
      <c r="G27" s="1" t="s">
        <v>12</v>
      </c>
      <c r="H27" s="1" t="s">
        <v>11</v>
      </c>
      <c r="I27" s="1" t="s">
        <v>18</v>
      </c>
      <c r="J27" s="1" t="s">
        <v>13</v>
      </c>
      <c r="K27" s="1" t="s">
        <v>16</v>
      </c>
      <c r="L27" s="1"/>
    </row>
    <row r="28" spans="2:12">
      <c r="B28" s="38">
        <v>6</v>
      </c>
      <c r="C28" s="37">
        <f>B28*0.0254</f>
        <v>0.15239999999999998</v>
      </c>
      <c r="D28" s="36">
        <v>24575</v>
      </c>
      <c r="E28" s="3">
        <f>C28+0.4</f>
        <v>0.5524</v>
      </c>
      <c r="F28" s="4">
        <f>((3.1416*(C28*C28))/4)*1</f>
        <v>1.8241511903999995E-2</v>
      </c>
      <c r="G28" s="3">
        <f>ROUND(SUM(E28*1*0.15),2)</f>
        <v>0.08</v>
      </c>
      <c r="H28" s="3">
        <f>ROUND(SUM(E28*1*1.85),2)</f>
        <v>1.02</v>
      </c>
      <c r="I28" s="3">
        <f>ROUND(SUM(E28*1*0.1),2)</f>
        <v>0.06</v>
      </c>
      <c r="J28" s="3">
        <f>ROUND(SUM(H28-(I28+F28)),2)</f>
        <v>0.94</v>
      </c>
      <c r="K28" s="3">
        <f>ROUND(SUM((H28+G28)-F28),2)</f>
        <v>1.08</v>
      </c>
      <c r="L28" s="6"/>
    </row>
    <row r="29" spans="2:12">
      <c r="B29" s="34">
        <v>8</v>
      </c>
      <c r="C29" s="37">
        <f t="shared" ref="C29:C44" si="8">B29*0.0254</f>
        <v>0.20319999999999999</v>
      </c>
      <c r="D29" s="36">
        <v>33561</v>
      </c>
      <c r="E29" s="3">
        <f>C29+0.4</f>
        <v>0.60319999999999996</v>
      </c>
      <c r="F29" s="4">
        <f t="shared" ref="F29:F44" si="9">((3.1416*(C29*C29))/4)*1</f>
        <v>3.2429354495999999E-2</v>
      </c>
      <c r="G29" s="3">
        <f t="shared" ref="G29:G44" si="10">ROUND(SUM(E29*1*0.15),2)</f>
        <v>0.09</v>
      </c>
      <c r="H29" s="3">
        <f t="shared" ref="H29:H44" si="11">ROUND(SUM(E29*1*1.85),2)</f>
        <v>1.1200000000000001</v>
      </c>
      <c r="I29" s="3">
        <f t="shared" ref="I29:I44" si="12">ROUND(SUM(E29*1*0.1),2)</f>
        <v>0.06</v>
      </c>
      <c r="J29" s="3">
        <f t="shared" ref="J29:J47" si="13">ROUND(SUM(H29-(I29+F29)),2)</f>
        <v>1.03</v>
      </c>
      <c r="K29" s="3">
        <f t="shared" ref="K29:K44" si="14">ROUND(SUM((H29+G29)-F29),2)</f>
        <v>1.18</v>
      </c>
      <c r="L29" s="6"/>
    </row>
    <row r="30" spans="2:12">
      <c r="B30" s="34">
        <v>10</v>
      </c>
      <c r="C30" s="37">
        <f t="shared" si="8"/>
        <v>0.254</v>
      </c>
      <c r="D30" s="36">
        <v>49017</v>
      </c>
      <c r="E30" s="3">
        <f>C30+0.4</f>
        <v>0.65400000000000003</v>
      </c>
      <c r="F30" s="4">
        <f t="shared" si="9"/>
        <v>5.06708664E-2</v>
      </c>
      <c r="G30" s="3">
        <f t="shared" si="10"/>
        <v>0.1</v>
      </c>
      <c r="H30" s="3">
        <f t="shared" si="11"/>
        <v>1.21</v>
      </c>
      <c r="I30" s="3">
        <f t="shared" si="12"/>
        <v>7.0000000000000007E-2</v>
      </c>
      <c r="J30" s="3">
        <f t="shared" si="13"/>
        <v>1.0900000000000001</v>
      </c>
      <c r="K30" s="3">
        <f t="shared" si="14"/>
        <v>1.26</v>
      </c>
      <c r="L30" s="6"/>
    </row>
    <row r="31" spans="2:12">
      <c r="B31" s="34">
        <v>12</v>
      </c>
      <c r="C31" s="37">
        <f t="shared" si="8"/>
        <v>0.30479999999999996</v>
      </c>
      <c r="D31" s="36">
        <v>72473</v>
      </c>
      <c r="E31" s="3">
        <f>C31+0.5</f>
        <v>0.80479999999999996</v>
      </c>
      <c r="F31" s="4">
        <f t="shared" si="9"/>
        <v>7.2966047615999979E-2</v>
      </c>
      <c r="G31" s="3">
        <f t="shared" si="10"/>
        <v>0.12</v>
      </c>
      <c r="H31" s="3">
        <f t="shared" si="11"/>
        <v>1.49</v>
      </c>
      <c r="I31" s="3">
        <f t="shared" si="12"/>
        <v>0.08</v>
      </c>
      <c r="J31" s="3">
        <f t="shared" si="13"/>
        <v>1.34</v>
      </c>
      <c r="K31" s="3">
        <f t="shared" si="14"/>
        <v>1.54</v>
      </c>
      <c r="L31" s="6"/>
    </row>
    <row r="32" spans="2:12">
      <c r="B32" s="23">
        <v>14</v>
      </c>
      <c r="C32" s="3">
        <f t="shared" si="8"/>
        <v>0.35559999999999997</v>
      </c>
      <c r="D32" s="32">
        <f>ROUND((404853/6)*1.16,0)</f>
        <v>78272</v>
      </c>
      <c r="E32" s="3"/>
      <c r="F32" s="4">
        <f t="shared" si="9"/>
        <v>9.9314898143999991E-2</v>
      </c>
      <c r="G32" s="3"/>
      <c r="H32" s="3"/>
      <c r="I32" s="3"/>
      <c r="J32" s="3"/>
      <c r="K32" s="3"/>
      <c r="L32" s="6"/>
    </row>
    <row r="33" spans="2:12">
      <c r="B33" s="34">
        <v>16</v>
      </c>
      <c r="C33" s="37">
        <f t="shared" si="8"/>
        <v>0.40639999999999998</v>
      </c>
      <c r="D33" s="36">
        <v>118548</v>
      </c>
      <c r="E33" s="3">
        <f>C33+0.7</f>
        <v>1.1063999999999998</v>
      </c>
      <c r="F33" s="4">
        <f t="shared" si="9"/>
        <v>0.12971741798399999</v>
      </c>
      <c r="G33" s="3">
        <f t="shared" si="10"/>
        <v>0.17</v>
      </c>
      <c r="H33" s="3">
        <f t="shared" si="11"/>
        <v>2.0499999999999998</v>
      </c>
      <c r="I33" s="3">
        <f t="shared" si="12"/>
        <v>0.11</v>
      </c>
      <c r="J33" s="3">
        <f t="shared" si="13"/>
        <v>1.81</v>
      </c>
      <c r="K33" s="3">
        <f>ROUND(SUM((H33+G33)-F33),2)</f>
        <v>2.09</v>
      </c>
      <c r="L33" s="6"/>
    </row>
    <row r="34" spans="2:12">
      <c r="B34" s="34">
        <v>18</v>
      </c>
      <c r="C34" s="37">
        <f t="shared" si="8"/>
        <v>0.4572</v>
      </c>
      <c r="D34" s="36">
        <v>157299</v>
      </c>
      <c r="E34" s="3">
        <f>C34+0.7</f>
        <v>1.1572</v>
      </c>
      <c r="F34" s="4">
        <f t="shared" si="9"/>
        <v>0.16417360713599999</v>
      </c>
      <c r="G34" s="3">
        <f t="shared" si="10"/>
        <v>0.17</v>
      </c>
      <c r="H34" s="3">
        <f t="shared" si="11"/>
        <v>2.14</v>
      </c>
      <c r="I34" s="3">
        <f t="shared" si="12"/>
        <v>0.12</v>
      </c>
      <c r="J34" s="3">
        <f t="shared" si="13"/>
        <v>1.86</v>
      </c>
      <c r="K34" s="3">
        <f>ROUND(SUM((H34+G34)-F34),2)</f>
        <v>2.15</v>
      </c>
      <c r="L34" s="6"/>
    </row>
    <row r="35" spans="2:12">
      <c r="B35" s="34">
        <v>20</v>
      </c>
      <c r="C35" s="37">
        <f t="shared" si="8"/>
        <v>0.50800000000000001</v>
      </c>
      <c r="D35" s="36">
        <v>195249</v>
      </c>
      <c r="E35" s="3">
        <f>C35+0.7</f>
        <v>1.208</v>
      </c>
      <c r="F35" s="4">
        <f t="shared" si="9"/>
        <v>0.2026834656</v>
      </c>
      <c r="G35" s="3">
        <f t="shared" si="10"/>
        <v>0.18</v>
      </c>
      <c r="H35" s="3">
        <f t="shared" si="11"/>
        <v>2.23</v>
      </c>
      <c r="I35" s="3">
        <f t="shared" si="12"/>
        <v>0.12</v>
      </c>
      <c r="J35" s="3">
        <f t="shared" si="13"/>
        <v>1.91</v>
      </c>
      <c r="K35" s="3">
        <f t="shared" si="14"/>
        <v>2.21</v>
      </c>
      <c r="L35" s="6"/>
    </row>
    <row r="36" spans="2:12">
      <c r="B36" s="39">
        <v>24</v>
      </c>
      <c r="C36" s="40">
        <f t="shared" si="8"/>
        <v>0.60959999999999992</v>
      </c>
      <c r="D36" s="41">
        <f>ROUNDDOWN((266237.38),0)</f>
        <v>266237</v>
      </c>
      <c r="E36" s="12">
        <f>C36+0.7</f>
        <v>1.3095999999999999</v>
      </c>
      <c r="F36" s="13">
        <f t="shared" si="9"/>
        <v>0.29186419046399992</v>
      </c>
      <c r="G36" s="12">
        <f t="shared" si="10"/>
        <v>0.2</v>
      </c>
      <c r="H36" s="12">
        <f t="shared" si="11"/>
        <v>2.42</v>
      </c>
      <c r="I36" s="12">
        <f t="shared" si="12"/>
        <v>0.13</v>
      </c>
      <c r="J36" s="12">
        <f t="shared" si="13"/>
        <v>2</v>
      </c>
      <c r="K36" s="12">
        <f t="shared" si="14"/>
        <v>2.33</v>
      </c>
      <c r="L36" s="14"/>
    </row>
    <row r="37" spans="2:12">
      <c r="B37" s="42">
        <v>27</v>
      </c>
      <c r="C37" s="43">
        <f t="shared" si="8"/>
        <v>0.68579999999999997</v>
      </c>
      <c r="D37" s="41">
        <f>ROUNDDOWN((289317.23),0)</f>
        <v>289317</v>
      </c>
      <c r="E37" s="3">
        <f>C37+0.7</f>
        <v>1.3857999999999999</v>
      </c>
      <c r="F37" s="4">
        <f t="shared" si="9"/>
        <v>0.36939061605599993</v>
      </c>
      <c r="G37" s="3">
        <f t="shared" si="10"/>
        <v>0.21</v>
      </c>
      <c r="H37" s="3">
        <f t="shared" si="11"/>
        <v>2.56</v>
      </c>
      <c r="I37" s="3">
        <f t="shared" si="12"/>
        <v>0.14000000000000001</v>
      </c>
      <c r="J37" s="3">
        <f t="shared" si="13"/>
        <v>2.0499999999999998</v>
      </c>
      <c r="K37" s="3">
        <f t="shared" si="14"/>
        <v>2.4</v>
      </c>
      <c r="L37" s="6"/>
    </row>
    <row r="38" spans="2:12" ht="15.75" thickBot="1">
      <c r="B38" s="44">
        <v>30</v>
      </c>
      <c r="C38" s="45">
        <f t="shared" si="8"/>
        <v>0.76200000000000001</v>
      </c>
      <c r="D38" s="41">
        <f>ROUNDDOWN((361228.31),0)</f>
        <v>361228</v>
      </c>
      <c r="E38" s="8">
        <f t="shared" ref="E38:E44" si="15">C38+0.85</f>
        <v>1.6120000000000001</v>
      </c>
      <c r="F38" s="9">
        <f t="shared" si="9"/>
        <v>0.45603779760000002</v>
      </c>
      <c r="G38" s="8">
        <f t="shared" si="10"/>
        <v>0.24</v>
      </c>
      <c r="H38" s="8">
        <f t="shared" si="11"/>
        <v>2.98</v>
      </c>
      <c r="I38" s="8">
        <f t="shared" si="12"/>
        <v>0.16</v>
      </c>
      <c r="J38" s="8">
        <f t="shared" si="13"/>
        <v>2.36</v>
      </c>
      <c r="K38" s="8">
        <f t="shared" si="14"/>
        <v>2.76</v>
      </c>
      <c r="L38" s="10"/>
    </row>
    <row r="39" spans="2:12" ht="15.75" thickTop="1">
      <c r="B39" s="39">
        <v>33</v>
      </c>
      <c r="C39" s="40">
        <f t="shared" si="8"/>
        <v>0.83819999999999995</v>
      </c>
      <c r="D39" s="41">
        <f>ROUNDDOWN((484425.23),0)</f>
        <v>484425</v>
      </c>
      <c r="E39" s="12">
        <f t="shared" si="15"/>
        <v>1.6881999999999999</v>
      </c>
      <c r="F39" s="13">
        <f t="shared" si="9"/>
        <v>0.55180573509599995</v>
      </c>
      <c r="G39" s="12">
        <f t="shared" si="10"/>
        <v>0.25</v>
      </c>
      <c r="H39" s="12">
        <f t="shared" si="11"/>
        <v>3.12</v>
      </c>
      <c r="I39" s="12">
        <f t="shared" si="12"/>
        <v>0.17</v>
      </c>
      <c r="J39" s="12">
        <f t="shared" si="13"/>
        <v>2.4</v>
      </c>
      <c r="K39" s="12">
        <f t="shared" si="14"/>
        <v>2.82</v>
      </c>
      <c r="L39" s="14"/>
    </row>
    <row r="40" spans="2:12">
      <c r="B40" s="42">
        <v>36</v>
      </c>
      <c r="C40" s="43">
        <f t="shared" si="8"/>
        <v>0.91439999999999999</v>
      </c>
      <c r="D40" s="41">
        <f>ROUNDDOWN((699311.69),0)</f>
        <v>699311</v>
      </c>
      <c r="E40" s="3">
        <f t="shared" si="15"/>
        <v>1.7644</v>
      </c>
      <c r="F40" s="4">
        <f t="shared" si="9"/>
        <v>0.65669442854399995</v>
      </c>
      <c r="G40" s="3">
        <f t="shared" si="10"/>
        <v>0.26</v>
      </c>
      <c r="H40" s="3">
        <f t="shared" si="11"/>
        <v>3.26</v>
      </c>
      <c r="I40" s="3">
        <f t="shared" si="12"/>
        <v>0.18</v>
      </c>
      <c r="J40" s="3">
        <f t="shared" si="13"/>
        <v>2.42</v>
      </c>
      <c r="K40" s="3">
        <f t="shared" si="14"/>
        <v>2.86</v>
      </c>
      <c r="L40" s="6"/>
    </row>
    <row r="41" spans="2:12">
      <c r="B41" s="2">
        <v>39</v>
      </c>
      <c r="C41" s="3">
        <f t="shared" si="8"/>
        <v>0.99059999999999993</v>
      </c>
      <c r="D41" s="32">
        <f>ROUND((5173672/6.5)*1.16,0)</f>
        <v>923301</v>
      </c>
      <c r="E41" s="3">
        <f t="shared" si="15"/>
        <v>1.8405999999999998</v>
      </c>
      <c r="F41" s="4">
        <f t="shared" si="9"/>
        <v>0.77070387794399986</v>
      </c>
      <c r="G41" s="3">
        <f t="shared" si="10"/>
        <v>0.28000000000000003</v>
      </c>
      <c r="H41" s="3">
        <f>ROUND(SUM(E41*1*1.85),2)</f>
        <v>3.41</v>
      </c>
      <c r="I41" s="3">
        <f>ROUND(SUM(E41*1*0.1),2)</f>
        <v>0.18</v>
      </c>
      <c r="J41" s="3">
        <f>ROUND(SUM(H41-(I41+F41)),2)</f>
        <v>2.46</v>
      </c>
      <c r="K41" s="3">
        <f>ROUND(SUM((H41+G41)-F41),2)</f>
        <v>2.92</v>
      </c>
      <c r="L41" s="6"/>
    </row>
    <row r="42" spans="2:12">
      <c r="B42" s="2">
        <v>42</v>
      </c>
      <c r="C42" s="3">
        <f t="shared" si="8"/>
        <v>1.0668</v>
      </c>
      <c r="D42" s="32">
        <f>ROUND((5667335/6.5)*1.16,0)</f>
        <v>1011401</v>
      </c>
      <c r="E42" s="3">
        <f t="shared" si="15"/>
        <v>1.9167999999999998</v>
      </c>
      <c r="F42" s="4">
        <f t="shared" si="9"/>
        <v>0.893834083296</v>
      </c>
      <c r="G42" s="3">
        <f t="shared" si="10"/>
        <v>0.28999999999999998</v>
      </c>
      <c r="H42" s="3">
        <f t="shared" si="11"/>
        <v>3.55</v>
      </c>
      <c r="I42" s="3">
        <f t="shared" si="12"/>
        <v>0.19</v>
      </c>
      <c r="J42" s="3">
        <f t="shared" si="13"/>
        <v>2.4700000000000002</v>
      </c>
      <c r="K42" s="3">
        <f t="shared" si="14"/>
        <v>2.95</v>
      </c>
      <c r="L42" s="6"/>
    </row>
    <row r="43" spans="2:12">
      <c r="B43" s="2">
        <v>45</v>
      </c>
      <c r="C43" s="3">
        <f t="shared" si="8"/>
        <v>1.143</v>
      </c>
      <c r="D43" s="32">
        <f>ROUND((6183069/6.5)*1.16,0)</f>
        <v>1103440</v>
      </c>
      <c r="E43" s="3">
        <f t="shared" si="15"/>
        <v>1.9929999999999999</v>
      </c>
      <c r="F43" s="4">
        <f t="shared" si="9"/>
        <v>1.0260850446000001</v>
      </c>
      <c r="G43" s="3">
        <f t="shared" si="10"/>
        <v>0.3</v>
      </c>
      <c r="H43" s="3">
        <f t="shared" si="11"/>
        <v>3.69</v>
      </c>
      <c r="I43" s="3">
        <f t="shared" si="12"/>
        <v>0.2</v>
      </c>
      <c r="J43" s="3">
        <f t="shared" si="13"/>
        <v>2.46</v>
      </c>
      <c r="K43" s="3">
        <f t="shared" si="14"/>
        <v>2.96</v>
      </c>
      <c r="L43" s="6"/>
    </row>
    <row r="44" spans="2:12">
      <c r="B44" s="2">
        <v>48</v>
      </c>
      <c r="C44" s="3">
        <f t="shared" si="8"/>
        <v>1.2191999999999998</v>
      </c>
      <c r="D44" s="32">
        <f>ROUND((8047455/6.5)*1.16,0)</f>
        <v>1436161</v>
      </c>
      <c r="E44" s="3">
        <f t="shared" si="15"/>
        <v>2.0691999999999999</v>
      </c>
      <c r="F44" s="4">
        <f t="shared" si="9"/>
        <v>1.1674567618559997</v>
      </c>
      <c r="G44" s="3">
        <f t="shared" si="10"/>
        <v>0.31</v>
      </c>
      <c r="H44" s="3">
        <f t="shared" si="11"/>
        <v>3.83</v>
      </c>
      <c r="I44" s="3">
        <f t="shared" si="12"/>
        <v>0.21</v>
      </c>
      <c r="J44" s="3">
        <f>ROUND(SUM(H44-(I44+F44)),2)</f>
        <v>2.4500000000000002</v>
      </c>
      <c r="K44" s="3">
        <f t="shared" si="14"/>
        <v>2.97</v>
      </c>
      <c r="L44" s="6"/>
    </row>
    <row r="45" spans="2:12">
      <c r="B45" s="2">
        <v>51</v>
      </c>
      <c r="C45" s="3">
        <f>B45*0.0254</f>
        <v>1.2953999999999999</v>
      </c>
      <c r="D45" s="32">
        <v>1</v>
      </c>
      <c r="E45" s="3">
        <f>C45+1</f>
        <v>2.2953999999999999</v>
      </c>
      <c r="F45" s="4">
        <f>((3.1416*(C45*C45))/4)*1</f>
        <v>1.3179492350639999</v>
      </c>
      <c r="G45" s="3">
        <f>ROUND(SUM(E45*1*0.15),2)</f>
        <v>0.34</v>
      </c>
      <c r="H45" s="3">
        <f>ROUND(SUM(E45*1*1.85),2)</f>
        <v>4.25</v>
      </c>
      <c r="I45" s="3">
        <f>ROUND(SUM(E45*1*0.1),2)</f>
        <v>0.23</v>
      </c>
      <c r="J45" s="3">
        <f t="shared" si="13"/>
        <v>2.7</v>
      </c>
      <c r="K45" s="3">
        <f>ROUND(SUM((H45+G45)-F45),2)</f>
        <v>3.27</v>
      </c>
      <c r="L45" s="6"/>
    </row>
    <row r="46" spans="2:12">
      <c r="B46" s="2">
        <v>54</v>
      </c>
      <c r="C46" s="3">
        <f>B46*0.0254</f>
        <v>1.3715999999999999</v>
      </c>
      <c r="D46" s="32">
        <v>2</v>
      </c>
      <c r="E46" s="3">
        <f>C46+1</f>
        <v>2.3715999999999999</v>
      </c>
      <c r="F46" s="4">
        <f>((3.1416*(C46*C46))/4)*1</f>
        <v>1.4775624642239997</v>
      </c>
      <c r="G46" s="3">
        <f>ROUND(SUM(E46*1*0.15),2)</f>
        <v>0.36</v>
      </c>
      <c r="H46" s="3">
        <f>ROUND(SUM(E46*1*1.85),2)</f>
        <v>4.3899999999999997</v>
      </c>
      <c r="I46" s="3">
        <f>ROUND(SUM(E46*1*0.1),2)</f>
        <v>0.24</v>
      </c>
      <c r="J46" s="3">
        <f t="shared" si="13"/>
        <v>2.67</v>
      </c>
      <c r="K46" s="3">
        <f>ROUND(SUM((H46+G46)-F46),2)</f>
        <v>3.27</v>
      </c>
      <c r="L46" s="6"/>
    </row>
    <row r="47" spans="2:12">
      <c r="B47" s="2">
        <v>60</v>
      </c>
      <c r="C47" s="3">
        <f>B47*0.0254</f>
        <v>1.524</v>
      </c>
      <c r="D47" s="32">
        <v>3</v>
      </c>
      <c r="E47" s="3">
        <f>C47+1</f>
        <v>2.524</v>
      </c>
      <c r="F47" s="4">
        <f>((3.1416*(C47*C47))/4)*1</f>
        <v>1.8241511904000001</v>
      </c>
      <c r="G47" s="3">
        <f>ROUND(SUM(E47*1*0.15),2)</f>
        <v>0.38</v>
      </c>
      <c r="H47" s="3">
        <f>ROUND(SUM(E47*1*1.85),2)</f>
        <v>4.67</v>
      </c>
      <c r="I47" s="3">
        <f>ROUND(SUM(E47*1*0.1),2)</f>
        <v>0.25</v>
      </c>
      <c r="J47" s="3">
        <f t="shared" si="13"/>
        <v>2.6</v>
      </c>
      <c r="K47" s="3">
        <f>ROUND(SUM((H47+G47)-F47),2)</f>
        <v>3.23</v>
      </c>
      <c r="L47" s="6"/>
    </row>
    <row r="48" spans="2:12">
      <c r="C48" s="3"/>
      <c r="D48" s="3"/>
      <c r="E48" s="3"/>
      <c r="F48" s="4"/>
      <c r="G48" s="3"/>
      <c r="H48" s="3"/>
      <c r="I48" s="3"/>
      <c r="J48" s="3"/>
      <c r="K48" s="3"/>
      <c r="L48" s="6"/>
    </row>
    <row r="51" spans="2:12" ht="34.5" customHeight="1">
      <c r="B51" s="1406" t="s">
        <v>112</v>
      </c>
      <c r="C51" s="1406"/>
      <c r="D51" s="1406"/>
      <c r="E51" s="1406"/>
      <c r="F51" s="1406"/>
      <c r="G51" s="1406"/>
      <c r="H51" s="1406"/>
      <c r="I51" s="1406"/>
      <c r="J51" s="1406"/>
      <c r="K51" s="1406"/>
      <c r="L51" s="1406"/>
    </row>
    <row r="57" spans="2:12" ht="15.75" thickBot="1"/>
    <row r="58" spans="2:12" ht="16.5" customHeight="1">
      <c r="B58" s="1407" t="s">
        <v>175</v>
      </c>
      <c r="C58" s="1408"/>
      <c r="D58" s="1408"/>
      <c r="E58" s="1408"/>
      <c r="F58" s="1408"/>
      <c r="G58" s="1408"/>
      <c r="H58" s="1408"/>
      <c r="I58" s="1408"/>
      <c r="J58" s="1408"/>
      <c r="K58" s="1408"/>
      <c r="L58" s="1409"/>
    </row>
    <row r="59" spans="2:12" ht="15.75" thickBot="1">
      <c r="B59" s="1410"/>
      <c r="C59" s="1411"/>
      <c r="D59" s="1411"/>
      <c r="E59" s="1411"/>
      <c r="F59" s="1411"/>
      <c r="G59" s="1411"/>
      <c r="H59" s="1411"/>
      <c r="I59" s="1411"/>
      <c r="J59" s="1411"/>
      <c r="K59" s="1411"/>
      <c r="L59" s="1412"/>
    </row>
    <row r="60" spans="2:12" ht="15.75">
      <c r="B60" s="1399" t="s">
        <v>189</v>
      </c>
      <c r="C60" s="1399"/>
      <c r="D60" s="1399"/>
    </row>
    <row r="61" spans="2:12">
      <c r="B61" s="1416" t="s">
        <v>177</v>
      </c>
      <c r="C61" s="1416"/>
      <c r="D61" s="1416"/>
      <c r="E61" s="24" t="s">
        <v>0</v>
      </c>
      <c r="F61" s="24" t="s">
        <v>178</v>
      </c>
      <c r="G61" s="24" t="s">
        <v>179</v>
      </c>
      <c r="H61" s="24" t="s">
        <v>183</v>
      </c>
    </row>
    <row r="62" spans="2:12">
      <c r="B62" s="1416"/>
      <c r="C62" s="1416"/>
      <c r="D62" s="1416"/>
      <c r="E62" s="24"/>
      <c r="F62" s="24"/>
      <c r="G62" s="24"/>
      <c r="H62" s="24"/>
    </row>
    <row r="63" spans="2:12">
      <c r="B63" s="1417" t="s">
        <v>14</v>
      </c>
      <c r="C63" s="1417"/>
      <c r="D63" s="1417"/>
      <c r="E63" s="34" t="s">
        <v>6</v>
      </c>
      <c r="F63" s="35">
        <v>70000</v>
      </c>
    </row>
    <row r="64" spans="2:12">
      <c r="B64" s="1415" t="s">
        <v>218</v>
      </c>
      <c r="C64" s="1415"/>
      <c r="D64" s="1415"/>
      <c r="E64" s="23" t="s">
        <v>6</v>
      </c>
      <c r="F64" s="33">
        <v>120000</v>
      </c>
    </row>
    <row r="65" spans="2:10">
      <c r="B65" s="1415" t="s">
        <v>176</v>
      </c>
      <c r="C65" s="1415"/>
      <c r="D65" s="1415"/>
      <c r="E65" s="23" t="s">
        <v>5</v>
      </c>
      <c r="F65" s="33">
        <v>1200</v>
      </c>
    </row>
    <row r="66" spans="2:10">
      <c r="B66" s="1415" t="s">
        <v>184</v>
      </c>
      <c r="C66" s="1415"/>
      <c r="D66" s="1415"/>
      <c r="E66" s="23" t="s">
        <v>19</v>
      </c>
      <c r="F66" s="33">
        <v>35000</v>
      </c>
    </row>
    <row r="67" spans="2:10">
      <c r="B67" s="1415" t="s">
        <v>185</v>
      </c>
      <c r="C67" s="1415"/>
      <c r="D67" s="1415"/>
      <c r="E67" s="23" t="s">
        <v>6</v>
      </c>
      <c r="F67" s="33">
        <v>90000</v>
      </c>
    </row>
    <row r="68" spans="2:10">
      <c r="B68" s="1415" t="s">
        <v>110</v>
      </c>
      <c r="C68" s="1415"/>
      <c r="D68" s="1415"/>
      <c r="E68" s="23" t="s">
        <v>6</v>
      </c>
      <c r="F68" s="33">
        <v>90000</v>
      </c>
    </row>
    <row r="69" spans="2:10">
      <c r="B69" s="1415" t="s">
        <v>186</v>
      </c>
      <c r="C69" s="1415"/>
      <c r="D69" s="1415"/>
      <c r="E69" s="23" t="s">
        <v>6</v>
      </c>
      <c r="F69" s="33">
        <v>100000</v>
      </c>
    </row>
    <row r="70" spans="2:10">
      <c r="B70" s="1415" t="s">
        <v>187</v>
      </c>
      <c r="C70" s="1415"/>
      <c r="D70" s="1415"/>
      <c r="E70" s="23" t="s">
        <v>6</v>
      </c>
      <c r="F70" s="33">
        <v>30000</v>
      </c>
    </row>
    <row r="71" spans="2:10">
      <c r="B71" s="1415" t="s">
        <v>188</v>
      </c>
      <c r="C71" s="1415"/>
      <c r="D71" s="1415"/>
      <c r="E71" s="23" t="s">
        <v>17</v>
      </c>
      <c r="F71" s="33">
        <v>55000</v>
      </c>
    </row>
    <row r="72" spans="2:10">
      <c r="B72" s="1415" t="s">
        <v>239</v>
      </c>
      <c r="C72" s="1415"/>
      <c r="D72" s="1415"/>
      <c r="E72" s="23" t="s">
        <v>17</v>
      </c>
      <c r="F72" s="33">
        <v>30000</v>
      </c>
    </row>
    <row r="73" spans="2:10">
      <c r="B73" s="1415" t="s">
        <v>181</v>
      </c>
      <c r="C73" s="1415"/>
      <c r="D73" s="1415"/>
      <c r="E73" s="23" t="s">
        <v>17</v>
      </c>
      <c r="F73" s="33">
        <v>39000</v>
      </c>
    </row>
    <row r="74" spans="2:10">
      <c r="B74" s="1415" t="s">
        <v>182</v>
      </c>
      <c r="C74" s="1415"/>
      <c r="D74" s="1415"/>
      <c r="E74" s="23" t="s">
        <v>17</v>
      </c>
      <c r="F74" s="33">
        <v>20000</v>
      </c>
    </row>
    <row r="75" spans="2:10">
      <c r="B75" s="1417" t="s">
        <v>63</v>
      </c>
      <c r="C75" s="1417"/>
      <c r="D75" s="1417"/>
      <c r="E75" s="34" t="s">
        <v>6</v>
      </c>
      <c r="F75" s="35">
        <v>90000</v>
      </c>
    </row>
    <row r="76" spans="2:10">
      <c r="B76" s="1415" t="s">
        <v>66</v>
      </c>
      <c r="C76" s="1415"/>
      <c r="D76" s="1415"/>
      <c r="E76" s="23" t="s">
        <v>6</v>
      </c>
      <c r="F76" s="33">
        <v>25000</v>
      </c>
    </row>
    <row r="77" spans="2:10">
      <c r="B77" s="1415" t="s">
        <v>191</v>
      </c>
      <c r="C77" s="1415"/>
      <c r="D77" s="1415"/>
      <c r="E77" s="23" t="s">
        <v>28</v>
      </c>
      <c r="F77" s="33">
        <v>6000</v>
      </c>
    </row>
    <row r="78" spans="2:10">
      <c r="B78" s="1415" t="s">
        <v>191</v>
      </c>
      <c r="C78" s="1415"/>
      <c r="D78" s="1415"/>
      <c r="E78" s="23" t="s">
        <v>19</v>
      </c>
      <c r="F78" s="33">
        <v>24000</v>
      </c>
    </row>
    <row r="79" spans="2:10">
      <c r="B79" s="1415" t="s">
        <v>220</v>
      </c>
      <c r="C79" s="1415"/>
      <c r="D79" s="1415"/>
      <c r="E79" s="23" t="s">
        <v>1</v>
      </c>
      <c r="F79" s="33">
        <v>1500</v>
      </c>
    </row>
    <row r="80" spans="2:10" ht="15.75">
      <c r="B80" s="1399" t="s">
        <v>190</v>
      </c>
      <c r="C80" s="1399"/>
      <c r="D80" s="1399"/>
      <c r="H80" s="1399" t="s">
        <v>190</v>
      </c>
      <c r="I80" s="1399"/>
      <c r="J80" s="1399"/>
    </row>
    <row r="81" spans="2:12">
      <c r="B81" s="1416" t="s">
        <v>177</v>
      </c>
      <c r="C81" s="1416"/>
      <c r="D81" s="1416"/>
      <c r="E81" s="24" t="s">
        <v>0</v>
      </c>
      <c r="F81" s="24" t="s">
        <v>178</v>
      </c>
      <c r="G81" s="24"/>
      <c r="H81" s="1416" t="s">
        <v>177</v>
      </c>
      <c r="I81" s="1416"/>
      <c r="J81" s="1416"/>
      <c r="K81" s="30" t="s">
        <v>0</v>
      </c>
      <c r="L81" s="30" t="s">
        <v>178</v>
      </c>
    </row>
    <row r="82" spans="2:12">
      <c r="B82" s="1415"/>
      <c r="C82" s="1415"/>
      <c r="D82" s="1415"/>
    </row>
    <row r="83" spans="2:12">
      <c r="B83" s="1415" t="s">
        <v>242</v>
      </c>
      <c r="C83" s="1415"/>
      <c r="D83" s="1415"/>
      <c r="E83" s="23" t="s">
        <v>61</v>
      </c>
      <c r="F83" s="33">
        <f>68450*1.16</f>
        <v>79402</v>
      </c>
      <c r="H83" s="1415" t="s">
        <v>58</v>
      </c>
      <c r="I83" s="1415"/>
      <c r="J83" s="1415"/>
      <c r="K83" s="23" t="s">
        <v>61</v>
      </c>
      <c r="L83" s="33">
        <v>45000</v>
      </c>
    </row>
    <row r="84" spans="2:12">
      <c r="B84" s="1415" t="s">
        <v>243</v>
      </c>
      <c r="C84" s="1415"/>
      <c r="D84" s="1415"/>
      <c r="E84" s="23" t="s">
        <v>61</v>
      </c>
      <c r="F84" s="33">
        <f>120000*1.16</f>
        <v>139200</v>
      </c>
      <c r="H84" s="1415" t="s">
        <v>162</v>
      </c>
      <c r="I84" s="1415"/>
      <c r="J84" s="1415"/>
      <c r="K84" s="23" t="s">
        <v>61</v>
      </c>
      <c r="L84" s="33">
        <v>74000</v>
      </c>
    </row>
    <row r="85" spans="2:12">
      <c r="B85" s="1415" t="s">
        <v>244</v>
      </c>
      <c r="C85" s="1415"/>
      <c r="D85" s="1415"/>
      <c r="E85" s="23" t="s">
        <v>61</v>
      </c>
      <c r="F85" s="33">
        <f>200000*1.16</f>
        <v>231999.99999999997</v>
      </c>
      <c r="H85" s="1415" t="s">
        <v>163</v>
      </c>
      <c r="I85" s="1415"/>
      <c r="J85" s="1415"/>
      <c r="K85" s="23" t="s">
        <v>61</v>
      </c>
      <c r="L85" s="33">
        <v>112000</v>
      </c>
    </row>
    <row r="86" spans="2:12">
      <c r="B86" s="1415" t="s">
        <v>245</v>
      </c>
      <c r="C86" s="1415"/>
      <c r="D86" s="1415"/>
      <c r="E86" s="23" t="s">
        <v>61</v>
      </c>
      <c r="F86" s="33">
        <v>220000</v>
      </c>
      <c r="H86" s="1415" t="s">
        <v>59</v>
      </c>
      <c r="I86" s="1415"/>
      <c r="J86" s="1415"/>
      <c r="K86" s="23" t="s">
        <v>61</v>
      </c>
      <c r="L86" s="33">
        <v>120000</v>
      </c>
    </row>
    <row r="87" spans="2:12">
      <c r="B87" s="1415" t="s">
        <v>246</v>
      </c>
      <c r="C87" s="1415"/>
      <c r="D87" s="1415"/>
      <c r="E87" s="23" t="s">
        <v>61</v>
      </c>
      <c r="F87" s="33">
        <v>225000</v>
      </c>
      <c r="H87" s="1415" t="s">
        <v>164</v>
      </c>
      <c r="I87" s="1415"/>
      <c r="J87" s="1415"/>
      <c r="K87" s="23" t="s">
        <v>61</v>
      </c>
      <c r="L87" s="33">
        <v>150000</v>
      </c>
    </row>
    <row r="88" spans="2:12">
      <c r="B88" s="1415" t="s">
        <v>247</v>
      </c>
      <c r="C88" s="1415"/>
      <c r="D88" s="1415"/>
      <c r="E88" s="23" t="s">
        <v>61</v>
      </c>
      <c r="F88" s="33">
        <v>230000</v>
      </c>
      <c r="H88" s="1415" t="s">
        <v>165</v>
      </c>
      <c r="I88" s="1415"/>
      <c r="J88" s="1415"/>
      <c r="K88" s="23" t="s">
        <v>61</v>
      </c>
      <c r="L88" s="33">
        <v>187000</v>
      </c>
    </row>
    <row r="89" spans="2:12">
      <c r="B89" s="1415" t="s">
        <v>248</v>
      </c>
      <c r="C89" s="1415"/>
      <c r="D89" s="1415"/>
      <c r="E89" s="23" t="s">
        <v>61</v>
      </c>
      <c r="F89" s="33">
        <v>275000</v>
      </c>
      <c r="H89" s="1415" t="s">
        <v>166</v>
      </c>
      <c r="I89" s="1415"/>
      <c r="J89" s="1415"/>
      <c r="K89" s="23" t="s">
        <v>61</v>
      </c>
      <c r="L89" s="33">
        <v>238000</v>
      </c>
    </row>
    <row r="90" spans="2:12">
      <c r="B90" s="1415" t="s">
        <v>249</v>
      </c>
      <c r="C90" s="1415"/>
      <c r="D90" s="1415"/>
      <c r="E90" s="23" t="s">
        <v>61</v>
      </c>
      <c r="F90" s="33">
        <v>287000</v>
      </c>
      <c r="H90" s="1415" t="s">
        <v>167</v>
      </c>
      <c r="I90" s="1415"/>
      <c r="J90" s="1415"/>
      <c r="K90" s="23" t="s">
        <v>61</v>
      </c>
      <c r="L90" s="33">
        <v>271000</v>
      </c>
    </row>
    <row r="91" spans="2:12">
      <c r="B91" s="1415" t="s">
        <v>219</v>
      </c>
      <c r="C91" s="1415"/>
      <c r="D91" s="1415"/>
      <c r="E91" s="23" t="s">
        <v>68</v>
      </c>
      <c r="F91" s="33">
        <v>23500</v>
      </c>
      <c r="H91" s="29"/>
      <c r="I91" s="29"/>
      <c r="J91" s="29"/>
      <c r="K91" s="23"/>
    </row>
    <row r="92" spans="2:12">
      <c r="B92" s="1415" t="s">
        <v>199</v>
      </c>
      <c r="C92" s="1415"/>
      <c r="D92" s="1415"/>
      <c r="E92" s="23" t="s">
        <v>19</v>
      </c>
      <c r="F92" s="33"/>
    </row>
    <row r="93" spans="2:12">
      <c r="B93" s="1415" t="s">
        <v>208</v>
      </c>
      <c r="C93" s="1415"/>
      <c r="D93" s="1415"/>
      <c r="E93" s="23" t="s">
        <v>19</v>
      </c>
      <c r="F93" s="33"/>
    </row>
    <row r="94" spans="2:12">
      <c r="B94" s="1415" t="s">
        <v>209</v>
      </c>
      <c r="C94" s="1415"/>
      <c r="D94" s="1415"/>
      <c r="E94" s="23" t="s">
        <v>19</v>
      </c>
      <c r="F94" s="33"/>
    </row>
    <row r="95" spans="2:12">
      <c r="B95" s="1415" t="s">
        <v>204</v>
      </c>
      <c r="C95" s="1415"/>
      <c r="D95" s="1415"/>
      <c r="E95" s="23" t="s">
        <v>61</v>
      </c>
      <c r="F95" s="33">
        <v>500</v>
      </c>
      <c r="H95" s="25"/>
    </row>
    <row r="96" spans="2:12">
      <c r="B96" s="1415" t="s">
        <v>205</v>
      </c>
      <c r="C96" s="1415"/>
      <c r="D96" s="1415"/>
      <c r="F96" s="33"/>
      <c r="H96" s="25"/>
    </row>
    <row r="97" spans="2:8">
      <c r="B97" s="1415" t="s">
        <v>206</v>
      </c>
      <c r="C97" s="1415"/>
      <c r="D97" s="1415"/>
      <c r="F97" s="33"/>
      <c r="H97" s="25"/>
    </row>
    <row r="98" spans="2:8">
      <c r="B98" s="1415" t="s">
        <v>207</v>
      </c>
      <c r="C98" s="1415"/>
      <c r="D98" s="1415"/>
      <c r="F98" s="33"/>
      <c r="H98" s="25"/>
    </row>
    <row r="99" spans="2:8">
      <c r="B99" s="1417" t="s">
        <v>213</v>
      </c>
      <c r="C99" s="1417"/>
      <c r="D99" s="1417"/>
      <c r="E99" s="34" t="s">
        <v>19</v>
      </c>
      <c r="F99" s="35">
        <v>30000</v>
      </c>
    </row>
    <row r="100" spans="2:8">
      <c r="B100" s="1415" t="s">
        <v>214</v>
      </c>
      <c r="C100" s="1415"/>
      <c r="D100" s="1415"/>
      <c r="E100" s="23" t="s">
        <v>19</v>
      </c>
      <c r="F100" s="33">
        <v>32000</v>
      </c>
    </row>
    <row r="101" spans="2:8">
      <c r="B101" s="1415" t="s">
        <v>215</v>
      </c>
      <c r="C101" s="1415"/>
      <c r="D101" s="1415"/>
      <c r="E101" s="23" t="s">
        <v>19</v>
      </c>
      <c r="F101" s="33">
        <v>24000</v>
      </c>
    </row>
    <row r="102" spans="2:8">
      <c r="B102" s="1415" t="s">
        <v>203</v>
      </c>
      <c r="C102" s="1415"/>
      <c r="D102" s="1415"/>
      <c r="E102" s="23" t="s">
        <v>19</v>
      </c>
      <c r="F102" s="33">
        <v>35000</v>
      </c>
    </row>
    <row r="103" spans="2:8">
      <c r="B103" s="1415" t="s">
        <v>73</v>
      </c>
      <c r="C103" s="1415"/>
      <c r="D103" s="1415"/>
      <c r="E103" s="23" t="s">
        <v>19</v>
      </c>
      <c r="F103" s="33">
        <v>36000</v>
      </c>
    </row>
    <row r="104" spans="2:8">
      <c r="B104" s="1415" t="s">
        <v>241</v>
      </c>
      <c r="C104" s="1415"/>
      <c r="D104" s="1415"/>
      <c r="E104" s="23" t="s">
        <v>19</v>
      </c>
      <c r="F104" s="33">
        <v>55000</v>
      </c>
    </row>
    <row r="105" spans="2:8">
      <c r="B105" s="1415" t="s">
        <v>231</v>
      </c>
      <c r="C105" s="1415"/>
      <c r="D105" s="29"/>
      <c r="E105" s="23" t="s">
        <v>61</v>
      </c>
      <c r="F105" s="33">
        <v>255000</v>
      </c>
    </row>
    <row r="106" spans="2:8">
      <c r="B106" s="1415" t="s">
        <v>232</v>
      </c>
      <c r="C106" s="1415"/>
      <c r="D106" s="29"/>
      <c r="E106" s="23" t="s">
        <v>61</v>
      </c>
      <c r="F106" s="33">
        <v>310000</v>
      </c>
    </row>
    <row r="107" spans="2:8">
      <c r="B107" s="1415" t="s">
        <v>69</v>
      </c>
      <c r="C107" s="1415"/>
      <c r="D107" s="28"/>
      <c r="E107" s="23" t="s">
        <v>44</v>
      </c>
      <c r="F107" s="33">
        <v>2200</v>
      </c>
    </row>
    <row r="108" spans="2:8">
      <c r="B108" s="1415" t="s">
        <v>229</v>
      </c>
      <c r="C108" s="1415"/>
      <c r="D108" s="28"/>
      <c r="E108" s="23" t="s">
        <v>44</v>
      </c>
      <c r="F108" s="33">
        <v>12500</v>
      </c>
    </row>
    <row r="109" spans="2:8">
      <c r="B109" s="1415" t="s">
        <v>71</v>
      </c>
      <c r="C109" s="1415"/>
      <c r="D109" s="29"/>
      <c r="E109" s="23" t="s">
        <v>61</v>
      </c>
      <c r="F109" s="33">
        <v>180000</v>
      </c>
    </row>
    <row r="110" spans="2:8">
      <c r="B110" s="1415" t="s">
        <v>235</v>
      </c>
      <c r="C110" s="1415"/>
      <c r="D110" s="29"/>
      <c r="E110" s="23" t="s">
        <v>61</v>
      </c>
      <c r="F110" s="33">
        <v>200000</v>
      </c>
    </row>
    <row r="111" spans="2:8">
      <c r="B111" s="1415" t="s">
        <v>70</v>
      </c>
      <c r="C111" s="1415"/>
      <c r="D111" s="29"/>
      <c r="E111" s="23" t="s">
        <v>234</v>
      </c>
      <c r="F111" s="33">
        <v>4500</v>
      </c>
    </row>
    <row r="112" spans="2:8">
      <c r="B112" s="1415" t="s">
        <v>221</v>
      </c>
      <c r="C112" s="1415"/>
      <c r="D112" s="27"/>
      <c r="E112" s="23" t="s">
        <v>111</v>
      </c>
      <c r="F112" s="33">
        <v>3800</v>
      </c>
    </row>
    <row r="113" spans="1:13" ht="15.75" thickBot="1">
      <c r="B113" s="1419" t="s">
        <v>222</v>
      </c>
      <c r="C113" s="1419"/>
      <c r="E113" s="23" t="s">
        <v>19</v>
      </c>
      <c r="F113" s="33">
        <v>300000</v>
      </c>
    </row>
    <row r="114" spans="1:13">
      <c r="B114" s="1407" t="s">
        <v>210</v>
      </c>
      <c r="C114" s="1408"/>
      <c r="D114" s="1408"/>
      <c r="E114" s="1408"/>
      <c r="F114" s="1408"/>
      <c r="G114" s="1408"/>
      <c r="H114" s="1408"/>
      <c r="I114" s="1408"/>
      <c r="J114" s="1408"/>
      <c r="K114" s="1408"/>
      <c r="L114" s="1409"/>
    </row>
    <row r="115" spans="1:13" ht="15.75" thickBot="1">
      <c r="B115" s="1410"/>
      <c r="C115" s="1411"/>
      <c r="D115" s="1411"/>
      <c r="E115" s="1411"/>
      <c r="F115" s="1411"/>
      <c r="G115" s="1411"/>
      <c r="H115" s="1411"/>
      <c r="I115" s="1411"/>
      <c r="J115" s="1411"/>
      <c r="K115" s="1411"/>
      <c r="L115" s="1412"/>
    </row>
    <row r="116" spans="1:13" ht="15.75" thickBot="1"/>
    <row r="117" spans="1:13" ht="15.75" thickBot="1">
      <c r="B117" s="1427" t="s">
        <v>200</v>
      </c>
      <c r="C117" s="1428"/>
      <c r="D117" s="1429"/>
      <c r="E117" s="499" t="s">
        <v>0</v>
      </c>
      <c r="F117" s="499" t="s">
        <v>73</v>
      </c>
      <c r="G117" s="499" t="s">
        <v>18</v>
      </c>
      <c r="H117" s="499" t="s">
        <v>203</v>
      </c>
      <c r="I117" s="499" t="s">
        <v>201</v>
      </c>
      <c r="J117" s="499" t="s">
        <v>180</v>
      </c>
      <c r="K117" s="499" t="s">
        <v>202</v>
      </c>
      <c r="L117" s="499" t="s">
        <v>1323</v>
      </c>
      <c r="M117" s="499" t="s">
        <v>4</v>
      </c>
    </row>
    <row r="118" spans="1:13" ht="15.75" thickBot="1">
      <c r="B118" s="493"/>
      <c r="C118" s="459"/>
      <c r="D118" s="500" t="s">
        <v>20</v>
      </c>
      <c r="E118" s="500"/>
      <c r="F118" s="501" t="e">
        <f>MATERIALES!#REF!</f>
        <v>#REF!</v>
      </c>
      <c r="G118" s="501">
        <f>MATERIALES!D62</f>
        <v>64800</v>
      </c>
      <c r="H118" s="501" t="e">
        <f>MATERIALES!#REF!</f>
        <v>#REF!</v>
      </c>
      <c r="I118" s="501">
        <f>MATERIALES!D24</f>
        <v>698.92899999999997</v>
      </c>
      <c r="J118" s="501">
        <v>6000</v>
      </c>
      <c r="K118" s="501"/>
      <c r="L118" s="501">
        <f>MATERIALES!D8</f>
        <v>68</v>
      </c>
      <c r="M118" s="494"/>
    </row>
    <row r="119" spans="1:13" ht="15.75" thickBot="1">
      <c r="B119" s="495"/>
      <c r="C119" s="496"/>
      <c r="D119" s="496"/>
      <c r="E119" s="496"/>
      <c r="F119" s="497"/>
      <c r="G119" s="497"/>
      <c r="H119" s="497"/>
      <c r="I119" s="497"/>
      <c r="J119" s="497"/>
      <c r="K119" s="497"/>
      <c r="L119" s="467"/>
      <c r="M119" s="498"/>
    </row>
    <row r="120" spans="1:13">
      <c r="B120" s="1436" t="s">
        <v>1481</v>
      </c>
      <c r="C120" s="1437"/>
      <c r="D120" s="1438"/>
      <c r="E120" s="468" t="s">
        <v>1328</v>
      </c>
      <c r="F120" s="471">
        <v>0.56999999999999995</v>
      </c>
      <c r="G120" s="476">
        <v>0.77200000000000002</v>
      </c>
      <c r="H120" s="479"/>
      <c r="I120" s="481">
        <v>5.5</v>
      </c>
      <c r="J120" s="487"/>
      <c r="K120" s="490"/>
      <c r="L120" s="483"/>
      <c r="M120" s="484" t="e">
        <f>(F118*F120)+(G118*G120)+(I118*I120)+J118+K118</f>
        <v>#REF!</v>
      </c>
    </row>
    <row r="121" spans="1:13">
      <c r="A121" s="523" t="s">
        <v>1490</v>
      </c>
      <c r="B121" s="1421" t="s">
        <v>192</v>
      </c>
      <c r="C121" s="1422"/>
      <c r="D121" s="1423"/>
      <c r="E121" s="469" t="s">
        <v>1328</v>
      </c>
      <c r="F121" s="472">
        <v>0.63</v>
      </c>
      <c r="G121" s="472">
        <v>0.84</v>
      </c>
      <c r="H121" s="477"/>
      <c r="I121" s="482">
        <v>260</v>
      </c>
      <c r="J121" s="488"/>
      <c r="K121" s="477"/>
      <c r="L121" s="474">
        <v>170</v>
      </c>
      <c r="M121" s="485" t="e">
        <f>(F118*F121)+(G118*G121)+(I118*I121)+J118+K118+(L118*L121)</f>
        <v>#REF!</v>
      </c>
    </row>
    <row r="122" spans="1:13">
      <c r="A122" s="523" t="s">
        <v>1488</v>
      </c>
      <c r="B122" s="1421" t="s">
        <v>193</v>
      </c>
      <c r="C122" s="1422"/>
      <c r="D122" s="1423"/>
      <c r="E122" s="469" t="s">
        <v>1328</v>
      </c>
      <c r="F122" s="473">
        <v>0.52300000000000002</v>
      </c>
      <c r="G122" s="472">
        <v>0.77</v>
      </c>
      <c r="H122" s="477"/>
      <c r="I122" s="482">
        <v>7.1</v>
      </c>
      <c r="J122" s="488"/>
      <c r="K122" s="477"/>
      <c r="L122" s="473">
        <v>305</v>
      </c>
      <c r="M122" s="485" t="e">
        <f>(F118*F122)+(G118*G122)+(I118*I122)+J118+K118</f>
        <v>#REF!</v>
      </c>
    </row>
    <row r="123" spans="1:13">
      <c r="A123" s="523" t="s">
        <v>1489</v>
      </c>
      <c r="B123" s="1421" t="s">
        <v>194</v>
      </c>
      <c r="C123" s="1422"/>
      <c r="D123" s="1423"/>
      <c r="E123" s="469" t="s">
        <v>1328</v>
      </c>
      <c r="F123" s="473">
        <v>0.52300000000000002</v>
      </c>
      <c r="G123" s="472">
        <v>0.77</v>
      </c>
      <c r="H123" s="477"/>
      <c r="I123" s="482">
        <v>7.6</v>
      </c>
      <c r="J123" s="488"/>
      <c r="K123" s="477"/>
      <c r="L123" s="473">
        <v>210</v>
      </c>
      <c r="M123" s="485" t="e">
        <f>(F118*F123)+(G118*G123)+(I118*I123)+J118+K118</f>
        <v>#REF!</v>
      </c>
    </row>
    <row r="124" spans="1:13">
      <c r="A124" s="523"/>
      <c r="B124" s="1421" t="s">
        <v>195</v>
      </c>
      <c r="C124" s="1422"/>
      <c r="D124" s="1423"/>
      <c r="E124" s="469" t="s">
        <v>1328</v>
      </c>
      <c r="F124" s="473">
        <v>0.48799999999999999</v>
      </c>
      <c r="G124" s="472">
        <v>0.77400000000000002</v>
      </c>
      <c r="H124" s="477"/>
      <c r="I124" s="482">
        <v>8.3000000000000007</v>
      </c>
      <c r="J124" s="488"/>
      <c r="K124" s="477"/>
      <c r="L124" s="473">
        <f>25*I124</f>
        <v>207.50000000000003</v>
      </c>
      <c r="M124" s="485" t="e">
        <f>(F118*F124)+(G118*G124)+(I118*I124)+J118+K118</f>
        <v>#REF!</v>
      </c>
    </row>
    <row r="125" spans="1:13">
      <c r="A125" s="523"/>
      <c r="B125" s="1421" t="s">
        <v>196</v>
      </c>
      <c r="C125" s="1422"/>
      <c r="D125" s="1423"/>
      <c r="E125" s="469" t="s">
        <v>1328</v>
      </c>
      <c r="F125" s="473">
        <v>0.47</v>
      </c>
      <c r="G125" s="472">
        <v>0.77200000000000002</v>
      </c>
      <c r="H125" s="477"/>
      <c r="I125" s="482">
        <v>9.1</v>
      </c>
      <c r="J125" s="488"/>
      <c r="K125" s="477"/>
      <c r="L125" s="473">
        <f>22*I125</f>
        <v>200.2</v>
      </c>
      <c r="M125" s="485" t="e">
        <f>(F118*F125)+(G118*G125)+(I118*I125)+J118+K118</f>
        <v>#REF!</v>
      </c>
    </row>
    <row r="126" spans="1:13">
      <c r="A126" s="523"/>
      <c r="B126" s="1421" t="s">
        <v>1482</v>
      </c>
      <c r="C126" s="1422"/>
      <c r="D126" s="1423"/>
      <c r="E126" s="469" t="s">
        <v>1328</v>
      </c>
      <c r="F126" s="473">
        <v>0.45300000000000001</v>
      </c>
      <c r="G126" s="472">
        <v>0.77600000000000002</v>
      </c>
      <c r="H126" s="477"/>
      <c r="I126" s="482">
        <v>9.6</v>
      </c>
      <c r="J126" s="488"/>
      <c r="K126" s="477"/>
      <c r="L126" s="473">
        <f>19*I126</f>
        <v>182.4</v>
      </c>
      <c r="M126" s="485"/>
    </row>
    <row r="127" spans="1:13">
      <c r="B127" s="1430" t="s">
        <v>197</v>
      </c>
      <c r="C127" s="1431"/>
      <c r="D127" s="1432"/>
      <c r="E127" s="512" t="s">
        <v>1328</v>
      </c>
      <c r="F127" s="519">
        <v>0.52300000000000002</v>
      </c>
      <c r="G127" s="514">
        <v>0.77</v>
      </c>
      <c r="H127" s="515">
        <v>1</v>
      </c>
      <c r="I127" s="515">
        <f>7.1*0.6</f>
        <v>4.26</v>
      </c>
      <c r="J127" s="516"/>
      <c r="K127" s="517"/>
      <c r="L127" s="513"/>
      <c r="M127" s="518" t="e">
        <f>(((F118*F127)+(G118*G127))*0.6)+(I118*I127)+(H118*H127)</f>
        <v>#REF!</v>
      </c>
    </row>
    <row r="128" spans="1:13">
      <c r="B128" s="1421" t="s">
        <v>198</v>
      </c>
      <c r="C128" s="1422"/>
      <c r="D128" s="1423"/>
      <c r="E128" s="469" t="s">
        <v>1328</v>
      </c>
      <c r="F128" s="474"/>
      <c r="G128" s="477"/>
      <c r="H128" s="477"/>
      <c r="I128" s="474"/>
      <c r="J128" s="488"/>
      <c r="K128" s="477"/>
      <c r="L128" s="477"/>
      <c r="M128" s="485"/>
    </row>
    <row r="129" spans="2:13" ht="15.75" thickBot="1">
      <c r="B129" s="1424" t="s">
        <v>199</v>
      </c>
      <c r="C129" s="1425"/>
      <c r="D129" s="1426"/>
      <c r="E129" s="470" t="s">
        <v>1328</v>
      </c>
      <c r="F129" s="475"/>
      <c r="G129" s="478"/>
      <c r="H129" s="480"/>
      <c r="I129" s="475"/>
      <c r="J129" s="489"/>
      <c r="K129" s="480"/>
      <c r="L129" s="480"/>
      <c r="M129" s="486"/>
    </row>
    <row r="130" spans="2:13" ht="15.75" thickBot="1">
      <c r="B130" s="491"/>
      <c r="C130" s="492"/>
      <c r="D130" s="492"/>
      <c r="E130" s="466"/>
      <c r="F130" s="397"/>
      <c r="G130" s="14"/>
      <c r="H130" s="17"/>
      <c r="I130" s="397"/>
      <c r="J130" s="17"/>
      <c r="K130" s="17"/>
      <c r="L130" s="17"/>
      <c r="M130" s="430"/>
    </row>
    <row r="131" spans="2:13" ht="15.75" thickBot="1">
      <c r="B131" s="1439" t="s">
        <v>1483</v>
      </c>
      <c r="C131" s="1440"/>
      <c r="D131" s="1441"/>
      <c r="E131" s="524"/>
      <c r="F131" s="525" t="s">
        <v>73</v>
      </c>
      <c r="G131" s="526"/>
      <c r="H131" s="527"/>
      <c r="I131" s="525" t="s">
        <v>1485</v>
      </c>
      <c r="J131" s="527"/>
      <c r="K131" s="527"/>
      <c r="L131" s="525" t="s">
        <v>1486</v>
      </c>
      <c r="M131" s="528" t="s">
        <v>4</v>
      </c>
    </row>
    <row r="132" spans="2:13" ht="15.75" thickBot="1">
      <c r="B132" s="1442" t="s">
        <v>1491</v>
      </c>
      <c r="C132" s="1443"/>
      <c r="D132" s="1444"/>
      <c r="E132" s="529" t="s">
        <v>1328</v>
      </c>
      <c r="F132" s="542">
        <v>1.07</v>
      </c>
      <c r="G132" s="535"/>
      <c r="H132" s="533"/>
      <c r="I132" s="542">
        <v>12.8</v>
      </c>
      <c r="J132" s="533"/>
      <c r="K132" s="533"/>
      <c r="L132" s="542">
        <v>240</v>
      </c>
      <c r="M132" s="539" t="e">
        <f>($F$118*F132)+($I$118*I132)+($L$118*L132)+J118</f>
        <v>#REF!</v>
      </c>
    </row>
    <row r="133" spans="2:13" ht="15.75" thickBot="1">
      <c r="B133" s="1433" t="s">
        <v>1484</v>
      </c>
      <c r="C133" s="1434"/>
      <c r="D133" s="1435"/>
      <c r="E133" s="530" t="s">
        <v>1328</v>
      </c>
      <c r="F133" s="532">
        <v>1.0900000000000001</v>
      </c>
      <c r="G133" s="536"/>
      <c r="H133" s="534"/>
      <c r="I133" s="532">
        <v>9.08</v>
      </c>
      <c r="J133" s="534"/>
      <c r="K133" s="534"/>
      <c r="L133" s="532">
        <v>240</v>
      </c>
      <c r="M133" s="539" t="e">
        <f>($F$118*F133)+($I$118*I133)+($L$118*L133)+J119</f>
        <v>#REF!</v>
      </c>
    </row>
    <row r="134" spans="2:13" ht="15.75" thickBot="1">
      <c r="B134" s="1433" t="s">
        <v>208</v>
      </c>
      <c r="C134" s="1434"/>
      <c r="D134" s="1435"/>
      <c r="E134" s="530" t="s">
        <v>1328</v>
      </c>
      <c r="F134" s="532">
        <v>1.1599999999999999</v>
      </c>
      <c r="G134" s="536"/>
      <c r="H134" s="534"/>
      <c r="I134" s="532">
        <v>7.28</v>
      </c>
      <c r="J134" s="534"/>
      <c r="K134" s="534"/>
      <c r="L134" s="532">
        <v>240</v>
      </c>
      <c r="M134" s="539" t="e">
        <f>($F$118*F134)+($I$118*I134)+($L$118*L134)+J120</f>
        <v>#REF!</v>
      </c>
    </row>
    <row r="135" spans="2:13" ht="15.75" thickBot="1">
      <c r="B135" s="1418" t="s">
        <v>209</v>
      </c>
      <c r="C135" s="1419"/>
      <c r="D135" s="1420"/>
      <c r="E135" s="531" t="s">
        <v>1328</v>
      </c>
      <c r="F135" s="540">
        <v>1.2</v>
      </c>
      <c r="G135" s="540"/>
      <c r="H135" s="541"/>
      <c r="I135" s="540">
        <v>6</v>
      </c>
      <c r="J135" s="541"/>
      <c r="K135" s="541"/>
      <c r="L135" s="537">
        <v>240</v>
      </c>
      <c r="M135" s="538" t="e">
        <f>($F$118*F135)+($I$118*I135)+($L$118*L135)+J121</f>
        <v>#REF!</v>
      </c>
    </row>
    <row r="136" spans="2:13">
      <c r="G136" s="17"/>
    </row>
    <row r="137" spans="2:13">
      <c r="E137" s="17"/>
    </row>
    <row r="140" spans="2:13">
      <c r="M140" s="26" t="e">
        <f>M134*1.05</f>
        <v>#REF!</v>
      </c>
    </row>
    <row r="142" spans="2:13" ht="86.25" customHeight="1">
      <c r="B142" s="46" t="s">
        <v>374</v>
      </c>
      <c r="C142" s="47" t="s">
        <v>19</v>
      </c>
      <c r="D142" s="48">
        <v>3571</v>
      </c>
    </row>
    <row r="144" spans="2:13">
      <c r="G144" s="33">
        <v>25000</v>
      </c>
      <c r="I144">
        <v>28000</v>
      </c>
    </row>
    <row r="145" spans="7:9">
      <c r="G145" s="33">
        <f>ROUND((G144/7),0)</f>
        <v>3571</v>
      </c>
      <c r="I145">
        <f>I144/8</f>
        <v>3500</v>
      </c>
    </row>
  </sheetData>
  <mergeCells count="87">
    <mergeCell ref="B131:D131"/>
    <mergeCell ref="B133:D133"/>
    <mergeCell ref="B91:D91"/>
    <mergeCell ref="B107:C107"/>
    <mergeCell ref="B108:C108"/>
    <mergeCell ref="B112:C112"/>
    <mergeCell ref="B113:C113"/>
    <mergeCell ref="B132:D132"/>
    <mergeCell ref="H80:J80"/>
    <mergeCell ref="H81:J81"/>
    <mergeCell ref="H83:J83"/>
    <mergeCell ref="H84:J84"/>
    <mergeCell ref="H85:J85"/>
    <mergeCell ref="B90:D90"/>
    <mergeCell ref="H87:J87"/>
    <mergeCell ref="H88:J88"/>
    <mergeCell ref="H89:J89"/>
    <mergeCell ref="H90:J90"/>
    <mergeCell ref="B86:D86"/>
    <mergeCell ref="B87:D87"/>
    <mergeCell ref="B88:D88"/>
    <mergeCell ref="B85:D85"/>
    <mergeCell ref="H86:J86"/>
    <mergeCell ref="B134:D134"/>
    <mergeCell ref="B99:D99"/>
    <mergeCell ref="B92:D92"/>
    <mergeCell ref="B95:D95"/>
    <mergeCell ref="B96:D96"/>
    <mergeCell ref="B97:D97"/>
    <mergeCell ref="B98:D98"/>
    <mergeCell ref="B94:D94"/>
    <mergeCell ref="B93:D93"/>
    <mergeCell ref="B106:C106"/>
    <mergeCell ref="B105:C105"/>
    <mergeCell ref="B111:C111"/>
    <mergeCell ref="B109:C109"/>
    <mergeCell ref="B110:C110"/>
    <mergeCell ref="B120:D120"/>
    <mergeCell ref="B126:D126"/>
    <mergeCell ref="B135:D135"/>
    <mergeCell ref="B103:D103"/>
    <mergeCell ref="B100:D100"/>
    <mergeCell ref="B102:D102"/>
    <mergeCell ref="B101:D101"/>
    <mergeCell ref="B128:D128"/>
    <mergeCell ref="B129:D129"/>
    <mergeCell ref="B117:D117"/>
    <mergeCell ref="B125:D125"/>
    <mergeCell ref="B127:D127"/>
    <mergeCell ref="B122:D122"/>
    <mergeCell ref="B123:D123"/>
    <mergeCell ref="B124:D124"/>
    <mergeCell ref="B104:D104"/>
    <mergeCell ref="B114:L115"/>
    <mergeCell ref="B121:D121"/>
    <mergeCell ref="B61:D61"/>
    <mergeCell ref="B66:D66"/>
    <mergeCell ref="B67:D67"/>
    <mergeCell ref="B68:D68"/>
    <mergeCell ref="B69:D69"/>
    <mergeCell ref="B62:D62"/>
    <mergeCell ref="B63:D63"/>
    <mergeCell ref="B64:D64"/>
    <mergeCell ref="B65:D65"/>
    <mergeCell ref="B74:D74"/>
    <mergeCell ref="B70:D70"/>
    <mergeCell ref="B71:D71"/>
    <mergeCell ref="B89:D89"/>
    <mergeCell ref="B81:D81"/>
    <mergeCell ref="B82:D82"/>
    <mergeCell ref="B83:D83"/>
    <mergeCell ref="B84:D84"/>
    <mergeCell ref="B77:D77"/>
    <mergeCell ref="B78:D78"/>
    <mergeCell ref="B80:D80"/>
    <mergeCell ref="B72:D72"/>
    <mergeCell ref="B76:D76"/>
    <mergeCell ref="B75:D75"/>
    <mergeCell ref="B73:D73"/>
    <mergeCell ref="B79:D79"/>
    <mergeCell ref="B60:D60"/>
    <mergeCell ref="B1:L1"/>
    <mergeCell ref="B26:L26"/>
    <mergeCell ref="B51:L51"/>
    <mergeCell ref="B58:L59"/>
    <mergeCell ref="B13:K13"/>
    <mergeCell ref="B3:K3"/>
  </mergeCells>
  <printOptions horizontalCentered="1"/>
  <pageMargins left="0.23622047244094491" right="0.23622047244094491" top="0.74803149606299213" bottom="0.74803149606299213" header="0.31496062992125984" footer="0.31496062992125984"/>
  <pageSetup scale="80" orientation="landscape" r:id="rId1"/>
  <rowBreaks count="3" manualBreakCount="3">
    <brk id="23" min="1" max="12" man="1"/>
    <brk id="57" min="1" max="12" man="1"/>
    <brk id="113" min="1" max="12"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zoomScaleNormal="100"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680</v>
      </c>
      <c r="H7" s="61"/>
    </row>
    <row r="8" spans="1:8">
      <c r="A8" s="60" t="s">
        <v>1838</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1825.4887567167689</v>
      </c>
      <c r="H12" s="72"/>
    </row>
    <row r="13" spans="1:8">
      <c r="A13" s="83" t="s">
        <v>63</v>
      </c>
      <c r="B13" s="84"/>
      <c r="C13" s="85"/>
      <c r="D13" s="73" t="s">
        <v>6</v>
      </c>
      <c r="E13" s="74">
        <f>+'EQUIPOS '!D9</f>
        <v>84100</v>
      </c>
      <c r="F13" s="137">
        <v>3</v>
      </c>
      <c r="G13" s="71">
        <f>+E13/F13</f>
        <v>28033.333333333332</v>
      </c>
      <c r="H13" s="72"/>
    </row>
    <row r="14" spans="1:8">
      <c r="A14" s="164"/>
      <c r="B14" s="165"/>
      <c r="C14" s="166"/>
      <c r="D14" s="167"/>
      <c r="E14" s="167"/>
      <c r="F14" s="167"/>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29858.8220900501</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t="s">
        <v>681</v>
      </c>
      <c r="B28" s="84"/>
      <c r="C28" s="95"/>
      <c r="D28" s="96">
        <v>12</v>
      </c>
      <c r="E28" s="96">
        <v>1</v>
      </c>
      <c r="F28" s="97">
        <f>+'EQUIPOS '!D31</f>
        <v>1060</v>
      </c>
      <c r="G28" s="97">
        <f>+D28*E28*F28</f>
        <v>12720</v>
      </c>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12720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656</v>
      </c>
      <c r="B34" s="84"/>
      <c r="C34" s="103">
        <f>+SALARIOS!C49*4</f>
        <v>102288</v>
      </c>
      <c r="D34" s="104">
        <f>+SALARIOS!C48</f>
        <v>1.7846558312967005</v>
      </c>
      <c r="E34" s="69">
        <f>+C34*D34</f>
        <v>182548.87567167688</v>
      </c>
      <c r="F34" s="69">
        <v>10</v>
      </c>
      <c r="G34" s="105">
        <f>+E34/F34</f>
        <v>18254.887567167687</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18254.887567167687</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60833.709657217791</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9125.056448582669</v>
      </c>
      <c r="H43" s="117"/>
    </row>
    <row r="44" spans="1:8">
      <c r="A44" s="83" t="s">
        <v>513</v>
      </c>
      <c r="B44" s="84"/>
      <c r="C44" s="84"/>
      <c r="D44" s="84"/>
      <c r="E44" s="85"/>
      <c r="F44" s="115">
        <f>(SALARIOS!C46)</f>
        <v>0.05</v>
      </c>
      <c r="G44" s="116">
        <f>+F44*H40</f>
        <v>3041.6854828608898</v>
      </c>
      <c r="H44" s="117"/>
    </row>
    <row r="45" spans="1:8" ht="15.75" thickBot="1">
      <c r="A45" s="89" t="s">
        <v>514</v>
      </c>
      <c r="B45" s="90"/>
      <c r="C45" s="90"/>
      <c r="D45" s="90"/>
      <c r="E45" s="91"/>
      <c r="F45" s="118">
        <f>SALARIOS!C47</f>
        <v>0.05</v>
      </c>
      <c r="G45" s="119">
        <f>+F45*H40</f>
        <v>3041.6854828608898</v>
      </c>
      <c r="H45" s="80"/>
    </row>
    <row r="46" spans="1:8" ht="15.75" thickBot="1">
      <c r="A46" s="61"/>
      <c r="B46" s="61"/>
      <c r="C46" s="61"/>
      <c r="D46" s="61"/>
      <c r="E46" s="61"/>
      <c r="F46" s="61"/>
      <c r="G46" s="81" t="s">
        <v>491</v>
      </c>
      <c r="H46" s="120">
        <f>SUM(G43:G45)</f>
        <v>15208.427414304449</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76042</v>
      </c>
    </row>
  </sheetData>
  <mergeCells count="10">
    <mergeCell ref="A33:B33"/>
    <mergeCell ref="A3:C4"/>
    <mergeCell ref="A5:C5"/>
    <mergeCell ref="D5:H5"/>
    <mergeCell ref="A11:C11"/>
    <mergeCell ref="A15:C15"/>
    <mergeCell ref="A16:C16"/>
    <mergeCell ref="A17:C17"/>
    <mergeCell ref="A20:C20"/>
    <mergeCell ref="A27:B27"/>
  </mergeCells>
  <pageMargins left="0.7" right="0.7" top="0.75" bottom="0.75" header="0.3" footer="0.3"/>
  <pageSetup paperSize="9" scale="9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topLeftCell="A34" zoomScaleNormal="100"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682</v>
      </c>
      <c r="H7" s="61"/>
    </row>
    <row r="8" spans="1:8">
      <c r="A8" s="60" t="s">
        <v>1839</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3</v>
      </c>
      <c r="B12" s="176"/>
      <c r="C12" s="174"/>
      <c r="D12" s="174"/>
      <c r="E12" s="173"/>
      <c r="F12" s="69"/>
      <c r="G12" s="173">
        <f>H38*10%</f>
        <v>2028.32084079641</v>
      </c>
      <c r="H12" s="72"/>
    </row>
    <row r="13" spans="1:8">
      <c r="A13" s="83" t="s">
        <v>63</v>
      </c>
      <c r="B13" s="84"/>
      <c r="C13" s="85"/>
      <c r="D13" s="73" t="s">
        <v>6</v>
      </c>
      <c r="E13" s="74">
        <f>+'EQUIPOS '!D9</f>
        <v>84100</v>
      </c>
      <c r="F13" s="137">
        <v>2</v>
      </c>
      <c r="G13" s="71">
        <f>+E13/F13</f>
        <v>42050</v>
      </c>
      <c r="H13" s="72"/>
    </row>
    <row r="14" spans="1:8">
      <c r="A14" s="164"/>
      <c r="B14" s="165"/>
      <c r="C14" s="166"/>
      <c r="D14" s="167"/>
      <c r="E14" s="167"/>
      <c r="F14" s="167"/>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44078.320840796412</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t="s">
        <v>681</v>
      </c>
      <c r="B28" s="84"/>
      <c r="C28" s="95"/>
      <c r="D28" s="96">
        <v>12</v>
      </c>
      <c r="E28" s="96">
        <v>1</v>
      </c>
      <c r="F28" s="97">
        <f>+'EQUIPOS '!D31</f>
        <v>1060</v>
      </c>
      <c r="G28" s="97">
        <f>+D28*E28*F28</f>
        <v>12720</v>
      </c>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12720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656</v>
      </c>
      <c r="B34" s="84"/>
      <c r="C34" s="103">
        <f>+SALARIOS!C49*4</f>
        <v>102288</v>
      </c>
      <c r="D34" s="104">
        <f>+SALARIOS!C48</f>
        <v>1.7846558312967005</v>
      </c>
      <c r="E34" s="69">
        <f>+C34*D34</f>
        <v>182548.87567167688</v>
      </c>
      <c r="F34" s="69">
        <v>9</v>
      </c>
      <c r="G34" s="105">
        <f>+E34/F34</f>
        <v>20283.208407964099</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20283.208407964099</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77081.529248760518</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11562.229387314077</v>
      </c>
      <c r="H43" s="117"/>
    </row>
    <row r="44" spans="1:8">
      <c r="A44" s="83" t="s">
        <v>513</v>
      </c>
      <c r="B44" s="84"/>
      <c r="C44" s="84"/>
      <c r="D44" s="84"/>
      <c r="E44" s="85"/>
      <c r="F44" s="115">
        <f>(SALARIOS!C46)</f>
        <v>0.05</v>
      </c>
      <c r="G44" s="116">
        <f>+F44*H40</f>
        <v>3854.0764624380263</v>
      </c>
      <c r="H44" s="117"/>
    </row>
    <row r="45" spans="1:8" ht="15.75" thickBot="1">
      <c r="A45" s="89" t="s">
        <v>514</v>
      </c>
      <c r="B45" s="90"/>
      <c r="C45" s="90"/>
      <c r="D45" s="90"/>
      <c r="E45" s="91"/>
      <c r="F45" s="118">
        <f>SALARIOS!C47</f>
        <v>0.05</v>
      </c>
      <c r="G45" s="119">
        <f>+F45*H40</f>
        <v>3854.0764624380263</v>
      </c>
      <c r="H45" s="80"/>
    </row>
    <row r="46" spans="1:8" ht="15.75" thickBot="1">
      <c r="A46" s="61"/>
      <c r="B46" s="61"/>
      <c r="C46" s="61"/>
      <c r="D46" s="61"/>
      <c r="E46" s="61"/>
      <c r="F46" s="61"/>
      <c r="G46" s="81" t="s">
        <v>491</v>
      </c>
      <c r="H46" s="120">
        <f>SUM(G43:G45)</f>
        <v>19270.38231219013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96352</v>
      </c>
    </row>
  </sheetData>
  <mergeCells count="10">
    <mergeCell ref="A33:B33"/>
    <mergeCell ref="A3:C4"/>
    <mergeCell ref="A5:C5"/>
    <mergeCell ref="D5:H5"/>
    <mergeCell ref="A11:C11"/>
    <mergeCell ref="A15:C15"/>
    <mergeCell ref="A16:C16"/>
    <mergeCell ref="A17:C17"/>
    <mergeCell ref="A20:C20"/>
    <mergeCell ref="A27:B27"/>
  </mergeCells>
  <pageMargins left="0.7" right="0.7" top="0.75" bottom="0.75" header="0.3" footer="0.3"/>
  <pageSetup paperSize="9"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topLeftCell="A4" workbookViewId="0">
      <selection activeCell="G12" sqref="G1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683</v>
      </c>
      <c r="H7" s="61"/>
    </row>
    <row r="8" spans="1:8">
      <c r="A8" s="60" t="s">
        <v>684</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773.51218504947838</v>
      </c>
      <c r="H12" s="72"/>
    </row>
    <row r="13" spans="1:8">
      <c r="A13" s="83" t="s">
        <v>14</v>
      </c>
      <c r="B13" s="84"/>
      <c r="C13" s="85"/>
      <c r="D13" s="73" t="s">
        <v>6</v>
      </c>
      <c r="E13" s="74">
        <f>+'EQUIPOS '!D10</f>
        <v>87000</v>
      </c>
      <c r="F13" s="137">
        <v>14</v>
      </c>
      <c r="G13" s="71">
        <f>+E13/F13</f>
        <v>6214.2857142857147</v>
      </c>
      <c r="H13" s="72"/>
    </row>
    <row r="14" spans="1:8">
      <c r="A14" s="164"/>
      <c r="B14" s="165"/>
      <c r="C14" s="166"/>
      <c r="D14" s="167"/>
      <c r="E14" s="167"/>
      <c r="F14" s="167"/>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6987.7978993351935</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553</v>
      </c>
      <c r="B34" s="84"/>
      <c r="C34" s="103">
        <f>+SALARIOS!C49*2</f>
        <v>51144</v>
      </c>
      <c r="D34" s="104">
        <f>+SALARIOS!C48</f>
        <v>1.7846558312967005</v>
      </c>
      <c r="E34" s="69">
        <f>+C34*D34</f>
        <v>91274.437835838442</v>
      </c>
      <c r="F34" s="69">
        <v>11.8</v>
      </c>
      <c r="G34" s="105">
        <f>+E34/F34</f>
        <v>7735.1218504947828</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7735.1218504947828</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14722.919749829976</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2208.4379624744965</v>
      </c>
      <c r="H43" s="117"/>
    </row>
    <row r="44" spans="1:8">
      <c r="A44" s="83" t="s">
        <v>513</v>
      </c>
      <c r="B44" s="84"/>
      <c r="C44" s="84"/>
      <c r="D44" s="84"/>
      <c r="E44" s="85"/>
      <c r="F44" s="115">
        <f>(SALARIOS!C46)</f>
        <v>0.05</v>
      </c>
      <c r="G44" s="116">
        <f>+F44*H40</f>
        <v>736.14598749149889</v>
      </c>
      <c r="H44" s="117"/>
    </row>
    <row r="45" spans="1:8" ht="15.75" thickBot="1">
      <c r="A45" s="89" t="s">
        <v>514</v>
      </c>
      <c r="B45" s="90"/>
      <c r="C45" s="90"/>
      <c r="D45" s="90"/>
      <c r="E45" s="91"/>
      <c r="F45" s="118">
        <f>SALARIOS!C47</f>
        <v>0.05</v>
      </c>
      <c r="G45" s="119">
        <f>+F45*H40</f>
        <v>736.14598749149889</v>
      </c>
      <c r="H45" s="80"/>
    </row>
    <row r="46" spans="1:8" ht="15.75" thickBot="1">
      <c r="A46" s="61"/>
      <c r="B46" s="61"/>
      <c r="C46" s="61"/>
      <c r="D46" s="61"/>
      <c r="E46" s="61"/>
      <c r="F46" s="61"/>
      <c r="G46" s="81" t="s">
        <v>491</v>
      </c>
      <c r="H46" s="120">
        <f>SUM(G43:G45)</f>
        <v>3680.7299374574945</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18404</v>
      </c>
    </row>
  </sheetData>
  <mergeCells count="10">
    <mergeCell ref="A33:B33"/>
    <mergeCell ref="A3:C4"/>
    <mergeCell ref="A5:C5"/>
    <mergeCell ref="D5:H5"/>
    <mergeCell ref="A11:C11"/>
    <mergeCell ref="A15:C15"/>
    <mergeCell ref="A16:C16"/>
    <mergeCell ref="A17:C17"/>
    <mergeCell ref="A20:C20"/>
    <mergeCell ref="A27:B27"/>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election activeCell="D14" sqref="D14"/>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685</v>
      </c>
      <c r="H7" s="61"/>
    </row>
    <row r="8" spans="1:8">
      <c r="A8" s="60" t="s">
        <v>686</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83" t="s">
        <v>110</v>
      </c>
      <c r="B12" s="84"/>
      <c r="C12" s="85"/>
      <c r="D12" s="73" t="s">
        <v>6</v>
      </c>
      <c r="E12" s="74">
        <f>+'EQUIPOS '!D12</f>
        <v>115999.99999999999</v>
      </c>
      <c r="F12" s="69">
        <v>53</v>
      </c>
      <c r="G12" s="71">
        <f>+E12/F12</f>
        <v>2188.6792452830186</v>
      </c>
      <c r="H12" s="72"/>
    </row>
    <row r="13" spans="1:8">
      <c r="A13" s="83" t="s">
        <v>643</v>
      </c>
      <c r="B13" s="84"/>
      <c r="C13" s="85"/>
      <c r="D13" s="73" t="s">
        <v>6</v>
      </c>
      <c r="E13" s="74">
        <f>+'EQUIPOS '!D4</f>
        <v>87000</v>
      </c>
      <c r="F13" s="137">
        <v>53</v>
      </c>
      <c r="G13" s="71">
        <f>+E13/F13</f>
        <v>1641.5094339622642</v>
      </c>
      <c r="H13" s="72"/>
    </row>
    <row r="14" spans="1:8">
      <c r="A14" s="164"/>
      <c r="B14" s="165"/>
      <c r="C14" s="166"/>
      <c r="D14" s="167"/>
      <c r="E14" s="167"/>
      <c r="F14" s="167"/>
      <c r="H14" s="72"/>
    </row>
    <row r="15" spans="1:8">
      <c r="A15" s="164"/>
      <c r="B15" s="165"/>
      <c r="C15" s="166"/>
      <c r="D15" s="167"/>
      <c r="E15" s="167"/>
      <c r="F15" s="167"/>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3830.1886792452829</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c r="B34" s="84"/>
      <c r="C34" s="103"/>
      <c r="D34" s="104"/>
      <c r="E34" s="69"/>
      <c r="F34" s="69"/>
      <c r="G34" s="105"/>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0</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3830.1886792452829</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574.52830188679241</v>
      </c>
      <c r="H43" s="117"/>
    </row>
    <row r="44" spans="1:8">
      <c r="A44" s="83" t="s">
        <v>513</v>
      </c>
      <c r="B44" s="84"/>
      <c r="C44" s="84"/>
      <c r="D44" s="84"/>
      <c r="E44" s="85"/>
      <c r="F44" s="115">
        <f>(SALARIOS!C46)</f>
        <v>0.05</v>
      </c>
      <c r="G44" s="116">
        <f>+F44*H40</f>
        <v>191.50943396226415</v>
      </c>
      <c r="H44" s="117"/>
    </row>
    <row r="45" spans="1:8" ht="15.75" thickBot="1">
      <c r="A45" s="89" t="s">
        <v>514</v>
      </c>
      <c r="B45" s="90"/>
      <c r="C45" s="90"/>
      <c r="D45" s="90"/>
      <c r="E45" s="91"/>
      <c r="F45" s="118">
        <f>SALARIOS!C47</f>
        <v>0.05</v>
      </c>
      <c r="G45" s="119">
        <f>+F45*H40</f>
        <v>191.50943396226415</v>
      </c>
      <c r="H45" s="80"/>
    </row>
    <row r="46" spans="1:8" ht="15.75" thickBot="1">
      <c r="A46" s="61"/>
      <c r="B46" s="61"/>
      <c r="C46" s="61"/>
      <c r="D46" s="61"/>
      <c r="E46" s="61"/>
      <c r="F46" s="61"/>
      <c r="G46" s="81" t="s">
        <v>491</v>
      </c>
      <c r="H46" s="120">
        <f>SUM(G43:G45)</f>
        <v>957.54716981132083</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4788</v>
      </c>
    </row>
  </sheetData>
  <mergeCells count="9">
    <mergeCell ref="A33:B33"/>
    <mergeCell ref="A3:C4"/>
    <mergeCell ref="A5:C5"/>
    <mergeCell ref="D5:H5"/>
    <mergeCell ref="A11:C11"/>
    <mergeCell ref="A16:C16"/>
    <mergeCell ref="A17:C17"/>
    <mergeCell ref="A20:C20"/>
    <mergeCell ref="A27:B27"/>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topLeftCell="A31"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687</v>
      </c>
      <c r="H7" s="61"/>
    </row>
    <row r="8" spans="1:8">
      <c r="A8" s="60" t="s">
        <v>688</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1636</v>
      </c>
      <c r="B12" s="1481"/>
      <c r="C12" s="1482"/>
      <c r="D12" s="68" t="s">
        <v>1809</v>
      </c>
      <c r="E12" s="86">
        <f>'EQUIPOS '!D8</f>
        <v>4640</v>
      </c>
      <c r="F12" s="161">
        <v>1</v>
      </c>
      <c r="G12" s="71">
        <f>+E12*F12</f>
        <v>4640</v>
      </c>
      <c r="H12" s="72"/>
    </row>
    <row r="13" spans="1:8">
      <c r="A13" s="175" t="s">
        <v>1327</v>
      </c>
      <c r="B13" s="176"/>
      <c r="C13" s="174"/>
      <c r="D13" s="174"/>
      <c r="E13" s="173"/>
      <c r="F13" s="69"/>
      <c r="G13" s="173">
        <f>H38*10%</f>
        <v>671.56010566507734</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5311.5601056650776</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1323</v>
      </c>
      <c r="B21" s="84"/>
      <c r="C21" s="85"/>
      <c r="D21" s="141" t="s">
        <v>68</v>
      </c>
      <c r="E21" s="139">
        <f>MATERIALES!D8</f>
        <v>68</v>
      </c>
      <c r="F21" s="163">
        <v>1</v>
      </c>
      <c r="G21" s="88">
        <f>E21*F21</f>
        <v>68</v>
      </c>
      <c r="H21" s="59"/>
    </row>
    <row r="22" spans="1:8">
      <c r="A22" s="127"/>
      <c r="B22" s="84"/>
      <c r="C22" s="85"/>
      <c r="D22" s="68"/>
      <c r="E22" s="142"/>
      <c r="F22" s="69"/>
      <c r="G22" s="71"/>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68</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553</v>
      </c>
      <c r="B34" s="84"/>
      <c r="C34" s="103">
        <f>+SALARIOS!C49*2</f>
        <v>51144</v>
      </c>
      <c r="D34" s="104">
        <f>+SALARIOS!C48</f>
        <v>1.7846558312967005</v>
      </c>
      <c r="E34" s="69">
        <f>+C34*D34</f>
        <v>91274.437835838442</v>
      </c>
      <c r="F34" s="69">
        <v>13.591402625896771</v>
      </c>
      <c r="G34" s="105">
        <f>+E34/F34</f>
        <v>6715.601056650773</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6715.601056650773</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12095.16116231585</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1814.2741743473773</v>
      </c>
      <c r="H43" s="117"/>
    </row>
    <row r="44" spans="1:8">
      <c r="A44" s="83" t="s">
        <v>513</v>
      </c>
      <c r="B44" s="84"/>
      <c r="C44" s="84"/>
      <c r="D44" s="84"/>
      <c r="E44" s="85"/>
      <c r="F44" s="115">
        <f>(SALARIOS!C46)</f>
        <v>0.05</v>
      </c>
      <c r="G44" s="116">
        <f>+F44*H40</f>
        <v>604.75805811579255</v>
      </c>
      <c r="H44" s="117"/>
    </row>
    <row r="45" spans="1:8" ht="15.75" thickBot="1">
      <c r="A45" s="89" t="s">
        <v>514</v>
      </c>
      <c r="B45" s="90"/>
      <c r="C45" s="90"/>
      <c r="D45" s="90"/>
      <c r="E45" s="91"/>
      <c r="F45" s="118">
        <f>SALARIOS!C47</f>
        <v>0.05</v>
      </c>
      <c r="G45" s="119">
        <f>+F45*H40</f>
        <v>604.75805811579255</v>
      </c>
      <c r="H45" s="80"/>
    </row>
    <row r="46" spans="1:8" ht="15.75" thickBot="1">
      <c r="A46" s="61"/>
      <c r="B46" s="61"/>
      <c r="C46" s="61"/>
      <c r="D46" s="61"/>
      <c r="E46" s="61"/>
      <c r="F46" s="61"/>
      <c r="G46" s="81" t="s">
        <v>491</v>
      </c>
      <c r="H46" s="120">
        <f>SUM(G43:G45)</f>
        <v>3023.7902905789624</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15119</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J48"/>
  <sheetViews>
    <sheetView topLeftCell="A25" workbookViewId="0"/>
  </sheetViews>
  <sheetFormatPr baseColWidth="10" defaultRowHeight="15"/>
  <cols>
    <col min="10" max="10" width="12" bestFit="1" customWidth="1"/>
  </cols>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689</v>
      </c>
      <c r="H7" s="61"/>
    </row>
    <row r="8" spans="1:8">
      <c r="A8" s="60" t="s">
        <v>690</v>
      </c>
      <c r="B8" s="62"/>
      <c r="C8" s="61"/>
      <c r="D8" s="62"/>
      <c r="E8" s="62"/>
      <c r="F8" s="62"/>
      <c r="G8" s="62" t="s">
        <v>517</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1636</v>
      </c>
      <c r="B12" s="1481"/>
      <c r="C12" s="1482"/>
      <c r="D12" s="68" t="s">
        <v>1809</v>
      </c>
      <c r="E12" s="86">
        <f>'EQUIPOS '!D8</f>
        <v>4640</v>
      </c>
      <c r="F12" s="161">
        <v>1</v>
      </c>
      <c r="G12" s="708">
        <f>+E12*F12</f>
        <v>4640</v>
      </c>
      <c r="H12" s="72"/>
    </row>
    <row r="13" spans="1:8">
      <c r="A13" s="175" t="s">
        <v>1327</v>
      </c>
      <c r="B13" s="176"/>
      <c r="C13" s="174"/>
      <c r="D13" s="174"/>
      <c r="E13" s="173"/>
      <c r="F13" s="69"/>
      <c r="G13" s="173">
        <f>H38*10%</f>
        <v>875.89612717365128</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5515.8961271736516</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1323</v>
      </c>
      <c r="B21" s="84"/>
      <c r="C21" s="85"/>
      <c r="D21" s="141" t="s">
        <v>68</v>
      </c>
      <c r="E21" s="139">
        <f>MATERIALES!D8</f>
        <v>68</v>
      </c>
      <c r="F21" s="163">
        <v>1</v>
      </c>
      <c r="G21" s="88">
        <f>E21*F21</f>
        <v>68</v>
      </c>
      <c r="H21" s="72"/>
    </row>
    <row r="22" spans="1:8">
      <c r="A22" s="127"/>
      <c r="B22" s="84"/>
      <c r="C22" s="85"/>
      <c r="D22" s="68"/>
      <c r="E22" s="142"/>
      <c r="F22" s="70"/>
      <c r="G22" s="71"/>
      <c r="H22" s="72"/>
    </row>
    <row r="23" spans="1:8">
      <c r="A23" s="128"/>
      <c r="B23" s="129"/>
      <c r="C23" s="130"/>
      <c r="D23" s="131"/>
      <c r="E23" s="132"/>
      <c r="F23" s="133"/>
      <c r="G23" s="71"/>
      <c r="H23" s="72"/>
    </row>
    <row r="24" spans="1:8" ht="15.75" thickBot="1">
      <c r="A24" s="89"/>
      <c r="B24" s="90"/>
      <c r="C24" s="91"/>
      <c r="D24" s="76"/>
      <c r="E24" s="77"/>
      <c r="F24" s="78"/>
      <c r="G24" s="79"/>
      <c r="H24" s="80"/>
    </row>
    <row r="25" spans="1:8" ht="15.75" thickBot="1">
      <c r="A25" s="61"/>
      <c r="B25" s="61"/>
      <c r="C25" s="61"/>
      <c r="D25" s="61"/>
      <c r="E25" s="61"/>
      <c r="F25" s="61"/>
      <c r="G25" s="81" t="s">
        <v>491</v>
      </c>
      <c r="H25" s="82">
        <f>SUM(G21:G24)</f>
        <v>68</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10">
      <c r="A33" s="1454" t="s">
        <v>503</v>
      </c>
      <c r="B33" s="1456"/>
      <c r="C33" s="186" t="s">
        <v>504</v>
      </c>
      <c r="D33" s="186" t="s">
        <v>505</v>
      </c>
      <c r="E33" s="124" t="s">
        <v>506</v>
      </c>
      <c r="F33" s="102" t="s">
        <v>488</v>
      </c>
      <c r="G33" s="185" t="s">
        <v>489</v>
      </c>
      <c r="H33" s="67"/>
    </row>
    <row r="34" spans="1:10">
      <c r="A34" s="83" t="s">
        <v>553</v>
      </c>
      <c r="B34" s="84"/>
      <c r="C34" s="103">
        <f>+SALARIOS!C49*2</f>
        <v>51144</v>
      </c>
      <c r="D34" s="104">
        <f>+SALARIOS!C48</f>
        <v>1.7846558312967005</v>
      </c>
      <c r="E34" s="69">
        <f>+C34*D34</f>
        <v>91274.437835838442</v>
      </c>
      <c r="F34" s="69">
        <v>10.420692020909321</v>
      </c>
      <c r="G34" s="105">
        <f>+E34/F34</f>
        <v>8758.9612717365126</v>
      </c>
      <c r="H34" s="72"/>
    </row>
    <row r="35" spans="1:10">
      <c r="A35" s="83"/>
      <c r="B35" s="84"/>
      <c r="C35" s="103"/>
      <c r="D35" s="104"/>
      <c r="E35" s="69"/>
      <c r="F35" s="69"/>
      <c r="G35" s="105"/>
      <c r="H35" s="72"/>
    </row>
    <row r="36" spans="1:10">
      <c r="A36" s="83"/>
      <c r="B36" s="84"/>
      <c r="C36" s="103"/>
      <c r="D36" s="104"/>
      <c r="E36" s="69"/>
      <c r="F36" s="69"/>
      <c r="G36" s="105"/>
      <c r="H36" s="72"/>
    </row>
    <row r="37" spans="1:10" ht="15.75" thickBot="1">
      <c r="A37" s="100"/>
      <c r="B37" s="106"/>
      <c r="C37" s="77"/>
      <c r="D37" s="91"/>
      <c r="E37" s="143"/>
      <c r="F37" s="91"/>
      <c r="G37" s="90"/>
      <c r="H37" s="80"/>
    </row>
    <row r="38" spans="1:10" ht="15.75" thickBot="1">
      <c r="A38" s="61"/>
      <c r="B38" s="61"/>
      <c r="C38" s="61"/>
      <c r="D38" s="61"/>
      <c r="E38" s="61"/>
      <c r="F38" s="61"/>
      <c r="G38" s="81" t="s">
        <v>491</v>
      </c>
      <c r="H38" s="82">
        <f>SUM(G34:G37)</f>
        <v>8758.9612717365126</v>
      </c>
    </row>
    <row r="39" spans="1:10" ht="15.75" thickBot="1">
      <c r="A39" s="61"/>
      <c r="B39" s="61"/>
      <c r="C39" s="61"/>
      <c r="D39" s="61"/>
      <c r="E39" s="61"/>
      <c r="F39" s="61"/>
      <c r="G39" s="107"/>
      <c r="H39" s="58"/>
    </row>
    <row r="40" spans="1:10" ht="15.75" thickBot="1">
      <c r="A40" s="61"/>
      <c r="B40" s="61"/>
      <c r="C40" s="61"/>
      <c r="D40" s="61"/>
      <c r="E40" s="108" t="s">
        <v>508</v>
      </c>
      <c r="F40" s="109"/>
      <c r="G40" s="109"/>
      <c r="H40" s="82">
        <f>H18+H25+H31+H38</f>
        <v>14342.857398910164</v>
      </c>
      <c r="J40" s="33"/>
    </row>
    <row r="41" spans="1:10" ht="15.75" thickBot="1">
      <c r="A41" s="63" t="s">
        <v>509</v>
      </c>
      <c r="B41" s="63"/>
      <c r="C41" s="61"/>
      <c r="D41" s="61"/>
      <c r="E41" s="61"/>
      <c r="F41" s="61"/>
      <c r="G41" s="61"/>
      <c r="H41" s="61"/>
    </row>
    <row r="42" spans="1:10">
      <c r="A42" s="110" t="s">
        <v>485</v>
      </c>
      <c r="B42" s="111"/>
      <c r="C42" s="111"/>
      <c r="D42" s="111"/>
      <c r="E42" s="112"/>
      <c r="F42" s="188" t="s">
        <v>510</v>
      </c>
      <c r="G42" s="187" t="s">
        <v>511</v>
      </c>
      <c r="H42" s="67"/>
      <c r="J42" s="26"/>
    </row>
    <row r="43" spans="1:10">
      <c r="A43" s="83" t="s">
        <v>512</v>
      </c>
      <c r="B43" s="84"/>
      <c r="C43" s="84"/>
      <c r="D43" s="84"/>
      <c r="E43" s="85"/>
      <c r="F43" s="115">
        <f>(SALARIOS!C45)</f>
        <v>0.15</v>
      </c>
      <c r="G43" s="116">
        <f>++F43*H40</f>
        <v>2151.4286098365246</v>
      </c>
      <c r="H43" s="117"/>
    </row>
    <row r="44" spans="1:10">
      <c r="A44" s="83" t="s">
        <v>513</v>
      </c>
      <c r="B44" s="84"/>
      <c r="C44" s="84"/>
      <c r="D44" s="84"/>
      <c r="E44" s="85"/>
      <c r="F44" s="115">
        <f>(SALARIOS!C46)</f>
        <v>0.05</v>
      </c>
      <c r="G44" s="116">
        <f>+F44*H40</f>
        <v>717.14286994550821</v>
      </c>
      <c r="H44" s="117"/>
    </row>
    <row r="45" spans="1:10" ht="15.75" thickBot="1">
      <c r="A45" s="89" t="s">
        <v>514</v>
      </c>
      <c r="B45" s="90"/>
      <c r="C45" s="90"/>
      <c r="D45" s="90"/>
      <c r="E45" s="91"/>
      <c r="F45" s="118">
        <f>SALARIOS!C47</f>
        <v>0.05</v>
      </c>
      <c r="G45" s="119">
        <f>+F45*H40</f>
        <v>717.14286994550821</v>
      </c>
      <c r="H45" s="80"/>
    </row>
    <row r="46" spans="1:10" ht="15.75" thickBot="1">
      <c r="A46" s="61"/>
      <c r="B46" s="61"/>
      <c r="C46" s="61"/>
      <c r="D46" s="61"/>
      <c r="E46" s="61"/>
      <c r="F46" s="61"/>
      <c r="G46" s="81" t="s">
        <v>491</v>
      </c>
      <c r="H46" s="120">
        <f>SUM(G43:G45)</f>
        <v>3585.714349727541</v>
      </c>
    </row>
    <row r="47" spans="1:10" ht="15.75" thickBot="1">
      <c r="A47" s="61"/>
      <c r="B47" s="61"/>
      <c r="C47" s="61"/>
      <c r="D47" s="61"/>
      <c r="E47" s="61"/>
      <c r="F47" s="61"/>
      <c r="G47" s="61"/>
      <c r="H47" s="61"/>
    </row>
    <row r="48" spans="1:10" ht="15.75" thickBot="1">
      <c r="A48" s="16"/>
      <c r="B48" s="16"/>
      <c r="C48" s="61"/>
      <c r="D48" s="108" t="s">
        <v>515</v>
      </c>
      <c r="E48" s="109"/>
      <c r="F48" s="109"/>
      <c r="G48" s="109"/>
      <c r="H48" s="82">
        <f>ROUND((H40+H46),0)</f>
        <v>17929</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691</v>
      </c>
      <c r="H7" s="61"/>
    </row>
    <row r="8" spans="1:8">
      <c r="A8" s="60" t="s">
        <v>694</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63</v>
      </c>
      <c r="B12" s="1481"/>
      <c r="C12" s="1482"/>
      <c r="D12" s="68" t="s">
        <v>6</v>
      </c>
      <c r="E12" s="86">
        <f>+'EQUIPOS '!D9</f>
        <v>84100</v>
      </c>
      <c r="F12" s="161">
        <v>4</v>
      </c>
      <c r="G12" s="71">
        <f>+E12/F12</f>
        <v>21025</v>
      </c>
      <c r="H12" s="72"/>
    </row>
    <row r="13" spans="1:8">
      <c r="A13" s="175" t="s">
        <v>1327</v>
      </c>
      <c r="B13" s="176"/>
      <c r="C13" s="174"/>
      <c r="D13" s="174"/>
      <c r="E13" s="173"/>
      <c r="F13" s="69"/>
      <c r="G13" s="173">
        <f>H38*10%</f>
        <v>4563.7218917919226</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25588.721891791924</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553</v>
      </c>
      <c r="B34" s="84"/>
      <c r="C34" s="103">
        <f>+SALARIOS!C49*2</f>
        <v>51144</v>
      </c>
      <c r="D34" s="104">
        <f>+SALARIOS!C48</f>
        <v>1.7846558312967005</v>
      </c>
      <c r="E34" s="69">
        <f>+C34*D34</f>
        <v>91274.437835838442</v>
      </c>
      <c r="F34" s="69">
        <v>2</v>
      </c>
      <c r="G34" s="105">
        <f>+E34/F34</f>
        <v>45637.218917919221</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45637.218917919221</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71225.940809711145</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10683.891121456671</v>
      </c>
      <c r="H43" s="117"/>
    </row>
    <row r="44" spans="1:8">
      <c r="A44" s="83" t="s">
        <v>513</v>
      </c>
      <c r="B44" s="84"/>
      <c r="C44" s="84"/>
      <c r="D44" s="84"/>
      <c r="E44" s="85"/>
      <c r="F44" s="115">
        <f>(SALARIOS!C46)</f>
        <v>0.05</v>
      </c>
      <c r="G44" s="116">
        <f>+F44*H40</f>
        <v>3561.2970404855573</v>
      </c>
      <c r="H44" s="117"/>
    </row>
    <row r="45" spans="1:8" ht="15.75" thickBot="1">
      <c r="A45" s="89" t="s">
        <v>514</v>
      </c>
      <c r="B45" s="90"/>
      <c r="C45" s="90"/>
      <c r="D45" s="90"/>
      <c r="E45" s="91"/>
      <c r="F45" s="118">
        <f>SALARIOS!C47</f>
        <v>0.05</v>
      </c>
      <c r="G45" s="119">
        <f>+F45*H40</f>
        <v>3561.2970404855573</v>
      </c>
      <c r="H45" s="80"/>
    </row>
    <row r="46" spans="1:8" ht="15.75" thickBot="1">
      <c r="A46" s="61"/>
      <c r="B46" s="61"/>
      <c r="C46" s="61"/>
      <c r="D46" s="61"/>
      <c r="E46" s="61"/>
      <c r="F46" s="61"/>
      <c r="G46" s="81" t="s">
        <v>491</v>
      </c>
      <c r="H46" s="120">
        <f>SUM(G43:G45)</f>
        <v>17806.485202427786</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89032</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48"/>
  <sheetViews>
    <sheetView workbookViewId="0"/>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291</v>
      </c>
      <c r="B7" s="62"/>
      <c r="C7" s="61"/>
      <c r="D7" s="16"/>
      <c r="E7" s="62"/>
      <c r="F7" s="16"/>
      <c r="G7" s="62" t="s">
        <v>692</v>
      </c>
      <c r="H7" s="61"/>
    </row>
    <row r="8" spans="1:8">
      <c r="A8" s="60" t="s">
        <v>693</v>
      </c>
      <c r="B8" s="62"/>
      <c r="C8" s="61"/>
      <c r="D8" s="62"/>
      <c r="E8" s="62"/>
      <c r="F8" s="62"/>
      <c r="G8" s="62" t="s">
        <v>530</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480" t="s">
        <v>63</v>
      </c>
      <c r="B12" s="1481"/>
      <c r="C12" s="1482"/>
      <c r="D12" s="68" t="s">
        <v>6</v>
      </c>
      <c r="E12" s="86">
        <f>+'EQUIPOS '!D9</f>
        <v>84100</v>
      </c>
      <c r="F12" s="161">
        <v>3.6</v>
      </c>
      <c r="G12" s="71">
        <f>+E12/F12</f>
        <v>23361.111111111109</v>
      </c>
      <c r="H12" s="72"/>
    </row>
    <row r="13" spans="1:8">
      <c r="A13" s="175" t="s">
        <v>1327</v>
      </c>
      <c r="B13" s="176"/>
      <c r="C13" s="174"/>
      <c r="D13" s="174"/>
      <c r="E13" s="173"/>
      <c r="F13" s="69"/>
      <c r="G13" s="173">
        <f>H38*10%</f>
        <v>6845.5828376878844</v>
      </c>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30206.693948798995</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c r="B21" s="84"/>
      <c r="C21" s="85"/>
      <c r="D21" s="141"/>
      <c r="E21" s="139"/>
      <c r="F21" s="163"/>
      <c r="G21" s="137"/>
      <c r="H21" s="59"/>
    </row>
    <row r="22" spans="1:8">
      <c r="A22" s="127"/>
      <c r="B22" s="84"/>
      <c r="C22" s="85"/>
      <c r="D22" s="68"/>
      <c r="E22" s="142"/>
      <c r="F22" s="70"/>
      <c r="G22" s="69"/>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0</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659</v>
      </c>
      <c r="B34" s="84"/>
      <c r="C34" s="103">
        <f>+SALARIOS!C49*3</f>
        <v>76716</v>
      </c>
      <c r="D34" s="104">
        <f>+SALARIOS!C48</f>
        <v>1.7846558312967005</v>
      </c>
      <c r="E34" s="69">
        <f>+C34*D34</f>
        <v>136911.65675375768</v>
      </c>
      <c r="F34" s="69">
        <v>2</v>
      </c>
      <c r="G34" s="105">
        <f>+E34/F34</f>
        <v>68455.828376878839</v>
      </c>
      <c r="H34" s="72"/>
    </row>
    <row r="35" spans="1:8">
      <c r="A35" s="83"/>
      <c r="B35" s="84"/>
      <c r="C35" s="103"/>
      <c r="D35" s="104"/>
      <c r="E35" s="69"/>
      <c r="F35" s="69"/>
      <c r="G35" s="105"/>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68455.828376878839</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98662.522325677826</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14799.378348851673</v>
      </c>
      <c r="H43" s="117"/>
    </row>
    <row r="44" spans="1:8">
      <c r="A44" s="83" t="s">
        <v>513</v>
      </c>
      <c r="B44" s="84"/>
      <c r="C44" s="84"/>
      <c r="D44" s="84"/>
      <c r="E44" s="85"/>
      <c r="F44" s="115">
        <f>(SALARIOS!C46)</f>
        <v>0.05</v>
      </c>
      <c r="G44" s="116">
        <f>+F44*H40</f>
        <v>4933.1261162838919</v>
      </c>
      <c r="H44" s="117"/>
    </row>
    <row r="45" spans="1:8" ht="15.75" thickBot="1">
      <c r="A45" s="89" t="s">
        <v>514</v>
      </c>
      <c r="B45" s="90"/>
      <c r="C45" s="90"/>
      <c r="D45" s="90"/>
      <c r="E45" s="91"/>
      <c r="F45" s="118">
        <f>SALARIOS!C47</f>
        <v>0.05</v>
      </c>
      <c r="G45" s="119">
        <f>+F45*H40</f>
        <v>4933.1261162838919</v>
      </c>
      <c r="H45" s="80"/>
    </row>
    <row r="46" spans="1:8" ht="15.75" thickBot="1">
      <c r="A46" s="61"/>
      <c r="B46" s="61"/>
      <c r="C46" s="61"/>
      <c r="D46" s="61"/>
      <c r="E46" s="61"/>
      <c r="F46" s="61"/>
      <c r="G46" s="81" t="s">
        <v>491</v>
      </c>
      <c r="H46" s="120">
        <f>SUM(G43:G45)</f>
        <v>24665.630581419457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123328</v>
      </c>
    </row>
  </sheetData>
  <mergeCells count="12">
    <mergeCell ref="A33:B33"/>
    <mergeCell ref="A3:C4"/>
    <mergeCell ref="A5:C5"/>
    <mergeCell ref="D5:H5"/>
    <mergeCell ref="A11:C11"/>
    <mergeCell ref="A12:C12"/>
    <mergeCell ref="A14:C14"/>
    <mergeCell ref="A15:C15"/>
    <mergeCell ref="A16:C16"/>
    <mergeCell ref="A17:C17"/>
    <mergeCell ref="A20:C20"/>
    <mergeCell ref="A27:B27"/>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H47"/>
  <sheetViews>
    <sheetView workbookViewId="0">
      <selection activeCell="F35" sqref="F35"/>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43</v>
      </c>
      <c r="B7" s="62"/>
      <c r="C7" s="61"/>
      <c r="D7" s="16"/>
      <c r="E7" s="62"/>
      <c r="F7" s="16"/>
      <c r="G7" s="62" t="s">
        <v>695</v>
      </c>
      <c r="H7" s="61"/>
    </row>
    <row r="8" spans="1:8">
      <c r="A8" s="60" t="s">
        <v>696</v>
      </c>
      <c r="B8" s="62"/>
      <c r="C8" s="61"/>
      <c r="D8" s="62"/>
      <c r="E8" s="62"/>
      <c r="F8" s="62"/>
      <c r="G8" s="62" t="s">
        <v>562</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H37*10%</f>
        <v>1499.8247606217471</v>
      </c>
      <c r="H12" s="72"/>
    </row>
    <row r="13" spans="1:8">
      <c r="A13" s="1463"/>
      <c r="B13" s="1464"/>
      <c r="C13" s="1465"/>
      <c r="D13" s="73"/>
      <c r="E13" s="74"/>
      <c r="F13" s="69"/>
      <c r="G13" s="71"/>
      <c r="H13" s="72"/>
    </row>
    <row r="14" spans="1:8">
      <c r="A14" s="1463"/>
      <c r="B14" s="1464"/>
      <c r="C14" s="1465"/>
      <c r="D14" s="73"/>
      <c r="E14" s="74"/>
      <c r="F14" s="69"/>
      <c r="G14" s="71"/>
      <c r="H14" s="72"/>
    </row>
    <row r="15" spans="1:8">
      <c r="A15" s="1463"/>
      <c r="B15" s="1464"/>
      <c r="C15" s="1465"/>
      <c r="D15" s="73"/>
      <c r="E15" s="74"/>
      <c r="F15" s="69"/>
      <c r="G15" s="71"/>
      <c r="H15" s="72"/>
    </row>
    <row r="16" spans="1:8" ht="15.75" thickBot="1">
      <c r="A16" s="1466"/>
      <c r="B16" s="1467"/>
      <c r="C16" s="1468"/>
      <c r="D16" s="76"/>
      <c r="E16" s="77"/>
      <c r="F16" s="78"/>
      <c r="G16" s="79"/>
      <c r="H16" s="80"/>
    </row>
    <row r="17" spans="1:8" ht="15.75" thickBot="1">
      <c r="A17" s="61"/>
      <c r="B17" s="61"/>
      <c r="C17" s="61"/>
      <c r="D17" s="61"/>
      <c r="E17" s="61"/>
      <c r="F17" s="61"/>
      <c r="G17" s="81" t="s">
        <v>491</v>
      </c>
      <c r="H17" s="82">
        <f>SUM(G12:G16)</f>
        <v>1499.8247606217471</v>
      </c>
    </row>
    <row r="18" spans="1:8" ht="15.75" thickBot="1">
      <c r="A18" s="63" t="s">
        <v>492</v>
      </c>
      <c r="B18" s="63"/>
      <c r="C18" s="61"/>
      <c r="D18" s="61"/>
      <c r="E18" s="61"/>
      <c r="F18" s="61"/>
      <c r="G18" s="61"/>
      <c r="H18" s="61"/>
    </row>
    <row r="19" spans="1:8">
      <c r="A19" s="1472" t="s">
        <v>485</v>
      </c>
      <c r="B19" s="1473"/>
      <c r="C19" s="1474"/>
      <c r="D19" s="188" t="s">
        <v>493</v>
      </c>
      <c r="E19" s="188" t="s">
        <v>494</v>
      </c>
      <c r="F19" s="188" t="s">
        <v>495</v>
      </c>
      <c r="G19" s="187" t="s">
        <v>489</v>
      </c>
      <c r="H19" s="67"/>
    </row>
    <row r="20" spans="1:8">
      <c r="A20" s="127" t="s">
        <v>1484</v>
      </c>
      <c r="B20" s="84"/>
      <c r="C20" s="85"/>
      <c r="D20" s="141" t="s">
        <v>19</v>
      </c>
      <c r="E20" s="139">
        <f>'5,15'!H25</f>
        <v>387397.25430000003</v>
      </c>
      <c r="F20" s="87">
        <v>0.02</v>
      </c>
      <c r="G20" s="137">
        <f>+E20*F20</f>
        <v>7747.9450860000006</v>
      </c>
      <c r="H20" s="59"/>
    </row>
    <row r="21" spans="1:8">
      <c r="A21" s="127" t="s">
        <v>204</v>
      </c>
      <c r="B21" s="84"/>
      <c r="C21" s="85"/>
      <c r="D21" s="68" t="s">
        <v>61</v>
      </c>
      <c r="E21" s="142">
        <f>+MATERIALES!D73</f>
        <v>600</v>
      </c>
      <c r="F21" s="86">
        <v>55</v>
      </c>
      <c r="G21" s="69">
        <f>+E21*F21</f>
        <v>33000</v>
      </c>
      <c r="H21" s="59"/>
    </row>
    <row r="22" spans="1:8">
      <c r="A22" s="128"/>
      <c r="B22" s="129"/>
      <c r="C22" s="130"/>
      <c r="D22" s="131"/>
      <c r="E22" s="132"/>
      <c r="F22" s="133"/>
      <c r="G22" s="138"/>
      <c r="H22" s="59"/>
    </row>
    <row r="23" spans="1:8" ht="15.75" thickBot="1">
      <c r="A23" s="89"/>
      <c r="B23" s="90"/>
      <c r="C23" s="91"/>
      <c r="D23" s="76"/>
      <c r="E23" s="77"/>
      <c r="F23" s="78"/>
      <c r="G23" s="79"/>
      <c r="H23" s="80"/>
    </row>
    <row r="24" spans="1:8" ht="15.75" thickBot="1">
      <c r="A24" s="61"/>
      <c r="B24" s="61"/>
      <c r="C24" s="61"/>
      <c r="D24" s="61"/>
      <c r="E24" s="61"/>
      <c r="F24" s="61"/>
      <c r="G24" s="81" t="s">
        <v>491</v>
      </c>
      <c r="H24" s="82">
        <f>SUM(G20:G23)</f>
        <v>40747.945086</v>
      </c>
    </row>
    <row r="25" spans="1:8" ht="15.75" thickBot="1">
      <c r="A25" s="92" t="s">
        <v>496</v>
      </c>
      <c r="B25" s="92"/>
      <c r="C25" s="90"/>
      <c r="D25" s="61"/>
      <c r="E25" s="61"/>
      <c r="F25" s="61"/>
      <c r="G25" s="61"/>
      <c r="H25" s="61"/>
    </row>
    <row r="26" spans="1:8">
      <c r="A26" s="1454" t="s">
        <v>497</v>
      </c>
      <c r="B26" s="1456"/>
      <c r="C26" s="93" t="s">
        <v>498</v>
      </c>
      <c r="D26" s="186" t="s">
        <v>499</v>
      </c>
      <c r="E26" s="186" t="s">
        <v>500</v>
      </c>
      <c r="F26" s="186" t="s">
        <v>501</v>
      </c>
      <c r="G26" s="94" t="s">
        <v>489</v>
      </c>
      <c r="H26" s="67"/>
    </row>
    <row r="27" spans="1:8">
      <c r="A27" s="83"/>
      <c r="B27" s="84"/>
      <c r="C27" s="95"/>
      <c r="D27" s="96"/>
      <c r="E27" s="96"/>
      <c r="F27" s="97"/>
      <c r="G27" s="97"/>
      <c r="H27" s="72"/>
    </row>
    <row r="28" spans="1:8">
      <c r="A28" s="83"/>
      <c r="B28" s="84"/>
      <c r="C28" s="98"/>
      <c r="D28" s="68"/>
      <c r="E28" s="96"/>
      <c r="F28" s="97"/>
      <c r="G28" s="97"/>
      <c r="H28" s="72"/>
    </row>
    <row r="29" spans="1:8" ht="15.75" thickBot="1">
      <c r="A29" s="100"/>
      <c r="B29" s="101"/>
      <c r="C29" s="76"/>
      <c r="D29" s="76"/>
      <c r="E29" s="211"/>
      <c r="F29" s="212"/>
      <c r="G29" s="76"/>
      <c r="H29" s="72"/>
    </row>
    <row r="30" spans="1:8" ht="15.75" thickBot="1">
      <c r="A30" s="61"/>
      <c r="B30" s="61"/>
      <c r="C30" s="61"/>
      <c r="D30" s="61"/>
      <c r="E30" s="61"/>
      <c r="F30" s="61"/>
      <c r="G30" s="81" t="s">
        <v>491</v>
      </c>
      <c r="H30" s="82">
        <f>SUM(G27:G29)</f>
        <v>0</v>
      </c>
    </row>
    <row r="31" spans="1:8" ht="15.75" thickBot="1">
      <c r="A31" s="92" t="s">
        <v>502</v>
      </c>
      <c r="B31" s="92"/>
      <c r="C31" s="61"/>
      <c r="D31" s="61"/>
      <c r="E31" s="61"/>
      <c r="F31" s="61"/>
      <c r="G31" s="61"/>
      <c r="H31" s="61"/>
    </row>
    <row r="32" spans="1:8">
      <c r="A32" s="1454" t="s">
        <v>503</v>
      </c>
      <c r="B32" s="1456"/>
      <c r="C32" s="186" t="s">
        <v>504</v>
      </c>
      <c r="D32" s="186" t="s">
        <v>505</v>
      </c>
      <c r="E32" s="124" t="s">
        <v>506</v>
      </c>
      <c r="F32" s="102" t="s">
        <v>488</v>
      </c>
      <c r="G32" s="185" t="s">
        <v>489</v>
      </c>
      <c r="H32" s="67"/>
    </row>
    <row r="33" spans="1:8">
      <c r="A33" s="83" t="s">
        <v>697</v>
      </c>
      <c r="B33" s="84"/>
      <c r="C33" s="103">
        <f>+SALARIOS!C49*1</f>
        <v>25572</v>
      </c>
      <c r="D33" s="104">
        <f>+SALARIOS!C48</f>
        <v>1.7846558312967005</v>
      </c>
      <c r="E33" s="69">
        <f>+C33*D33</f>
        <v>45637.218917919221</v>
      </c>
      <c r="F33" s="69">
        <v>8</v>
      </c>
      <c r="G33" s="105">
        <f>+E33/F33</f>
        <v>5704.6523647399026</v>
      </c>
      <c r="H33" s="72"/>
    </row>
    <row r="34" spans="1:8">
      <c r="A34" s="83" t="s">
        <v>624</v>
      </c>
      <c r="B34" s="84"/>
      <c r="C34" s="103">
        <f>+SALARIOS!C50</f>
        <v>41660</v>
      </c>
      <c r="D34" s="104">
        <f>+SALARIOS!C48</f>
        <v>1.7846558312967005</v>
      </c>
      <c r="E34" s="69">
        <f>+C34*D34</f>
        <v>74348.76193182054</v>
      </c>
      <c r="F34" s="69">
        <v>8</v>
      </c>
      <c r="G34" s="105">
        <f>+E34/F34</f>
        <v>9293.5952414775675</v>
      </c>
      <c r="H34" s="72"/>
    </row>
    <row r="35" spans="1:8">
      <c r="A35" s="83"/>
      <c r="B35" s="84"/>
      <c r="C35" s="103"/>
      <c r="D35" s="104"/>
      <c r="E35" s="69"/>
      <c r="F35" s="69"/>
      <c r="G35" s="105"/>
      <c r="H35" s="72"/>
    </row>
    <row r="36" spans="1:8" ht="15.75" thickBot="1">
      <c r="A36" s="100"/>
      <c r="B36" s="106"/>
      <c r="C36" s="77"/>
      <c r="D36" s="91"/>
      <c r="E36" s="143"/>
      <c r="F36" s="91"/>
      <c r="G36" s="90"/>
      <c r="H36" s="80"/>
    </row>
    <row r="37" spans="1:8" ht="15.75" thickBot="1">
      <c r="A37" s="61"/>
      <c r="B37" s="61"/>
      <c r="C37" s="61"/>
      <c r="D37" s="61"/>
      <c r="E37" s="61"/>
      <c r="F37" s="61"/>
      <c r="G37" s="81" t="s">
        <v>491</v>
      </c>
      <c r="H37" s="82">
        <f>SUM(G33:G36)</f>
        <v>14998.24760621747</v>
      </c>
    </row>
    <row r="38" spans="1:8" ht="15.75" thickBot="1">
      <c r="A38" s="61"/>
      <c r="B38" s="61"/>
      <c r="C38" s="61"/>
      <c r="D38" s="61"/>
      <c r="E38" s="61"/>
      <c r="F38" s="61"/>
      <c r="G38" s="107"/>
      <c r="H38" s="58"/>
    </row>
    <row r="39" spans="1:8" ht="15.75" thickBot="1">
      <c r="A39" s="61"/>
      <c r="B39" s="61"/>
      <c r="C39" s="61"/>
      <c r="D39" s="61"/>
      <c r="E39" s="108" t="s">
        <v>508</v>
      </c>
      <c r="F39" s="109"/>
      <c r="G39" s="109"/>
      <c r="H39" s="82">
        <f>H17+H24+H30+H37</f>
        <v>57246.017452839216</v>
      </c>
    </row>
    <row r="40" spans="1:8" ht="15.75" thickBot="1">
      <c r="A40" s="63" t="s">
        <v>509</v>
      </c>
      <c r="B40" s="63"/>
      <c r="C40" s="61"/>
      <c r="D40" s="61"/>
      <c r="E40" s="61"/>
      <c r="F40" s="61"/>
      <c r="G40" s="61"/>
      <c r="H40" s="61"/>
    </row>
    <row r="41" spans="1:8">
      <c r="A41" s="110" t="s">
        <v>485</v>
      </c>
      <c r="B41" s="111"/>
      <c r="C41" s="111"/>
      <c r="D41" s="111"/>
      <c r="E41" s="112"/>
      <c r="F41" s="188" t="s">
        <v>510</v>
      </c>
      <c r="G41" s="187" t="s">
        <v>511</v>
      </c>
      <c r="H41" s="67"/>
    </row>
    <row r="42" spans="1:8">
      <c r="A42" s="83" t="s">
        <v>512</v>
      </c>
      <c r="B42" s="84"/>
      <c r="C42" s="84"/>
      <c r="D42" s="84"/>
      <c r="E42" s="85"/>
      <c r="F42" s="115">
        <f>(SALARIOS!C45)</f>
        <v>0.15</v>
      </c>
      <c r="G42" s="116">
        <f>++F42*H39</f>
        <v>8586.9026179258817</v>
      </c>
      <c r="H42" s="117"/>
    </row>
    <row r="43" spans="1:8">
      <c r="A43" s="83" t="s">
        <v>513</v>
      </c>
      <c r="B43" s="84"/>
      <c r="C43" s="84"/>
      <c r="D43" s="84"/>
      <c r="E43" s="85"/>
      <c r="F43" s="115">
        <f>(SALARIOS!C46)</f>
        <v>0.05</v>
      </c>
      <c r="G43" s="116">
        <f>+F43*H39</f>
        <v>2862.3008726419612</v>
      </c>
      <c r="H43" s="117"/>
    </row>
    <row r="44" spans="1:8" ht="15.75" thickBot="1">
      <c r="A44" s="89" t="s">
        <v>514</v>
      </c>
      <c r="B44" s="90"/>
      <c r="C44" s="90"/>
      <c r="D44" s="90"/>
      <c r="E44" s="91"/>
      <c r="F44" s="118">
        <f>SALARIOS!C47</f>
        <v>0.05</v>
      </c>
      <c r="G44" s="119">
        <f>+F44*H39</f>
        <v>2862.3008726419612</v>
      </c>
      <c r="H44" s="80"/>
    </row>
    <row r="45" spans="1:8" ht="15.75" thickBot="1">
      <c r="A45" s="61"/>
      <c r="B45" s="61"/>
      <c r="C45" s="61"/>
      <c r="D45" s="61"/>
      <c r="E45" s="61"/>
      <c r="F45" s="61"/>
      <c r="G45" s="81" t="s">
        <v>491</v>
      </c>
      <c r="H45" s="120">
        <f>SUM(G42:G44)</f>
        <v>14311.504363209804</v>
      </c>
    </row>
    <row r="46" spans="1:8" ht="15.75" thickBot="1">
      <c r="A46" s="61"/>
      <c r="B46" s="61"/>
      <c r="C46" s="61"/>
      <c r="D46" s="61"/>
      <c r="E46" s="61"/>
      <c r="F46" s="61"/>
      <c r="G46" s="61"/>
      <c r="H46" s="61"/>
    </row>
    <row r="47" spans="1:8" ht="15.75" thickBot="1">
      <c r="A47" s="16"/>
      <c r="B47" s="16"/>
      <c r="C47" s="61"/>
      <c r="D47" s="108" t="s">
        <v>515</v>
      </c>
      <c r="E47" s="109"/>
      <c r="F47" s="109"/>
      <c r="G47" s="109"/>
      <c r="H47" s="82">
        <f>ROUND((H39+H45),0)</f>
        <v>71558</v>
      </c>
    </row>
  </sheetData>
  <mergeCells count="11">
    <mergeCell ref="A32:B32"/>
    <mergeCell ref="A3:C4"/>
    <mergeCell ref="A5:C5"/>
    <mergeCell ref="D5:H5"/>
    <mergeCell ref="A11:C11"/>
    <mergeCell ref="A13:C13"/>
    <mergeCell ref="A14:C14"/>
    <mergeCell ref="A15:C15"/>
    <mergeCell ref="A16:C16"/>
    <mergeCell ref="A19:C19"/>
    <mergeCell ref="A26:B26"/>
  </mergeCells>
  <pageMargins left="0.7" right="0.7" top="0.75" bottom="0.75" header="0.3" footer="0.3"/>
  <pageSetup paperSize="9" scale="9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H48"/>
  <sheetViews>
    <sheetView topLeftCell="A22" workbookViewId="0">
      <selection activeCell="E22" sqref="E22"/>
    </sheetView>
  </sheetViews>
  <sheetFormatPr baseColWidth="10" defaultRowHeight="15"/>
  <sheetData>
    <row r="2" spans="1:8" ht="15.75" thickBot="1"/>
    <row r="3" spans="1:8">
      <c r="A3" s="1445" t="s">
        <v>519</v>
      </c>
      <c r="B3" s="1446"/>
      <c r="C3" s="1447"/>
      <c r="D3" s="55"/>
      <c r="E3" s="56"/>
      <c r="F3" s="55"/>
      <c r="G3" s="55"/>
      <c r="H3" s="57"/>
    </row>
    <row r="4" spans="1:8">
      <c r="A4" s="1448"/>
      <c r="B4" s="1449"/>
      <c r="C4" s="1450"/>
      <c r="D4" s="58"/>
      <c r="E4" s="51" t="s">
        <v>483</v>
      </c>
      <c r="F4" s="58"/>
      <c r="G4" s="58"/>
      <c r="H4" s="59"/>
    </row>
    <row r="5" spans="1:8" ht="15.75" thickBot="1">
      <c r="A5" s="1451" t="s">
        <v>520</v>
      </c>
      <c r="B5" s="1452"/>
      <c r="C5" s="1453"/>
      <c r="D5" s="1457"/>
      <c r="E5" s="1458"/>
      <c r="F5" s="1458"/>
      <c r="G5" s="1458"/>
      <c r="H5" s="1459"/>
    </row>
    <row r="6" spans="1:8">
      <c r="A6" s="60"/>
      <c r="B6" s="61"/>
      <c r="C6" s="61"/>
      <c r="D6" s="61"/>
      <c r="E6" s="61"/>
      <c r="F6" s="61"/>
      <c r="G6" s="61"/>
      <c r="H6" s="61"/>
    </row>
    <row r="7" spans="1:8">
      <c r="A7" s="60" t="s">
        <v>43</v>
      </c>
      <c r="B7" s="62"/>
      <c r="C7" s="61"/>
      <c r="D7" s="16"/>
      <c r="E7" s="62"/>
      <c r="F7" s="16"/>
      <c r="G7" s="62" t="s">
        <v>698</v>
      </c>
      <c r="H7" s="61"/>
    </row>
    <row r="8" spans="1:8">
      <c r="A8" s="60" t="s">
        <v>1660</v>
      </c>
      <c r="B8" s="62"/>
      <c r="C8" s="61"/>
      <c r="D8" s="62"/>
      <c r="E8" s="62"/>
      <c r="F8" s="62"/>
      <c r="G8" s="62" t="s">
        <v>699</v>
      </c>
      <c r="H8" s="61"/>
    </row>
    <row r="9" spans="1:8">
      <c r="A9" s="62"/>
      <c r="B9" s="62"/>
      <c r="C9" s="61"/>
      <c r="D9" s="62"/>
      <c r="E9" s="62"/>
      <c r="F9" s="62"/>
      <c r="G9" s="62"/>
      <c r="H9" s="61"/>
    </row>
    <row r="10" spans="1:8" ht="15.75" thickBot="1">
      <c r="A10" s="63" t="s">
        <v>484</v>
      </c>
      <c r="B10" s="63"/>
      <c r="C10" s="61"/>
      <c r="D10" s="61"/>
      <c r="E10" s="61"/>
      <c r="F10" s="61"/>
      <c r="G10" s="61"/>
      <c r="H10" s="61"/>
    </row>
    <row r="11" spans="1:8">
      <c r="A11" s="1454" t="s">
        <v>485</v>
      </c>
      <c r="B11" s="1455"/>
      <c r="C11" s="1456"/>
      <c r="D11" s="186" t="s">
        <v>486</v>
      </c>
      <c r="E11" s="65" t="s">
        <v>487</v>
      </c>
      <c r="F11" s="186" t="s">
        <v>488</v>
      </c>
      <c r="G11" s="185" t="s">
        <v>489</v>
      </c>
      <c r="H11" s="67"/>
    </row>
    <row r="12" spans="1:8">
      <c r="A12" s="175" t="s">
        <v>1327</v>
      </c>
      <c r="B12" s="176"/>
      <c r="C12" s="174"/>
      <c r="D12" s="174"/>
      <c r="E12" s="173"/>
      <c r="F12" s="69"/>
      <c r="G12" s="173">
        <f>H38*10%</f>
        <v>133.31775649971084</v>
      </c>
      <c r="H12" s="72"/>
    </row>
    <row r="13" spans="1:8">
      <c r="A13" s="164"/>
      <c r="B13" s="165"/>
      <c r="C13" s="166"/>
      <c r="D13" s="167"/>
      <c r="E13" s="167"/>
      <c r="F13" s="167"/>
      <c r="H13" s="72"/>
    </row>
    <row r="14" spans="1:8">
      <c r="A14" s="1463"/>
      <c r="B14" s="1464"/>
      <c r="C14" s="1465"/>
      <c r="D14" s="73"/>
      <c r="E14" s="74"/>
      <c r="F14" s="69"/>
      <c r="G14" s="71"/>
      <c r="H14" s="72"/>
    </row>
    <row r="15" spans="1:8">
      <c r="A15" s="1463"/>
      <c r="B15" s="1464"/>
      <c r="C15" s="1465"/>
      <c r="D15" s="73"/>
      <c r="E15" s="74"/>
      <c r="F15" s="69"/>
      <c r="G15" s="71"/>
      <c r="H15" s="72"/>
    </row>
    <row r="16" spans="1:8">
      <c r="A16" s="1463"/>
      <c r="B16" s="1464"/>
      <c r="C16" s="1465"/>
      <c r="D16" s="73"/>
      <c r="E16" s="74"/>
      <c r="F16" s="69"/>
      <c r="G16" s="71"/>
      <c r="H16" s="72"/>
    </row>
    <row r="17" spans="1:8" ht="15.75" thickBot="1">
      <c r="A17" s="1466"/>
      <c r="B17" s="1467"/>
      <c r="C17" s="1468"/>
      <c r="D17" s="76"/>
      <c r="E17" s="77"/>
      <c r="F17" s="78"/>
      <c r="G17" s="79"/>
      <c r="H17" s="80"/>
    </row>
    <row r="18" spans="1:8" ht="15.75" thickBot="1">
      <c r="A18" s="61"/>
      <c r="B18" s="61"/>
      <c r="C18" s="61"/>
      <c r="D18" s="61"/>
      <c r="E18" s="61"/>
      <c r="F18" s="61"/>
      <c r="G18" s="81" t="s">
        <v>491</v>
      </c>
      <c r="H18" s="82">
        <f>SUM(G12:G17)</f>
        <v>133.31775649971084</v>
      </c>
    </row>
    <row r="19" spans="1:8" ht="15.75" thickBot="1">
      <c r="A19" s="63" t="s">
        <v>492</v>
      </c>
      <c r="B19" s="63"/>
      <c r="C19" s="61"/>
      <c r="D19" s="61"/>
      <c r="E19" s="61"/>
      <c r="F19" s="61"/>
      <c r="G19" s="61"/>
      <c r="H19" s="61"/>
    </row>
    <row r="20" spans="1:8">
      <c r="A20" s="1472" t="s">
        <v>485</v>
      </c>
      <c r="B20" s="1473"/>
      <c r="C20" s="1474"/>
      <c r="D20" s="188" t="s">
        <v>493</v>
      </c>
      <c r="E20" s="188" t="s">
        <v>494</v>
      </c>
      <c r="F20" s="188" t="s">
        <v>495</v>
      </c>
      <c r="G20" s="187" t="s">
        <v>489</v>
      </c>
      <c r="H20" s="67"/>
    </row>
    <row r="21" spans="1:8">
      <c r="A21" s="127" t="s">
        <v>1657</v>
      </c>
      <c r="B21" s="84"/>
      <c r="C21" s="85"/>
      <c r="D21" s="141" t="s">
        <v>44</v>
      </c>
      <c r="E21" s="139">
        <f>MATERIALES!D5</f>
        <v>2271</v>
      </c>
      <c r="F21" s="137">
        <v>1.05</v>
      </c>
      <c r="G21" s="137">
        <f>+E21*F21</f>
        <v>2384.5500000000002</v>
      </c>
      <c r="H21" s="59"/>
    </row>
    <row r="22" spans="1:8">
      <c r="A22" s="127" t="s">
        <v>1656</v>
      </c>
      <c r="B22" s="84"/>
      <c r="C22" s="85"/>
      <c r="D22" s="68" t="s">
        <v>44</v>
      </c>
      <c r="E22" s="142">
        <f>+MATERIALES!F10</f>
        <v>4466</v>
      </c>
      <c r="F22" s="70">
        <v>0.02</v>
      </c>
      <c r="G22" s="69">
        <f>+E22*F22</f>
        <v>89.320000000000007</v>
      </c>
      <c r="H22" s="59"/>
    </row>
    <row r="23" spans="1:8">
      <c r="A23" s="128"/>
      <c r="B23" s="129"/>
      <c r="C23" s="130"/>
      <c r="D23" s="131"/>
      <c r="E23" s="132"/>
      <c r="F23" s="133"/>
      <c r="G23" s="138"/>
      <c r="H23" s="59"/>
    </row>
    <row r="24" spans="1:8" ht="15.75" thickBot="1">
      <c r="A24" s="89"/>
      <c r="B24" s="90"/>
      <c r="C24" s="91"/>
      <c r="D24" s="76"/>
      <c r="E24" s="77"/>
      <c r="F24" s="78"/>
      <c r="G24" s="79"/>
      <c r="H24" s="80"/>
    </row>
    <row r="25" spans="1:8" ht="15.75" thickBot="1">
      <c r="A25" s="61"/>
      <c r="B25" s="61"/>
      <c r="C25" s="61"/>
      <c r="D25" s="61"/>
      <c r="E25" s="61"/>
      <c r="F25" s="61"/>
      <c r="G25" s="81" t="s">
        <v>491</v>
      </c>
      <c r="H25" s="82">
        <f>SUM(G21:G24)</f>
        <v>2473.8700000000003</v>
      </c>
    </row>
    <row r="26" spans="1:8" ht="15.75" thickBot="1">
      <c r="A26" s="92" t="s">
        <v>496</v>
      </c>
      <c r="B26" s="92"/>
      <c r="C26" s="90"/>
      <c r="D26" s="61"/>
      <c r="E26" s="61"/>
      <c r="F26" s="61"/>
      <c r="G26" s="61"/>
      <c r="H26" s="61"/>
    </row>
    <row r="27" spans="1:8">
      <c r="A27" s="1454" t="s">
        <v>497</v>
      </c>
      <c r="B27" s="1456"/>
      <c r="C27" s="93" t="s">
        <v>498</v>
      </c>
      <c r="D27" s="186" t="s">
        <v>499</v>
      </c>
      <c r="E27" s="186" t="s">
        <v>500</v>
      </c>
      <c r="F27" s="186" t="s">
        <v>501</v>
      </c>
      <c r="G27" s="94" t="s">
        <v>489</v>
      </c>
      <c r="H27" s="67"/>
    </row>
    <row r="28" spans="1:8">
      <c r="A28" s="83"/>
      <c r="B28" s="84"/>
      <c r="C28" s="95"/>
      <c r="D28" s="96"/>
      <c r="E28" s="96"/>
      <c r="F28" s="97"/>
      <c r="G28" s="97"/>
      <c r="H28" s="72"/>
    </row>
    <row r="29" spans="1:8">
      <c r="A29" s="83"/>
      <c r="B29" s="84"/>
      <c r="C29" s="98"/>
      <c r="D29" s="68"/>
      <c r="E29" s="96"/>
      <c r="F29" s="97"/>
      <c r="G29" s="97"/>
      <c r="H29" s="72"/>
    </row>
    <row r="30" spans="1:8" ht="15.75" thickBot="1">
      <c r="A30" s="100"/>
      <c r="B30" s="101"/>
      <c r="C30" s="76"/>
      <c r="D30" s="76"/>
      <c r="E30" s="211"/>
      <c r="F30" s="212"/>
      <c r="G30" s="76"/>
      <c r="H30" s="72"/>
    </row>
    <row r="31" spans="1:8" ht="15.75" thickBot="1">
      <c r="A31" s="61"/>
      <c r="B31" s="61"/>
      <c r="C31" s="61"/>
      <c r="D31" s="61"/>
      <c r="E31" s="61"/>
      <c r="F31" s="61"/>
      <c r="G31" s="81" t="s">
        <v>491</v>
      </c>
      <c r="H31" s="82">
        <f>SUM(G28:G30)</f>
        <v>0</v>
      </c>
    </row>
    <row r="32" spans="1:8" ht="15.75" thickBot="1">
      <c r="A32" s="92" t="s">
        <v>502</v>
      </c>
      <c r="B32" s="92"/>
      <c r="C32" s="61"/>
      <c r="D32" s="61"/>
      <c r="E32" s="61"/>
      <c r="F32" s="61"/>
      <c r="G32" s="61"/>
      <c r="H32" s="61"/>
    </row>
    <row r="33" spans="1:8">
      <c r="A33" s="1454" t="s">
        <v>503</v>
      </c>
      <c r="B33" s="1456"/>
      <c r="C33" s="186" t="s">
        <v>504</v>
      </c>
      <c r="D33" s="186" t="s">
        <v>505</v>
      </c>
      <c r="E33" s="124" t="s">
        <v>506</v>
      </c>
      <c r="F33" s="102" t="s">
        <v>488</v>
      </c>
      <c r="G33" s="185" t="s">
        <v>489</v>
      </c>
      <c r="H33" s="67"/>
    </row>
    <row r="34" spans="1:8">
      <c r="A34" s="83" t="s">
        <v>697</v>
      </c>
      <c r="B34" s="84"/>
      <c r="C34" s="103">
        <f>+SALARIOS!C49*1</f>
        <v>25572</v>
      </c>
      <c r="D34" s="104">
        <f>+SALARIOS!C48</f>
        <v>1.7846558312967005</v>
      </c>
      <c r="E34" s="69">
        <f>+C34*D34</f>
        <v>45637.218917919221</v>
      </c>
      <c r="F34" s="69">
        <v>90</v>
      </c>
      <c r="G34" s="105">
        <f>+E34/F34</f>
        <v>507.08021019910245</v>
      </c>
      <c r="H34" s="72"/>
    </row>
    <row r="35" spans="1:8">
      <c r="A35" s="83" t="s">
        <v>624</v>
      </c>
      <c r="B35" s="84"/>
      <c r="C35" s="103">
        <f>+SALARIOS!C50</f>
        <v>41660</v>
      </c>
      <c r="D35" s="104">
        <f>+SALARIOS!C48</f>
        <v>1.7846558312967005</v>
      </c>
      <c r="E35" s="69">
        <f>+C35*D35</f>
        <v>74348.76193182054</v>
      </c>
      <c r="F35" s="69">
        <v>90</v>
      </c>
      <c r="G35" s="105">
        <f>+E35/F35</f>
        <v>826.09735479800599</v>
      </c>
      <c r="H35" s="72"/>
    </row>
    <row r="36" spans="1:8">
      <c r="A36" s="83"/>
      <c r="B36" s="84"/>
      <c r="C36" s="103"/>
      <c r="D36" s="104"/>
      <c r="E36" s="69"/>
      <c r="F36" s="69"/>
      <c r="G36" s="105"/>
      <c r="H36" s="72"/>
    </row>
    <row r="37" spans="1:8" ht="15.75" thickBot="1">
      <c r="A37" s="100"/>
      <c r="B37" s="106"/>
      <c r="C37" s="77"/>
      <c r="D37" s="91"/>
      <c r="E37" s="143"/>
      <c r="F37" s="91"/>
      <c r="G37" s="90"/>
      <c r="H37" s="80"/>
    </row>
    <row r="38" spans="1:8" ht="15.75" thickBot="1">
      <c r="A38" s="61"/>
      <c r="B38" s="61"/>
      <c r="C38" s="61"/>
      <c r="D38" s="61"/>
      <c r="E38" s="61"/>
      <c r="F38" s="61"/>
      <c r="G38" s="81" t="s">
        <v>491</v>
      </c>
      <c r="H38" s="82">
        <f>SUM(G34:G37)</f>
        <v>1333.1775649971084</v>
      </c>
    </row>
    <row r="39" spans="1:8" ht="15.75" thickBot="1">
      <c r="A39" s="61"/>
      <c r="B39" s="61"/>
      <c r="C39" s="61"/>
      <c r="D39" s="61"/>
      <c r="E39" s="61"/>
      <c r="F39" s="61"/>
      <c r="G39" s="107"/>
      <c r="H39" s="58"/>
    </row>
    <row r="40" spans="1:8" ht="15.75" thickBot="1">
      <c r="A40" s="61"/>
      <c r="B40" s="61"/>
      <c r="C40" s="61"/>
      <c r="D40" s="61"/>
      <c r="E40" s="108" t="s">
        <v>508</v>
      </c>
      <c r="F40" s="109"/>
      <c r="G40" s="109"/>
      <c r="H40" s="82">
        <f>H18+H25+H31+H38</f>
        <v>3940.3653214968199</v>
      </c>
    </row>
    <row r="41" spans="1:8" ht="15.75" thickBot="1">
      <c r="A41" s="63" t="s">
        <v>509</v>
      </c>
      <c r="B41" s="63"/>
      <c r="C41" s="61"/>
      <c r="D41" s="61"/>
      <c r="E41" s="61"/>
      <c r="F41" s="61"/>
      <c r="G41" s="61"/>
      <c r="H41" s="61"/>
    </row>
    <row r="42" spans="1:8">
      <c r="A42" s="110" t="s">
        <v>485</v>
      </c>
      <c r="B42" s="111"/>
      <c r="C42" s="111"/>
      <c r="D42" s="111"/>
      <c r="E42" s="112"/>
      <c r="F42" s="188" t="s">
        <v>510</v>
      </c>
      <c r="G42" s="187" t="s">
        <v>511</v>
      </c>
      <c r="H42" s="67"/>
    </row>
    <row r="43" spans="1:8">
      <c r="A43" s="83" t="s">
        <v>512</v>
      </c>
      <c r="B43" s="84"/>
      <c r="C43" s="84"/>
      <c r="D43" s="84"/>
      <c r="E43" s="85"/>
      <c r="F43" s="115">
        <f>(SALARIOS!C45)</f>
        <v>0.15</v>
      </c>
      <c r="G43" s="116">
        <f>++F43*H40</f>
        <v>591.05479822452298</v>
      </c>
      <c r="H43" s="117"/>
    </row>
    <row r="44" spans="1:8">
      <c r="A44" s="83" t="s">
        <v>513</v>
      </c>
      <c r="B44" s="84"/>
      <c r="C44" s="84"/>
      <c r="D44" s="84"/>
      <c r="E44" s="85"/>
      <c r="F44" s="115">
        <f>(SALARIOS!C46)</f>
        <v>0.05</v>
      </c>
      <c r="G44" s="116">
        <f>+F44*H40</f>
        <v>197.01826607484099</v>
      </c>
      <c r="H44" s="117"/>
    </row>
    <row r="45" spans="1:8" ht="15.75" thickBot="1">
      <c r="A45" s="89" t="s">
        <v>514</v>
      </c>
      <c r="B45" s="90"/>
      <c r="C45" s="90"/>
      <c r="D45" s="90"/>
      <c r="E45" s="91"/>
      <c r="F45" s="118">
        <f>SALARIOS!C47</f>
        <v>0.05</v>
      </c>
      <c r="G45" s="119">
        <f>+F45*H40</f>
        <v>197.01826607484099</v>
      </c>
      <c r="H45" s="80"/>
    </row>
    <row r="46" spans="1:8" ht="15.75" thickBot="1">
      <c r="A46" s="61"/>
      <c r="B46" s="61"/>
      <c r="C46" s="61"/>
      <c r="D46" s="61"/>
      <c r="E46" s="61"/>
      <c r="F46" s="61"/>
      <c r="G46" s="81" t="s">
        <v>491</v>
      </c>
      <c r="H46" s="120">
        <f>SUM(G43:G45)</f>
        <v>985.09133037420497</v>
      </c>
    </row>
    <row r="47" spans="1:8" ht="15.75" thickBot="1">
      <c r="A47" s="61"/>
      <c r="B47" s="61"/>
      <c r="C47" s="61"/>
      <c r="D47" s="61"/>
      <c r="E47" s="61"/>
      <c r="F47" s="61"/>
      <c r="G47" s="61"/>
      <c r="H47" s="61"/>
    </row>
    <row r="48" spans="1:8" ht="15.75" thickBot="1">
      <c r="A48" s="16"/>
      <c r="B48" s="16"/>
      <c r="C48" s="61"/>
      <c r="D48" s="108" t="s">
        <v>515</v>
      </c>
      <c r="E48" s="109"/>
      <c r="F48" s="109"/>
      <c r="G48" s="109"/>
      <c r="H48" s="82">
        <f>ROUND((H40+H46),0)</f>
        <v>4925</v>
      </c>
    </row>
  </sheetData>
  <mergeCells count="11">
    <mergeCell ref="A33:B33"/>
    <mergeCell ref="A3:C4"/>
    <mergeCell ref="A5:C5"/>
    <mergeCell ref="D5:H5"/>
    <mergeCell ref="A11:C11"/>
    <mergeCell ref="A14:C14"/>
    <mergeCell ref="A15:C15"/>
    <mergeCell ref="A16:C16"/>
    <mergeCell ref="A17:C17"/>
    <mergeCell ref="A20:C20"/>
    <mergeCell ref="A27:B2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374</vt:i4>
      </vt:variant>
      <vt:variant>
        <vt:lpstr>Rangos con nombre</vt:lpstr>
      </vt:variant>
      <vt:variant>
        <vt:i4>9</vt:i4>
      </vt:variant>
    </vt:vector>
  </HeadingPairs>
  <TitlesOfParts>
    <vt:vector size="383" baseType="lpstr">
      <vt:lpstr>RESUMEN MIN-HACIENDA</vt:lpstr>
      <vt:lpstr>Hoja1</vt:lpstr>
      <vt:lpstr>SISTEMAS PARA VENTOSAS (2)</vt:lpstr>
      <vt:lpstr>SISTEMAS PARA PURGAS (2)</vt:lpstr>
      <vt:lpstr>ITEMS</vt:lpstr>
      <vt:lpstr>SALARIOS</vt:lpstr>
      <vt:lpstr>EQUIPOS </vt:lpstr>
      <vt:lpstr>MATERIALES</vt:lpstr>
      <vt:lpstr>Memorias</vt:lpstr>
      <vt:lpstr>1,1</vt:lpstr>
      <vt:lpstr>1,2</vt:lpstr>
      <vt:lpstr>1,3</vt:lpstr>
      <vt:lpstr>1,4</vt:lpstr>
      <vt:lpstr>1,5</vt:lpstr>
      <vt:lpstr>1,6</vt:lpstr>
      <vt:lpstr>1,7</vt:lpstr>
      <vt:lpstr>1,8</vt:lpstr>
      <vt:lpstr>1,9</vt:lpstr>
      <vt:lpstr>1,10</vt:lpstr>
      <vt:lpstr>1,11</vt:lpstr>
      <vt:lpstr>1,12</vt:lpstr>
      <vt:lpstr>1,13</vt:lpstr>
      <vt:lpstr>1,14</vt:lpstr>
      <vt:lpstr>2,1</vt:lpstr>
      <vt:lpstr>2,2</vt:lpstr>
      <vt:lpstr>2,3</vt:lpstr>
      <vt:lpstr>2,4</vt:lpstr>
      <vt:lpstr>2,5</vt:lpstr>
      <vt:lpstr>2,6</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4,1</vt:lpstr>
      <vt:lpstr>4,2</vt:lpstr>
      <vt:lpstr>4,3</vt:lpstr>
      <vt:lpstr>4,4</vt:lpstr>
      <vt:lpstr>4,5</vt:lpstr>
      <vt:lpstr>4,6</vt:lpstr>
      <vt:lpstr>4,7</vt:lpstr>
      <vt:lpstr>4,8</vt:lpstr>
      <vt:lpstr>4,9</vt:lpstr>
      <vt:lpstr>4,10</vt:lpstr>
      <vt:lpstr>4,11</vt:lpstr>
      <vt:lpstr>4,12</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6,18</vt:lpstr>
      <vt:lpstr>6,19</vt:lpstr>
      <vt:lpstr>6,20</vt:lpstr>
      <vt:lpstr>6,21</vt:lpstr>
      <vt:lpstr>6,22</vt:lpstr>
      <vt:lpstr>6,23</vt:lpstr>
      <vt:lpstr>7,1</vt:lpstr>
      <vt:lpstr>7,2</vt:lpstr>
      <vt:lpstr>7,3</vt:lpstr>
      <vt:lpstr>8,1,1</vt:lpstr>
      <vt:lpstr>8,1,2</vt:lpstr>
      <vt:lpstr>8,1,3</vt:lpstr>
      <vt:lpstr>8,1,4</vt:lpstr>
      <vt:lpstr>8,1,5</vt:lpstr>
      <vt:lpstr>8,1,6</vt:lpstr>
      <vt:lpstr>8,1,7</vt:lpstr>
      <vt:lpstr>8,1,8</vt:lpstr>
      <vt:lpstr>8,1,9</vt:lpstr>
      <vt:lpstr>8,2,1</vt:lpstr>
      <vt:lpstr>8,2,2</vt:lpstr>
      <vt:lpstr>8,2,3</vt:lpstr>
      <vt:lpstr>8,2,4</vt:lpstr>
      <vt:lpstr>8,2,5</vt:lpstr>
      <vt:lpstr>8,2,6</vt:lpstr>
      <vt:lpstr>8,2,7</vt:lpstr>
      <vt:lpstr>8,2,8</vt:lpstr>
      <vt:lpstr>8,2,9</vt:lpstr>
      <vt:lpstr>9,1,1</vt:lpstr>
      <vt:lpstr>9,1,2</vt:lpstr>
      <vt:lpstr>9,1,3</vt:lpstr>
      <vt:lpstr>9,1,4</vt:lpstr>
      <vt:lpstr>9,1,5</vt:lpstr>
      <vt:lpstr>9,1,6</vt:lpstr>
      <vt:lpstr>9,1,7</vt:lpstr>
      <vt:lpstr>9,1,8</vt:lpstr>
      <vt:lpstr>9,1,9</vt:lpstr>
      <vt:lpstr>10,1,1</vt:lpstr>
      <vt:lpstr>10,1,2</vt:lpstr>
      <vt:lpstr>10,1,3</vt:lpstr>
      <vt:lpstr>10,1,4</vt:lpstr>
      <vt:lpstr>10,1,5</vt:lpstr>
      <vt:lpstr>10,1,6</vt:lpstr>
      <vt:lpstr>10,1,7</vt:lpstr>
      <vt:lpstr>10,1,8</vt:lpstr>
      <vt:lpstr>10,1,9</vt:lpstr>
      <vt:lpstr>11,1,1</vt:lpstr>
      <vt:lpstr>11,1,2</vt:lpstr>
      <vt:lpstr>11,1,3</vt:lpstr>
      <vt:lpstr>11,1,4</vt:lpstr>
      <vt:lpstr>11,1,5</vt:lpstr>
      <vt:lpstr>11,1,6</vt:lpstr>
      <vt:lpstr>11,1,7</vt:lpstr>
      <vt:lpstr>11,2,1</vt:lpstr>
      <vt:lpstr>11,2,2</vt:lpstr>
      <vt:lpstr>11,2,3</vt:lpstr>
      <vt:lpstr>11,2,4</vt:lpstr>
      <vt:lpstr>11,2,5</vt:lpstr>
      <vt:lpstr>11,2,6</vt:lpstr>
      <vt:lpstr>11,2,7</vt:lpstr>
      <vt:lpstr>12,1,1</vt:lpstr>
      <vt:lpstr>12,1,2</vt:lpstr>
      <vt:lpstr>12,1,3</vt:lpstr>
      <vt:lpstr>12,1,4</vt:lpstr>
      <vt:lpstr>12,1,5</vt:lpstr>
      <vt:lpstr>12,1,6</vt:lpstr>
      <vt:lpstr>12,1,7</vt:lpstr>
      <vt:lpstr>12,2,1</vt:lpstr>
      <vt:lpstr>12,2,2</vt:lpstr>
      <vt:lpstr>12,2,3</vt:lpstr>
      <vt:lpstr>12,2,4</vt:lpstr>
      <vt:lpstr>12,2,5</vt:lpstr>
      <vt:lpstr>12,2,6</vt:lpstr>
      <vt:lpstr>12,2,7</vt:lpstr>
      <vt:lpstr>13,1,1</vt:lpstr>
      <vt:lpstr>13,1,2</vt:lpstr>
      <vt:lpstr>13,1,3</vt:lpstr>
      <vt:lpstr>13,1,4</vt:lpstr>
      <vt:lpstr>13,1,5</vt:lpstr>
      <vt:lpstr>13,1,6</vt:lpstr>
      <vt:lpstr>13,1,7</vt:lpstr>
      <vt:lpstr>13,1,8</vt:lpstr>
      <vt:lpstr>13,1,9</vt:lpstr>
      <vt:lpstr>13,1,10</vt:lpstr>
      <vt:lpstr>13,1,11</vt:lpstr>
      <vt:lpstr>13,1,12</vt:lpstr>
      <vt:lpstr>13,1,13</vt:lpstr>
      <vt:lpstr>14,1,1</vt:lpstr>
      <vt:lpstr>14,1,2</vt:lpstr>
      <vt:lpstr>14,1,3</vt:lpstr>
      <vt:lpstr>14,1,4</vt:lpstr>
      <vt:lpstr>14,1,5</vt:lpstr>
      <vt:lpstr>14,1,6</vt:lpstr>
      <vt:lpstr>14,1,7</vt:lpstr>
      <vt:lpstr>14,1,8</vt:lpstr>
      <vt:lpstr>14,1,9</vt:lpstr>
      <vt:lpstr>14,1,10</vt:lpstr>
      <vt:lpstr>14,1,11</vt:lpstr>
      <vt:lpstr>14,1,12</vt:lpstr>
      <vt:lpstr>15,1,1</vt:lpstr>
      <vt:lpstr>15,1,2</vt:lpstr>
      <vt:lpstr>15,1,3</vt:lpstr>
      <vt:lpstr>15,1,4</vt:lpstr>
      <vt:lpstr>15,1,5</vt:lpstr>
      <vt:lpstr>15,1,6</vt:lpstr>
      <vt:lpstr>15,1,7</vt:lpstr>
      <vt:lpstr>15,1,8</vt:lpstr>
      <vt:lpstr>16,1,1</vt:lpstr>
      <vt:lpstr>16,1,2</vt:lpstr>
      <vt:lpstr>16,1,3</vt:lpstr>
      <vt:lpstr>16,1,4</vt:lpstr>
      <vt:lpstr>16,1,5</vt:lpstr>
      <vt:lpstr>16,1,6</vt:lpstr>
      <vt:lpstr>16,1,7</vt:lpstr>
      <vt:lpstr>17,1,1</vt:lpstr>
      <vt:lpstr>17,1,2</vt:lpstr>
      <vt:lpstr>17,1,3</vt:lpstr>
      <vt:lpstr>17,1,4</vt:lpstr>
      <vt:lpstr>17,1,5</vt:lpstr>
      <vt:lpstr>17,1,6</vt:lpstr>
      <vt:lpstr>17,1,7</vt:lpstr>
      <vt:lpstr>18,1,1</vt:lpstr>
      <vt:lpstr>18,1,2</vt:lpstr>
      <vt:lpstr>18,1,3</vt:lpstr>
      <vt:lpstr>18,1,4</vt:lpstr>
      <vt:lpstr>18,1,5</vt:lpstr>
      <vt:lpstr>18,1,6</vt:lpstr>
      <vt:lpstr>18,1,7</vt:lpstr>
      <vt:lpstr>19,1,1</vt:lpstr>
      <vt:lpstr>19,1,2</vt:lpstr>
      <vt:lpstr>19,1,3</vt:lpstr>
      <vt:lpstr>19,1,4</vt:lpstr>
      <vt:lpstr>19,1,5</vt:lpstr>
      <vt:lpstr>19,1,6</vt:lpstr>
      <vt:lpstr>19,1,7</vt:lpstr>
      <vt:lpstr>19,1,8</vt:lpstr>
      <vt:lpstr>19,1,9</vt:lpstr>
      <vt:lpstr>19,1,10</vt:lpstr>
      <vt:lpstr>19,1,11</vt:lpstr>
      <vt:lpstr>19,1,12</vt:lpstr>
      <vt:lpstr>19,1,13</vt:lpstr>
      <vt:lpstr>19,1,14</vt:lpstr>
      <vt:lpstr>19,1,15</vt:lpstr>
      <vt:lpstr>19,2,1</vt:lpstr>
      <vt:lpstr>19,2,2</vt:lpstr>
      <vt:lpstr>19,2,3</vt:lpstr>
      <vt:lpstr>19,2,4</vt:lpstr>
      <vt:lpstr>20,1</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lpstr>20,27</vt:lpstr>
      <vt:lpstr>20,28</vt:lpstr>
      <vt:lpstr>20,29</vt:lpstr>
      <vt:lpstr>20,30</vt:lpstr>
      <vt:lpstr>20,31</vt:lpstr>
      <vt:lpstr>20,32</vt:lpstr>
      <vt:lpstr>20,33</vt:lpstr>
      <vt:lpstr>20,34</vt:lpstr>
      <vt:lpstr>20,35</vt:lpstr>
      <vt:lpstr>20,36</vt:lpstr>
      <vt:lpstr>20,37</vt:lpstr>
      <vt:lpstr>20,38</vt:lpstr>
      <vt:lpstr>20,39</vt:lpstr>
      <vt:lpstr>20,40</vt:lpstr>
      <vt:lpstr>20,41</vt:lpstr>
      <vt:lpstr>20,42</vt:lpstr>
      <vt:lpstr>20,43</vt:lpstr>
      <vt:lpstr>20,44</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9,1</vt:lpstr>
      <vt:lpstr>9,2</vt:lpstr>
      <vt:lpstr>9,3</vt:lpstr>
      <vt:lpstr>9,4</vt:lpstr>
      <vt:lpstr>9,5</vt:lpstr>
      <vt:lpstr>9,6</vt:lpstr>
      <vt:lpstr>9,7,</vt:lpstr>
      <vt:lpstr>9,8</vt:lpstr>
      <vt:lpstr>9,9</vt:lpstr>
      <vt:lpstr>9,10</vt:lpstr>
      <vt:lpstr>9,11</vt:lpstr>
      <vt:lpstr>9,12</vt:lpstr>
      <vt:lpstr>9,13</vt:lpstr>
      <vt:lpstr>9,14</vt:lpstr>
      <vt:lpstr>9,15</vt:lpstr>
      <vt:lpstr>9,16</vt:lpstr>
      <vt:lpstr>9,17</vt:lpstr>
      <vt:lpstr>9,18</vt:lpstr>
      <vt:lpstr>9,19</vt:lpstr>
      <vt:lpstr>9,20</vt:lpstr>
      <vt:lpstr>9,21</vt:lpstr>
      <vt:lpstr>9,22</vt:lpstr>
      <vt:lpstr>9,23</vt:lpstr>
      <vt:lpstr>9,24</vt:lpstr>
      <vt:lpstr>9,25</vt:lpstr>
      <vt:lpstr>9,26</vt:lpstr>
      <vt:lpstr>9,27</vt:lpstr>
      <vt:lpstr>9,28</vt:lpstr>
      <vt:lpstr>9,29</vt:lpstr>
      <vt:lpstr>9,30</vt:lpstr>
      <vt:lpstr>9,31</vt:lpstr>
      <vt:lpstr>9,32</vt:lpstr>
      <vt:lpstr>9,33</vt:lpstr>
      <vt:lpstr>9,34</vt:lpstr>
      <vt:lpstr>9,35</vt:lpstr>
      <vt:lpstr>10,1,1,1</vt:lpstr>
      <vt:lpstr>10,1,1,2</vt:lpstr>
      <vt:lpstr>10,1,1,3</vt:lpstr>
      <vt:lpstr>10,1,1,4</vt:lpstr>
      <vt:lpstr>10,1,1,5</vt:lpstr>
      <vt:lpstr>10,1,1,6</vt:lpstr>
      <vt:lpstr>10,1,1,7</vt:lpstr>
      <vt:lpstr>10,1,1,8</vt:lpstr>
      <vt:lpstr>10,1,1,9</vt:lpstr>
      <vt:lpstr>10,1,1,10</vt:lpstr>
      <vt:lpstr>10,1,11</vt:lpstr>
      <vt:lpstr>10,1,2,1</vt:lpstr>
      <vt:lpstr>10,1,2,2</vt:lpstr>
      <vt:lpstr>10,1,2,3</vt:lpstr>
      <vt:lpstr>10,1,2,4</vt:lpstr>
      <vt:lpstr>10,1,2,5</vt:lpstr>
      <vt:lpstr>10,1,2,6</vt:lpstr>
      <vt:lpstr>10,1,2,7</vt:lpstr>
      <vt:lpstr>10,1,2,8</vt:lpstr>
      <vt:lpstr>10,1,2,9</vt:lpstr>
      <vt:lpstr>10,1,2,10</vt:lpstr>
      <vt:lpstr>10,1,2,11</vt:lpstr>
      <vt:lpstr>10,2,2</vt:lpstr>
      <vt:lpstr>10,2,3</vt:lpstr>
      <vt:lpstr>10,2,4</vt:lpstr>
      <vt:lpstr>10,2,5</vt:lpstr>
      <vt:lpstr>10,2,6</vt:lpstr>
      <vt:lpstr>10,2,7</vt:lpstr>
      <vt:lpstr>10,2,8</vt:lpstr>
      <vt:lpstr>10,2,9</vt:lpstr>
      <vt:lpstr>10,2,10</vt:lpstr>
      <vt:lpstr>10,2,11</vt:lpstr>
      <vt:lpstr>10,2,12</vt:lpstr>
      <vt:lpstr>10,3,1</vt:lpstr>
      <vt:lpstr>10,3,2</vt:lpstr>
      <vt:lpstr>10,3,3</vt:lpstr>
      <vt:lpstr>10,3,4</vt:lpstr>
      <vt:lpstr>10,3,5</vt:lpstr>
      <vt:lpstr>10,3,6</vt:lpstr>
      <vt:lpstr>10,3,7</vt:lpstr>
      <vt:lpstr>10,3,8</vt:lpstr>
      <vt:lpstr>10,3,9</vt:lpstr>
      <vt:lpstr>10,3,10</vt:lpstr>
      <vt:lpstr>10,3,11</vt:lpstr>
      <vt:lpstr>ITEMS!Área_de_impresión</vt:lpstr>
      <vt:lpstr>Memorias!Área_de_impresión</vt:lpstr>
      <vt:lpstr>'RESUMEN MIN-HACIENDA'!Área_de_impresión</vt:lpstr>
      <vt:lpstr>'SISTEMAS PARA PURGAS (2)'!Área_de_impresión</vt:lpstr>
      <vt:lpstr>'SISTEMAS PARA VENTOSAS (2)'!Área_de_impresión</vt:lpstr>
      <vt:lpstr>ITEMS!Títulos_a_imprimir</vt:lpstr>
      <vt:lpstr>'RESUMEN MIN-HACIENDA'!Títulos_a_imprimir</vt:lpstr>
      <vt:lpstr>'SISTEMAS PARA PURGAS (2)'!Títulos_a_imprimir</vt:lpstr>
      <vt:lpstr>'SISTEMAS PARA VENTOSAS (2)'!Títulos_a_imprimir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EQUIPO3</dc:creator>
  <cp:lastModifiedBy>Jacqueline Maya Ospina</cp:lastModifiedBy>
  <cp:lastPrinted>2016-11-04T20:28:05Z</cp:lastPrinted>
  <dcterms:created xsi:type="dcterms:W3CDTF">2012-12-12T19:51:11Z</dcterms:created>
  <dcterms:modified xsi:type="dcterms:W3CDTF">2016-11-11T21:50:48Z</dcterms:modified>
</cp:coreProperties>
</file>