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730" windowHeight="11760" tabRatio="742" firstSheet="1" activeTab="3"/>
  </bookViews>
  <sheets>
    <sheet name="DATOS DE ENTRADA" sheetId="8" r:id="rId1"/>
    <sheet name="PPTO ESTUDIOS FASE 1-" sheetId="9" r:id="rId2"/>
    <sheet name="PPTO ESTUDIOS FASE 2" sheetId="10" r:id="rId3"/>
    <sheet name="PPTO PERSONAL 3" sheetId="12" r:id="rId4"/>
    <sheet name="Hoja3" sheetId="13" r:id="rId5"/>
  </sheets>
  <definedNames>
    <definedName name="_xlnm.Print_Area" localSheetId="1">'PPTO ESTUDIOS FASE 1-'!$A$1:$N$59</definedName>
    <definedName name="_xlnm.Print_Area" localSheetId="2">'PPTO ESTUDIOS FASE 2'!$A$1:$N$25</definedName>
    <definedName name="_xlnm.Print_Area" localSheetId="3">'PPTO PERSONAL 3'!$A$1:$I$34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0" l="1"/>
  <c r="F20" i="10"/>
  <c r="G20" i="10" s="1"/>
  <c r="E25" i="12"/>
  <c r="F28" i="12"/>
  <c r="G28" i="12" s="1"/>
  <c r="F27" i="12"/>
  <c r="G27" i="12" s="1"/>
  <c r="F26" i="12"/>
  <c r="F25" i="12"/>
  <c r="F24" i="12"/>
  <c r="G24" i="12" s="1"/>
  <c r="G26" i="12" l="1"/>
  <c r="G25" i="12"/>
  <c r="G29" i="12" l="1"/>
  <c r="G30" i="12" s="1"/>
  <c r="G31" i="12" s="1"/>
  <c r="F6" i="13" l="1"/>
  <c r="G12" i="12"/>
  <c r="H12" i="12" s="1"/>
  <c r="G11" i="12"/>
  <c r="H11" i="12" s="1"/>
  <c r="G10" i="12"/>
  <c r="H10" i="12" s="1"/>
  <c r="F3" i="13"/>
  <c r="G17" i="12"/>
  <c r="H17" i="12" s="1"/>
  <c r="G16" i="12"/>
  <c r="G15" i="12"/>
  <c r="D16" i="12"/>
  <c r="G14" i="12"/>
  <c r="H14" i="12" s="1"/>
  <c r="G13" i="12"/>
  <c r="H13" i="12" s="1"/>
  <c r="G9" i="12"/>
  <c r="H9" i="12" s="1"/>
  <c r="G8" i="12"/>
  <c r="H8" i="12" s="1"/>
  <c r="G7" i="12"/>
  <c r="H7" i="12" s="1"/>
  <c r="G6" i="12"/>
  <c r="H6" i="12" s="1"/>
  <c r="G5" i="12"/>
  <c r="H5" i="12" s="1"/>
  <c r="G4" i="12"/>
  <c r="H4" i="12" s="1"/>
  <c r="H16" i="12" l="1"/>
  <c r="H15" i="12"/>
  <c r="F19" i="10"/>
  <c r="G5" i="10"/>
  <c r="H5" i="10" s="1"/>
  <c r="F27" i="9"/>
  <c r="G27" i="9"/>
  <c r="F28" i="9"/>
  <c r="G28" i="9" s="1"/>
  <c r="F29" i="9"/>
  <c r="G29" i="9" s="1"/>
  <c r="H18" i="12" l="1"/>
  <c r="H19" i="12" s="1"/>
  <c r="H20" i="12" s="1"/>
  <c r="H34" i="12" s="1"/>
  <c r="G19" i="10"/>
  <c r="F52" i="9" l="1"/>
  <c r="G52" i="9" s="1"/>
  <c r="F53" i="9"/>
  <c r="G53" i="9" s="1"/>
  <c r="D29" i="9" l="1"/>
  <c r="F17" i="10" l="1"/>
  <c r="F18" i="10"/>
  <c r="G18" i="10" s="1"/>
  <c r="F16" i="10"/>
  <c r="G9" i="10"/>
  <c r="D9" i="10"/>
  <c r="G8" i="10"/>
  <c r="H8" i="10" s="1"/>
  <c r="G7" i="10"/>
  <c r="H7" i="10" s="1"/>
  <c r="G4" i="10"/>
  <c r="H4" i="10" s="1"/>
  <c r="G6" i="10"/>
  <c r="H6" i="10" s="1"/>
  <c r="G10" i="9"/>
  <c r="H10" i="9" s="1"/>
  <c r="G11" i="9"/>
  <c r="H11" i="9" s="1"/>
  <c r="H9" i="10" l="1"/>
  <c r="G16" i="10"/>
  <c r="G17" i="10"/>
  <c r="F25" i="9"/>
  <c r="G25" i="9" s="1"/>
  <c r="G22" i="10" l="1"/>
  <c r="G23" i="10" s="1"/>
  <c r="F51" i="9"/>
  <c r="G51" i="9" s="1"/>
  <c r="F50" i="9"/>
  <c r="G50" i="9" s="1"/>
  <c r="F49" i="9"/>
  <c r="G49" i="9" s="1"/>
  <c r="F48" i="9"/>
  <c r="G48" i="9" s="1"/>
  <c r="F47" i="9"/>
  <c r="G47" i="9" s="1"/>
  <c r="F46" i="9"/>
  <c r="G46" i="9" s="1"/>
  <c r="F39" i="9"/>
  <c r="G39" i="9" s="1"/>
  <c r="F38" i="9"/>
  <c r="G38" i="9" s="1"/>
  <c r="F37" i="9"/>
  <c r="G37" i="9" s="1"/>
  <c r="F36" i="9"/>
  <c r="G36" i="9" s="1"/>
  <c r="D15" i="9"/>
  <c r="G5" i="9"/>
  <c r="G6" i="9"/>
  <c r="G8" i="9"/>
  <c r="G7" i="9"/>
  <c r="G9" i="9"/>
  <c r="G12" i="9"/>
  <c r="G13" i="9"/>
  <c r="G14" i="9"/>
  <c r="G15" i="9"/>
  <c r="G16" i="9"/>
  <c r="G17" i="9"/>
  <c r="F26" i="9"/>
  <c r="F24" i="9"/>
  <c r="G4" i="9"/>
  <c r="G54" i="9" l="1"/>
  <c r="G55" i="9" s="1"/>
  <c r="G56" i="9" s="1"/>
  <c r="H10" i="10"/>
  <c r="H11" i="10" s="1"/>
  <c r="H12" i="10" s="1"/>
  <c r="H25" i="10" s="1"/>
  <c r="H6" i="9"/>
  <c r="G40" i="9"/>
  <c r="H5" i="9"/>
  <c r="H9" i="9"/>
  <c r="H14" i="9"/>
  <c r="H17" i="9"/>
  <c r="G26" i="9"/>
  <c r="G24" i="9"/>
  <c r="H8" i="9"/>
  <c r="H12" i="9"/>
  <c r="H7" i="9"/>
  <c r="H13" i="9"/>
  <c r="H15" i="9"/>
  <c r="D16" i="9"/>
  <c r="H4" i="9"/>
  <c r="G30" i="9" l="1"/>
  <c r="G31" i="9" s="1"/>
  <c r="G41" i="9"/>
  <c r="G42" i="9" s="1"/>
  <c r="H16" i="9"/>
  <c r="G32" i="9" l="1"/>
  <c r="H18" i="9"/>
  <c r="H19" i="9" s="1"/>
  <c r="H20" i="9" s="1"/>
  <c r="H59" i="9" l="1"/>
</calcChain>
</file>

<file path=xl/sharedStrings.xml><?xml version="1.0" encoding="utf-8"?>
<sst xmlns="http://schemas.openxmlformats.org/spreadsheetml/2006/main" count="197" uniqueCount="87">
  <si>
    <t>SECRETARIA</t>
  </si>
  <si>
    <t>PERSONAL</t>
  </si>
  <si>
    <t>CANTIDAD</t>
  </si>
  <si>
    <t>VR MENSUAL</t>
  </si>
  <si>
    <t>VALOR
PARCIAL</t>
  </si>
  <si>
    <t>FACTOR
MULTIPLICADOR</t>
  </si>
  <si>
    <t>COSTOS TOTAL SIN IVA</t>
  </si>
  <si>
    <t>IVA</t>
  </si>
  <si>
    <t>COSTO TOTAL CON IVA</t>
  </si>
  <si>
    <t>TOTAL COSTO DIRECTO SIN IVA</t>
  </si>
  <si>
    <t>COSTO DIRECTO TOTAL CON IVA</t>
  </si>
  <si>
    <t>DESCRIPCIÓN</t>
  </si>
  <si>
    <t>UNIDAD</t>
  </si>
  <si>
    <t>VALOR UNITARIO</t>
  </si>
  <si>
    <t>VALOR TOTAL</t>
  </si>
  <si>
    <t>mes</t>
  </si>
  <si>
    <t>No. PERSONAS</t>
  </si>
  <si>
    <t>DEDICACIÓN MENSUAL
%</t>
  </si>
  <si>
    <t>No. DE MESES</t>
  </si>
  <si>
    <t>ALQUILER CAMIONETA 4x4 DOBLE CABINA CON PLATÓN CILINDRAJE MÍNIMO 2000CC Y MODELO NO MAYOR A 3 AÑOS (INCLUYE CONDUCTOR)</t>
  </si>
  <si>
    <t>FACTOR MULTIPLICADOR</t>
  </si>
  <si>
    <t>FACTOR MULTIPLICADOR COSTOS DIRECTOS</t>
  </si>
  <si>
    <t>FACTOR MULTIPLICADOR PERSONAL</t>
  </si>
  <si>
    <t>1. COSTOS DE PERSONAL</t>
  </si>
  <si>
    <t>2. COSTOS DIRECTOS</t>
  </si>
  <si>
    <t>DIBUJANTE</t>
  </si>
  <si>
    <t>CADENERO 1</t>
  </si>
  <si>
    <t>CADENERO 2</t>
  </si>
  <si>
    <t>ESPECIALISTA EN GEOTECNIA</t>
  </si>
  <si>
    <t>MESES</t>
  </si>
  <si>
    <t>ALQUILER EQUIPO DE TOPOGRAFÍA</t>
  </si>
  <si>
    <t>3. PERFORACIONES</t>
  </si>
  <si>
    <t>4. LABORATORIO</t>
  </si>
  <si>
    <t>PERFORACIONES SEMI MECANIZADAS 6M-10M</t>
  </si>
  <si>
    <t>APIQUES HASTA DE 2 METROS DE PROFUNDIDAD</t>
  </si>
  <si>
    <t>ML</t>
  </si>
  <si>
    <t>APIQUES HASTA DE 4 METROS DE PROFUNDIDAD</t>
  </si>
  <si>
    <t>HUMEDAD NATURAL</t>
  </si>
  <si>
    <t>LIMITES DE ATTERBERG</t>
  </si>
  <si>
    <t>PESO UNITARIO</t>
  </si>
  <si>
    <t>ENSAYO DE RESISTENCIA AL CORTE</t>
  </si>
  <si>
    <t>INGENIERO</t>
  </si>
  <si>
    <t>DIRECTOR DE CONSULTORÍA</t>
  </si>
  <si>
    <t>ESPECIALISTA EN HIDROLOGÍA E HIDRÁULICA</t>
  </si>
  <si>
    <t>GEÓLOGO</t>
  </si>
  <si>
    <t>ESPECIALISTA ESTRUCTURAL</t>
  </si>
  <si>
    <t>AUXILIAR DE INGENIERÍA</t>
  </si>
  <si>
    <t>TOPÓGRAFO</t>
  </si>
  <si>
    <t>ENSAYO DE SÍSMICA</t>
  </si>
  <si>
    <t>GRANULOMETRÍA</t>
  </si>
  <si>
    <t>ENSAYO A RESISTENCIA A LA COMPRESIÓN INCONFINADA DE SUELOS</t>
  </si>
  <si>
    <t>PRUEBAS HIDROSTÁTICAS INCLUYE ACCESORIOS (TAPONES, SALIDAS Y CINTURONES DE CIERRE, LONGITUD MÁXIMA PARA LA PRUEBA 1000 METROS) PRESIÓN DE LA PRUEBA 20% MÁS DE LA PRESIÓN DE TRABAJO</t>
  </si>
  <si>
    <t>ING DE COSTOS Y PRESUPUESTOS</t>
  </si>
  <si>
    <t>PROFESIONAL SOCIAL</t>
  </si>
  <si>
    <t>INGENIERO AMBIENTAL</t>
  </si>
  <si>
    <r>
      <t>Considero que se requiere este personal por lo que indican los Estudios Previos, los cuales dentro de las actividades a ejecutar en la Fase 2 textualmente indican:
"</t>
    </r>
    <r>
      <rPr>
        <i/>
        <sz val="11"/>
        <color rgb="FFFF0000"/>
        <rFont val="Calibri"/>
        <family val="2"/>
        <scheme val="minor"/>
      </rPr>
      <t xml:space="preserve">4. Los ajustes técnicos propuestos por EL CONTRATISTA sobre el proyecto, deben enmarcarse dentro de los parámetros de la solución tecnológica inicial. 
5.Con las actualizaciones, estudios adicionales necesarios, ajustes, y/o complementaciones a los estudios existentes que resulten del ejercicio de validación expuesto, EL CONTRATISTA debe establecer si hay cambios en las cantidades de obra, los ítems y el presupuesto. 
6. Tales ajustes deberán contar con las memorias de cálculo, las carteras topográficas, los planos de detalle, el análisis de precios unitarios de actividades no previstas, las especificaciones técnicas y el cálculo de cantidades de obra correspondientes."
</t>
    </r>
  </si>
  <si>
    <t>Es importante contar con este profesional para realizar los acercamientos con la comunidad y darle un  manejo social al momento de realizar las posibles compras de predios y adquisicion de servidumbres</t>
  </si>
  <si>
    <t>El acompañamiento de este profesional es escencial para revisar las posibles afectaciones ambientales, realizar los acercamientos ocn las entidades ambientales correspondientes asi como apoyar y asesorar con respecto a la obtencion de los posibles permisos ambientales</t>
  </si>
  <si>
    <t>PREPARACION Y EDICION DE INFORMES (INCLUYE FOTOGRAFIAS, FOTOCOPIAS, IMPRESIÓN, PLOTER), COMUNICACIONES</t>
  </si>
  <si>
    <t>GL-MES</t>
  </si>
  <si>
    <t>COMPRA DE INFORMACION (FOTOGRAFIAS AEREAS, CARTOGRAFIA ESEPECIFICA) ESTUDIOS OFICIALES ETC</t>
  </si>
  <si>
    <t>COMUNICACIONES (TELEFONOS, INTERNET, CELULARES, FAX ETC)</t>
  </si>
  <si>
    <t>OBSERVACIONES JOHN CESPEDES</t>
  </si>
  <si>
    <t>ENSAYO DE CONSOLIDACION</t>
  </si>
  <si>
    <t>ENSAYO DE PENETRACION ESTANDAR SPT</t>
  </si>
  <si>
    <r>
      <t xml:space="preserve">Considero que si bien la fase 1 cuenta con el ingeniero forestal, hace falta un  ing ambiental que defina, </t>
    </r>
    <r>
      <rPr>
        <b/>
        <u/>
        <sz val="14"/>
        <color rgb="FFFF0000"/>
        <rFont val="Calibri"/>
        <family val="2"/>
        <scheme val="minor"/>
      </rPr>
      <t>cuantifique y presupueste</t>
    </r>
    <r>
      <rPr>
        <sz val="11"/>
        <color rgb="FFFF0000"/>
        <rFont val="Calibri"/>
        <family val="2"/>
        <scheme val="minor"/>
      </rPr>
      <t xml:space="preserve"> las posIbles intervenciones ambientales (PMA, Impactos ambientales, permisos, etc)</t>
    </r>
  </si>
  <si>
    <t>Pienso que este profesional debe revisar, validar y actualizar los presupuestos de las nueve (9) actividades y sus trece (13) entregables que pide la FASE 1</t>
  </si>
  <si>
    <t>PREPARACION Y EDICION DE INFORMES (INCLUYE FOTOGRAFIAS, FOTOCOPIAS, IMPRESIÓN, PLOTER), COMUNICACIONES ETC)</t>
  </si>
  <si>
    <t>COSTO TOTAL  FASE 2 INCLUYENDO IVA</t>
  </si>
  <si>
    <t>COSTO TOTAL FASE I INCLUYENDO IVA</t>
  </si>
  <si>
    <t>DIRECTOR DE OBRA</t>
  </si>
  <si>
    <t>INGENIERO RESIDENTE</t>
  </si>
  <si>
    <t>ESPECIALISTA EN HIDRÁULICA</t>
  </si>
  <si>
    <t>PROFESIONAL SISO</t>
  </si>
  <si>
    <t>Se requiere durante las obras de estabilizacion de taludes, construccion del tunel y proceso de cimentacion del puente peatonal de la Bocatoma</t>
  </si>
  <si>
    <t>Se requiere para solucionar posibles inconvenientes durante la instalacion de la tuberia de Ø36"</t>
  </si>
  <si>
    <t>Requerido especialmente para la construccion del puente peatonal, y las obras de proteccion de taludes</t>
  </si>
  <si>
    <t>Se requiere su acompañamiento durante el replanteo de la obra y en visitas periodicas para revisar el cumplimiento de los PMA y la normatividad ambiental</t>
  </si>
  <si>
    <t>Su acompañamiento durante el 100% de la obra es necesario para la vigilancia y cunplimiento de las normas de Seguridad Industrial y Salud Ocupacional SISO</t>
  </si>
  <si>
    <t>EL profesional social se requiere para la atencion a la comunidad, PQR, socializaicones, etc</t>
  </si>
  <si>
    <t>1. COSTOS DE PERSONAL DE OBRA FASE 3</t>
  </si>
  <si>
    <t>Estas cantidades ya estaban asignadas</t>
  </si>
  <si>
    <t>Se deben realizar pruebas a la tuberia faltante por instalar</t>
  </si>
  <si>
    <t>El cta de obra necesita camioneta durante los 6 meses</t>
  </si>
  <si>
    <t>Se toman 6 meses teniendo en cuenta que se requieren dos topografos con dedicacion del 50%</t>
  </si>
  <si>
    <t>Se contempla que de los 6 meses de ejecucion de obra, 2 de ellos se tomen para informes y demas</t>
  </si>
  <si>
    <t>COMPRA DE INFORMACION (Fotografias aereas, planos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</si>
</sst>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_-;\-* #,##0_-;_-* &quot;-&quot;_-;_-@_-"/>
    <numFmt numFmtId="165" formatCode="&quot;$&quot;#,##0"/>
    <numFmt numFmtId="166" formatCode="_-* #,##0.00_-;\-* #,##0.00_-;_-* &quot;-&quot;_-;_-@_-"/>
    <numFmt numFmtId="167" formatCode="#,##0_ ;\-#,##0\ "/>
    <numFmt numFmtId="168" formatCode="#,##0.0_ ;\-#,##0.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1">
    <xf numFmtId="0" fontId="0" fillId="0" borderId="0" xfId="0"/>
    <xf numFmtId="164" fontId="0" fillId="0" borderId="0" xfId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Fill="1" applyBorder="1"/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65" fontId="0" fillId="0" borderId="6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5" xfId="0" applyBorder="1" applyAlignment="1">
      <alignment vertical="center" wrapText="1"/>
    </xf>
    <xf numFmtId="9" fontId="0" fillId="0" borderId="1" xfId="0" applyNumberFormat="1" applyBorder="1" applyAlignment="1">
      <alignment horizontal="center" vertical="center"/>
    </xf>
    <xf numFmtId="166" fontId="0" fillId="0" borderId="0" xfId="1" applyNumberFormat="1" applyFont="1"/>
    <xf numFmtId="0" fontId="0" fillId="0" borderId="7" xfId="0" applyBorder="1"/>
    <xf numFmtId="165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165" fontId="2" fillId="0" borderId="13" xfId="0" applyNumberFormat="1" applyFont="1" applyBorder="1" applyAlignment="1">
      <alignment vertical="center"/>
    </xf>
    <xf numFmtId="0" fontId="0" fillId="0" borderId="11" xfId="0" applyFill="1" applyBorder="1" applyAlignment="1">
      <alignment vertical="center"/>
    </xf>
    <xf numFmtId="9" fontId="0" fillId="0" borderId="12" xfId="0" applyNumberFormat="1" applyFill="1" applyBorder="1" applyAlignment="1">
      <alignment vertical="center"/>
    </xf>
    <xf numFmtId="165" fontId="0" fillId="0" borderId="13" xfId="0" applyNumberFormat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0" fillId="0" borderId="18" xfId="0" applyBorder="1" applyAlignment="1">
      <alignment vertical="center"/>
    </xf>
    <xf numFmtId="165" fontId="0" fillId="0" borderId="19" xfId="0" applyNumberForma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165" fontId="2" fillId="2" borderId="16" xfId="0" applyNumberFormat="1" applyFont="1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/>
    <xf numFmtId="165" fontId="2" fillId="2" borderId="10" xfId="0" applyNumberFormat="1" applyFont="1" applyFill="1" applyBorder="1" applyAlignment="1">
      <alignment vertical="center"/>
    </xf>
    <xf numFmtId="167" fontId="0" fillId="0" borderId="1" xfId="1" applyNumberFormat="1" applyFont="1" applyBorder="1" applyAlignment="1">
      <alignment horizontal="center" vertical="center"/>
    </xf>
    <xf numFmtId="0" fontId="2" fillId="0" borderId="17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0" fillId="0" borderId="7" xfId="0" applyFill="1" applyBorder="1" applyAlignment="1">
      <alignment vertical="center" wrapText="1"/>
    </xf>
    <xf numFmtId="165" fontId="0" fillId="0" borderId="1" xfId="0" applyNumberFormat="1" applyFill="1" applyBorder="1" applyAlignment="1">
      <alignment vertical="center"/>
    </xf>
    <xf numFmtId="3" fontId="0" fillId="0" borderId="1" xfId="0" applyNumberFormat="1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167" fontId="3" fillId="0" borderId="1" xfId="1" applyNumberFormat="1" applyFont="1" applyFill="1" applyBorder="1" applyAlignment="1">
      <alignment horizontal="center" vertical="center"/>
    </xf>
    <xf numFmtId="168" fontId="3" fillId="0" borderId="1" xfId="1" applyNumberFormat="1" applyFon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165" fontId="2" fillId="0" borderId="13" xfId="0" applyNumberFormat="1" applyFont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165" fontId="2" fillId="2" borderId="16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165" fontId="2" fillId="2" borderId="10" xfId="0" applyNumberFormat="1" applyFont="1" applyFill="1" applyBorder="1" applyAlignment="1">
      <alignment horizontal="center" vertical="center"/>
    </xf>
    <xf numFmtId="0" fontId="0" fillId="0" borderId="27" xfId="0" applyFill="1" applyBorder="1" applyAlignment="1">
      <alignment vertical="center" wrapText="1"/>
    </xf>
    <xf numFmtId="0" fontId="0" fillId="0" borderId="0" xfId="0" applyFill="1"/>
    <xf numFmtId="0" fontId="8" fillId="0" borderId="5" xfId="0" applyFont="1" applyFill="1" applyBorder="1" applyAlignment="1">
      <alignment vertical="center" wrapText="1"/>
    </xf>
    <xf numFmtId="165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165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7" xfId="0" applyFont="1" applyFill="1" applyBorder="1" applyAlignment="1">
      <alignment vertical="center" wrapText="1"/>
    </xf>
    <xf numFmtId="165" fontId="8" fillId="0" borderId="1" xfId="0" applyNumberFormat="1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horizontal="center" vertical="center"/>
    </xf>
    <xf numFmtId="9" fontId="8" fillId="0" borderId="1" xfId="0" applyNumberFormat="1" applyFont="1" applyFill="1" applyBorder="1" applyAlignment="1">
      <alignment horizontal="center" vertical="center"/>
    </xf>
    <xf numFmtId="167" fontId="8" fillId="0" borderId="1" xfId="1" applyNumberFormat="1" applyFont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167" fontId="8" fillId="0" borderId="1" xfId="1" applyNumberFormat="1" applyFont="1" applyFill="1" applyBorder="1" applyAlignment="1">
      <alignment horizontal="center" vertical="center"/>
    </xf>
    <xf numFmtId="168" fontId="8" fillId="0" borderId="1" xfId="1" applyNumberFormat="1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vertical="center"/>
    </xf>
    <xf numFmtId="3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0" fillId="0" borderId="5" xfId="0" applyFill="1" applyBorder="1" applyAlignment="1">
      <alignment vertical="center" wrapText="1"/>
    </xf>
    <xf numFmtId="165" fontId="0" fillId="0" borderId="20" xfId="0" applyNumberFormat="1" applyFill="1" applyBorder="1" applyAlignment="1">
      <alignment horizontal="center" vertical="center"/>
    </xf>
    <xf numFmtId="165" fontId="8" fillId="0" borderId="2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/>
    <xf numFmtId="0" fontId="0" fillId="0" borderId="0" xfId="0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vertical="center" wrapText="1"/>
    </xf>
    <xf numFmtId="165" fontId="8" fillId="0" borderId="6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165" fontId="2" fillId="2" borderId="31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wrapText="1"/>
    </xf>
    <xf numFmtId="0" fontId="0" fillId="0" borderId="7" xfId="0" applyFill="1" applyBorder="1"/>
    <xf numFmtId="2" fontId="3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165" fontId="0" fillId="0" borderId="20" xfId="0" applyNumberFormat="1" applyBorder="1" applyAlignment="1">
      <alignment vertical="center"/>
    </xf>
    <xf numFmtId="165" fontId="0" fillId="0" borderId="20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2" fillId="2" borderId="33" xfId="0" applyNumberFormat="1" applyFont="1" applyFill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1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27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20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3" fillId="0" borderId="27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26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3" fillId="3" borderId="21" xfId="0" applyFont="1" applyFill="1" applyBorder="1" applyAlignment="1">
      <alignment horizontal="center" wrapText="1"/>
    </xf>
    <xf numFmtId="0" fontId="3" fillId="3" borderId="22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32" xfId="0" applyFont="1" applyFill="1" applyBorder="1" applyAlignment="1">
      <alignment horizontal="left" vertical="center" wrapText="1"/>
    </xf>
    <xf numFmtId="9" fontId="0" fillId="0" borderId="20" xfId="0" applyNumberFormat="1" applyFill="1" applyBorder="1" applyAlignment="1">
      <alignment horizontal="center" vertical="center"/>
    </xf>
    <xf numFmtId="9" fontId="0" fillId="0" borderId="12" xfId="0" applyNumberFormat="1" applyFill="1" applyBorder="1" applyAlignment="1">
      <alignment horizontal="center" vertical="center"/>
    </xf>
    <xf numFmtId="9" fontId="0" fillId="0" borderId="27" xfId="0" applyNumberForma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5"/>
  <sheetViews>
    <sheetView workbookViewId="0">
      <selection activeCell="B4" sqref="B4"/>
    </sheetView>
  </sheetViews>
  <sheetFormatPr baseColWidth="10" defaultRowHeight="15" x14ac:dyDescent="0.25"/>
  <cols>
    <col min="2" max="2" width="38" bestFit="1" customWidth="1"/>
  </cols>
  <sheetData>
    <row r="3" spans="2:3" x14ac:dyDescent="0.25">
      <c r="B3" t="s">
        <v>22</v>
      </c>
      <c r="C3" s="15">
        <v>2.1</v>
      </c>
    </row>
    <row r="4" spans="2:3" x14ac:dyDescent="0.25">
      <c r="B4" t="s">
        <v>21</v>
      </c>
      <c r="C4" s="15">
        <v>1.05</v>
      </c>
    </row>
    <row r="5" spans="2:3" x14ac:dyDescent="0.25">
      <c r="B5" t="s">
        <v>29</v>
      </c>
      <c r="C5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showGridLines="0" view="pageBreakPreview" zoomScale="85" zoomScaleNormal="100" zoomScaleSheetLayoutView="85" workbookViewId="0">
      <selection activeCell="B29" sqref="B29"/>
    </sheetView>
  </sheetViews>
  <sheetFormatPr baseColWidth="10" defaultRowHeight="15" x14ac:dyDescent="0.25"/>
  <cols>
    <col min="1" max="1" width="20.140625" style="40" customWidth="1"/>
    <col min="2" max="2" width="36.28515625" customWidth="1"/>
    <col min="3" max="3" width="18.42578125" customWidth="1"/>
    <col min="5" max="5" width="13.7109375" customWidth="1"/>
    <col min="6" max="6" width="16.140625" customWidth="1"/>
    <col min="7" max="7" width="15.5703125" customWidth="1"/>
    <col min="8" max="8" width="16.28515625" style="39" customWidth="1"/>
  </cols>
  <sheetData>
    <row r="1" spans="1:14" x14ac:dyDescent="0.25">
      <c r="I1" s="113" t="s">
        <v>62</v>
      </c>
      <c r="J1" s="113"/>
      <c r="K1" s="113"/>
      <c r="L1" s="113"/>
      <c r="M1" s="113"/>
      <c r="N1" s="113"/>
    </row>
    <row r="2" spans="1:14" ht="28.9" customHeight="1" thickBot="1" x14ac:dyDescent="0.3">
      <c r="B2" s="12" t="s">
        <v>23</v>
      </c>
      <c r="C2" s="12"/>
      <c r="I2" s="113"/>
      <c r="J2" s="113"/>
      <c r="K2" s="113"/>
      <c r="L2" s="113"/>
      <c r="M2" s="113"/>
      <c r="N2" s="113"/>
    </row>
    <row r="3" spans="1:14" ht="45" x14ac:dyDescent="0.25">
      <c r="B3" s="2" t="s">
        <v>1</v>
      </c>
      <c r="C3" s="3" t="s">
        <v>3</v>
      </c>
      <c r="D3" s="3" t="s">
        <v>16</v>
      </c>
      <c r="E3" s="3" t="s">
        <v>17</v>
      </c>
      <c r="F3" s="3" t="s">
        <v>18</v>
      </c>
      <c r="G3" s="3" t="s">
        <v>5</v>
      </c>
      <c r="H3" s="4" t="s">
        <v>4</v>
      </c>
    </row>
    <row r="4" spans="1:14" ht="34.9" customHeight="1" x14ac:dyDescent="0.25">
      <c r="A4" s="41"/>
      <c r="B4" s="81" t="s">
        <v>42</v>
      </c>
      <c r="C4" s="17">
        <v>5000000</v>
      </c>
      <c r="D4" s="11">
        <v>1</v>
      </c>
      <c r="E4" s="14">
        <v>0.75</v>
      </c>
      <c r="F4" s="37">
        <v>4</v>
      </c>
      <c r="G4" s="18">
        <f>+'DATOS DE ENTRADA'!$C$3</f>
        <v>2.1</v>
      </c>
      <c r="H4" s="8">
        <f>ROUND($C4*D4*E4*F4*G4,)</f>
        <v>31500000</v>
      </c>
      <c r="I4" s="114"/>
      <c r="J4" s="114"/>
      <c r="K4" s="114"/>
      <c r="L4" s="114"/>
      <c r="M4" s="114"/>
      <c r="N4" s="114"/>
    </row>
    <row r="5" spans="1:14" ht="34.9" customHeight="1" x14ac:dyDescent="0.25">
      <c r="A5" s="41"/>
      <c r="B5" s="81" t="s">
        <v>41</v>
      </c>
      <c r="C5" s="17">
        <v>3500000</v>
      </c>
      <c r="D5" s="11">
        <v>2</v>
      </c>
      <c r="E5" s="14">
        <v>1</v>
      </c>
      <c r="F5" s="37">
        <v>4</v>
      </c>
      <c r="G5" s="18">
        <f>+'DATOS DE ENTRADA'!$C$3</f>
        <v>2.1</v>
      </c>
      <c r="H5" s="8">
        <f t="shared" ref="H5:H17" si="0">ROUND($C5*D5*E5*F5*G5,)</f>
        <v>58800000</v>
      </c>
      <c r="I5" s="114"/>
      <c r="J5" s="114"/>
      <c r="K5" s="114"/>
      <c r="L5" s="114"/>
      <c r="M5" s="114"/>
      <c r="N5" s="114"/>
    </row>
    <row r="6" spans="1:14" ht="34.9" customHeight="1" x14ac:dyDescent="0.25">
      <c r="A6" s="122"/>
      <c r="B6" s="60" t="s">
        <v>28</v>
      </c>
      <c r="C6" s="43">
        <v>5000000</v>
      </c>
      <c r="D6" s="44">
        <v>1</v>
      </c>
      <c r="E6" s="45">
        <v>0.75</v>
      </c>
      <c r="F6" s="37">
        <v>4</v>
      </c>
      <c r="G6" s="46">
        <f>+'DATOS DE ENTRADA'!$C$3</f>
        <v>2.1</v>
      </c>
      <c r="H6" s="53">
        <f t="shared" si="0"/>
        <v>31500000</v>
      </c>
      <c r="I6" s="116"/>
      <c r="J6" s="117"/>
      <c r="K6" s="117"/>
      <c r="L6" s="117"/>
      <c r="M6" s="117"/>
      <c r="N6" s="118"/>
    </row>
    <row r="7" spans="1:14" ht="34.9" customHeight="1" x14ac:dyDescent="0.25">
      <c r="A7" s="122"/>
      <c r="B7" s="69" t="s">
        <v>44</v>
      </c>
      <c r="C7" s="70">
        <v>5000000</v>
      </c>
      <c r="D7" s="71">
        <v>1</v>
      </c>
      <c r="E7" s="72">
        <v>0.75</v>
      </c>
      <c r="F7" s="73">
        <v>4</v>
      </c>
      <c r="G7" s="74">
        <f>+'DATOS DE ENTRADA'!$C$3</f>
        <v>2.1</v>
      </c>
      <c r="H7" s="63">
        <f>ROUND($C7*D7*E7*F7*G7,)</f>
        <v>31500000</v>
      </c>
      <c r="I7" s="119"/>
      <c r="J7" s="120"/>
      <c r="K7" s="120"/>
      <c r="L7" s="120"/>
      <c r="M7" s="120"/>
      <c r="N7" s="121"/>
    </row>
    <row r="8" spans="1:14" ht="34.9" customHeight="1" x14ac:dyDescent="0.25">
      <c r="A8" s="42"/>
      <c r="B8" s="62" t="s">
        <v>43</v>
      </c>
      <c r="C8" s="70">
        <v>5000000</v>
      </c>
      <c r="D8" s="71">
        <v>1</v>
      </c>
      <c r="E8" s="72">
        <v>0.5</v>
      </c>
      <c r="F8" s="73">
        <v>4</v>
      </c>
      <c r="G8" s="74">
        <f>+'DATOS DE ENTRADA'!$C$3</f>
        <v>2.1</v>
      </c>
      <c r="H8" s="63">
        <f>ROUND($C8*D8*E8*F8*G8,)</f>
        <v>21000000</v>
      </c>
      <c r="I8" s="115"/>
      <c r="J8" s="115"/>
      <c r="K8" s="115"/>
      <c r="L8" s="115"/>
      <c r="M8" s="115"/>
      <c r="N8" s="115"/>
    </row>
    <row r="9" spans="1:14" ht="34.9" customHeight="1" x14ac:dyDescent="0.25">
      <c r="A9" s="42"/>
      <c r="B9" s="62" t="s">
        <v>45</v>
      </c>
      <c r="C9" s="70">
        <v>5000000</v>
      </c>
      <c r="D9" s="71">
        <v>1</v>
      </c>
      <c r="E9" s="72">
        <v>0.5</v>
      </c>
      <c r="F9" s="73">
        <v>4</v>
      </c>
      <c r="G9" s="74">
        <f>+'DATOS DE ENTRADA'!$C$3</f>
        <v>2.1</v>
      </c>
      <c r="H9" s="63">
        <f t="shared" si="0"/>
        <v>21000000</v>
      </c>
      <c r="I9" s="115"/>
      <c r="J9" s="115"/>
      <c r="K9" s="115"/>
      <c r="L9" s="115"/>
      <c r="M9" s="115"/>
      <c r="N9" s="115"/>
    </row>
    <row r="10" spans="1:14" s="61" customFormat="1" ht="72" customHeight="1" x14ac:dyDescent="0.25">
      <c r="A10" s="41"/>
      <c r="B10" s="62" t="s">
        <v>54</v>
      </c>
      <c r="C10" s="70">
        <v>5000000</v>
      </c>
      <c r="D10" s="71">
        <v>1</v>
      </c>
      <c r="E10" s="72">
        <v>0.5</v>
      </c>
      <c r="F10" s="75">
        <v>4</v>
      </c>
      <c r="G10" s="76">
        <f>+'DATOS DE ENTRADA'!$C$3</f>
        <v>2.1</v>
      </c>
      <c r="H10" s="63">
        <f t="shared" si="0"/>
        <v>21000000</v>
      </c>
      <c r="I10" s="127" t="s">
        <v>65</v>
      </c>
      <c r="J10" s="128"/>
      <c r="K10" s="128"/>
      <c r="L10" s="128"/>
      <c r="M10" s="128"/>
      <c r="N10" s="129"/>
    </row>
    <row r="11" spans="1:14" s="61" customFormat="1" ht="49.5" customHeight="1" x14ac:dyDescent="0.25">
      <c r="A11" s="41"/>
      <c r="B11" s="62" t="s">
        <v>52</v>
      </c>
      <c r="C11" s="70">
        <v>5000000</v>
      </c>
      <c r="D11" s="71">
        <v>1</v>
      </c>
      <c r="E11" s="72">
        <v>0.5</v>
      </c>
      <c r="F11" s="75">
        <v>4</v>
      </c>
      <c r="G11" s="76">
        <f>+'DATOS DE ENTRADA'!$C$3</f>
        <v>2.1</v>
      </c>
      <c r="H11" s="63">
        <f t="shared" si="0"/>
        <v>21000000</v>
      </c>
      <c r="I11" s="110" t="s">
        <v>66</v>
      </c>
      <c r="J11" s="111"/>
      <c r="K11" s="111"/>
      <c r="L11" s="111"/>
      <c r="M11" s="111"/>
      <c r="N11" s="112"/>
    </row>
    <row r="12" spans="1:14" ht="34.9" customHeight="1" x14ac:dyDescent="0.25">
      <c r="B12" s="62" t="s">
        <v>46</v>
      </c>
      <c r="C12" s="77">
        <v>1700000</v>
      </c>
      <c r="D12" s="78">
        <v>1</v>
      </c>
      <c r="E12" s="79">
        <v>1</v>
      </c>
      <c r="F12" s="73">
        <v>4</v>
      </c>
      <c r="G12" s="80">
        <f>+'DATOS DE ENTRADA'!$C$3</f>
        <v>2.1</v>
      </c>
      <c r="H12" s="67">
        <f t="shared" si="0"/>
        <v>14280000</v>
      </c>
      <c r="I12" s="114"/>
      <c r="J12" s="114"/>
      <c r="K12" s="114"/>
      <c r="L12" s="114"/>
      <c r="M12" s="114"/>
      <c r="N12" s="114"/>
    </row>
    <row r="13" spans="1:14" ht="34.9" customHeight="1" x14ac:dyDescent="0.25">
      <c r="B13" s="81" t="s">
        <v>25</v>
      </c>
      <c r="C13" s="17">
        <v>1000000</v>
      </c>
      <c r="D13" s="11">
        <v>1</v>
      </c>
      <c r="E13" s="14">
        <v>1</v>
      </c>
      <c r="F13" s="37">
        <v>4</v>
      </c>
      <c r="G13" s="18">
        <f>+'DATOS DE ENTRADA'!$C$3</f>
        <v>2.1</v>
      </c>
      <c r="H13" s="8">
        <f t="shared" si="0"/>
        <v>8400000</v>
      </c>
      <c r="I13" s="114"/>
      <c r="J13" s="114"/>
      <c r="K13" s="114"/>
      <c r="L13" s="114"/>
      <c r="M13" s="114"/>
      <c r="N13" s="114"/>
    </row>
    <row r="14" spans="1:14" ht="34.9" customHeight="1" x14ac:dyDescent="0.25">
      <c r="B14" s="81" t="s">
        <v>47</v>
      </c>
      <c r="C14" s="17">
        <v>1200000</v>
      </c>
      <c r="D14" s="11">
        <v>2</v>
      </c>
      <c r="E14" s="14">
        <v>0.5</v>
      </c>
      <c r="F14" s="37">
        <v>4</v>
      </c>
      <c r="G14" s="18">
        <f>+'DATOS DE ENTRADA'!$C$3</f>
        <v>2.1</v>
      </c>
      <c r="H14" s="8">
        <f t="shared" si="0"/>
        <v>10080000</v>
      </c>
      <c r="I14" s="114"/>
      <c r="J14" s="114"/>
      <c r="K14" s="114"/>
      <c r="L14" s="114"/>
      <c r="M14" s="114"/>
      <c r="N14" s="114"/>
    </row>
    <row r="15" spans="1:14" ht="34.9" customHeight="1" x14ac:dyDescent="0.25">
      <c r="B15" s="81" t="s">
        <v>26</v>
      </c>
      <c r="C15" s="17">
        <v>800000</v>
      </c>
      <c r="D15" s="11">
        <f>+D14*2</f>
        <v>4</v>
      </c>
      <c r="E15" s="14">
        <v>0.5</v>
      </c>
      <c r="F15" s="37">
        <v>4</v>
      </c>
      <c r="G15" s="18">
        <f>+'DATOS DE ENTRADA'!$C$3</f>
        <v>2.1</v>
      </c>
      <c r="H15" s="8">
        <f t="shared" si="0"/>
        <v>13440000</v>
      </c>
      <c r="I15" s="114"/>
      <c r="J15" s="114"/>
      <c r="K15" s="114"/>
      <c r="L15" s="114"/>
      <c r="M15" s="114"/>
      <c r="N15" s="114"/>
    </row>
    <row r="16" spans="1:14" ht="34.9" customHeight="1" x14ac:dyDescent="0.25">
      <c r="B16" s="81" t="s">
        <v>27</v>
      </c>
      <c r="C16" s="17">
        <v>700000</v>
      </c>
      <c r="D16" s="11">
        <f>+D15</f>
        <v>4</v>
      </c>
      <c r="E16" s="14">
        <v>0.5</v>
      </c>
      <c r="F16" s="37">
        <v>4</v>
      </c>
      <c r="G16" s="18">
        <f>+'DATOS DE ENTRADA'!$C$3</f>
        <v>2.1</v>
      </c>
      <c r="H16" s="8">
        <f t="shared" si="0"/>
        <v>11760000</v>
      </c>
      <c r="I16" s="114"/>
      <c r="J16" s="114"/>
      <c r="K16" s="114"/>
      <c r="L16" s="114"/>
      <c r="M16" s="114"/>
      <c r="N16" s="114"/>
    </row>
    <row r="17" spans="2:14" ht="34.9" customHeight="1" x14ac:dyDescent="0.25">
      <c r="B17" s="81" t="s">
        <v>0</v>
      </c>
      <c r="C17" s="17">
        <v>900000</v>
      </c>
      <c r="D17" s="11">
        <v>1</v>
      </c>
      <c r="E17" s="14">
        <v>1</v>
      </c>
      <c r="F17" s="37">
        <v>4</v>
      </c>
      <c r="G17" s="18">
        <f>+'DATOS DE ENTRADA'!$C$3</f>
        <v>2.1</v>
      </c>
      <c r="H17" s="8">
        <f t="shared" si="0"/>
        <v>7560000</v>
      </c>
      <c r="I17" s="114"/>
      <c r="J17" s="114"/>
      <c r="K17" s="114"/>
      <c r="L17" s="114"/>
      <c r="M17" s="114"/>
      <c r="N17" s="114"/>
    </row>
    <row r="18" spans="2:14" ht="30" customHeight="1" x14ac:dyDescent="0.25">
      <c r="B18" s="19" t="s">
        <v>6</v>
      </c>
      <c r="C18" s="20"/>
      <c r="D18" s="21"/>
      <c r="E18" s="21"/>
      <c r="F18" s="21"/>
      <c r="G18" s="21"/>
      <c r="H18" s="54">
        <f>SUM(H4:H17)</f>
        <v>302820000</v>
      </c>
    </row>
    <row r="19" spans="2:14" ht="30" customHeight="1" x14ac:dyDescent="0.25">
      <c r="B19" s="23" t="s">
        <v>7</v>
      </c>
      <c r="C19" s="24">
        <v>0.16</v>
      </c>
      <c r="D19" s="21"/>
      <c r="E19" s="21"/>
      <c r="F19" s="21"/>
      <c r="G19" s="21"/>
      <c r="H19" s="55">
        <f>+H18*$C19</f>
        <v>48451200</v>
      </c>
    </row>
    <row r="20" spans="2:14" ht="30" customHeight="1" thickBot="1" x14ac:dyDescent="0.3">
      <c r="B20" s="29" t="s">
        <v>8</v>
      </c>
      <c r="C20" s="30"/>
      <c r="D20" s="30"/>
      <c r="E20" s="30"/>
      <c r="F20" s="30"/>
      <c r="G20" s="30"/>
      <c r="H20" s="56">
        <f>ROUND(H18+H19,0)</f>
        <v>351271200</v>
      </c>
    </row>
    <row r="21" spans="2:14" x14ac:dyDescent="0.25">
      <c r="D21" s="5"/>
      <c r="E21" s="5"/>
      <c r="F21" s="5"/>
      <c r="G21" s="5"/>
      <c r="H21" s="57"/>
    </row>
    <row r="22" spans="2:14" ht="15.75" thickBot="1" x14ac:dyDescent="0.3">
      <c r="B22" s="6" t="s">
        <v>24</v>
      </c>
      <c r="C22" s="6"/>
      <c r="D22" s="5"/>
      <c r="E22" s="5"/>
      <c r="F22" s="5"/>
      <c r="G22" s="5"/>
      <c r="H22" s="57"/>
    </row>
    <row r="23" spans="2:14" ht="30" x14ac:dyDescent="0.25">
      <c r="B23" s="9" t="s">
        <v>11</v>
      </c>
      <c r="C23" s="3" t="s">
        <v>13</v>
      </c>
      <c r="D23" s="3" t="s">
        <v>12</v>
      </c>
      <c r="E23" s="3" t="s">
        <v>2</v>
      </c>
      <c r="F23" s="3" t="s">
        <v>20</v>
      </c>
      <c r="G23" s="4" t="s">
        <v>14</v>
      </c>
      <c r="H23" s="57"/>
    </row>
    <row r="24" spans="2:14" ht="78" customHeight="1" x14ac:dyDescent="0.25">
      <c r="B24" s="13" t="s">
        <v>19</v>
      </c>
      <c r="C24" s="8">
        <v>4000000</v>
      </c>
      <c r="D24" s="7" t="s">
        <v>15</v>
      </c>
      <c r="E24" s="7">
        <v>2</v>
      </c>
      <c r="F24" s="7">
        <f>+'DATOS DE ENTRADA'!$C$4</f>
        <v>1.05</v>
      </c>
      <c r="G24" s="10">
        <f>ROUND(F24*$C24*E24,0)</f>
        <v>8400000</v>
      </c>
      <c r="H24" s="57"/>
    </row>
    <row r="25" spans="2:14" ht="99.75" customHeight="1" x14ac:dyDescent="0.25">
      <c r="B25" s="66" t="s">
        <v>51</v>
      </c>
      <c r="C25" s="67">
        <v>40000</v>
      </c>
      <c r="D25" s="68" t="s">
        <v>35</v>
      </c>
      <c r="E25" s="68">
        <v>2967</v>
      </c>
      <c r="F25" s="68">
        <f>+'DATOS DE ENTRADA'!$C$4</f>
        <v>1.05</v>
      </c>
      <c r="G25" s="10">
        <f>ROUND(F25*$C25*E25,0)</f>
        <v>124614000</v>
      </c>
      <c r="H25" s="57"/>
    </row>
    <row r="26" spans="2:14" ht="33.6" customHeight="1" x14ac:dyDescent="0.25">
      <c r="B26" s="62" t="s">
        <v>30</v>
      </c>
      <c r="C26" s="63">
        <v>1700000</v>
      </c>
      <c r="D26" s="64" t="s">
        <v>15</v>
      </c>
      <c r="E26" s="64">
        <v>2</v>
      </c>
      <c r="F26" s="68">
        <f>+'DATOS DE ENTRADA'!$C$4</f>
        <v>1.05</v>
      </c>
      <c r="G26" s="10">
        <f t="shared" ref="G26" si="1">ROUND(F26*$C26*E26,0)</f>
        <v>3570000</v>
      </c>
      <c r="H26" s="57"/>
    </row>
    <row r="27" spans="2:14" ht="33.6" customHeight="1" x14ac:dyDescent="0.25">
      <c r="B27" s="62" t="s">
        <v>61</v>
      </c>
      <c r="C27" s="63">
        <v>600000</v>
      </c>
      <c r="D27" s="64" t="s">
        <v>59</v>
      </c>
      <c r="E27" s="64">
        <v>4</v>
      </c>
      <c r="F27" s="68">
        <f>+'DATOS DE ENTRADA'!$C$4</f>
        <v>1.05</v>
      </c>
      <c r="G27" s="10">
        <f t="shared" ref="G27:G29" si="2">ROUND(F27*$C27*E27,0)</f>
        <v>2520000</v>
      </c>
      <c r="H27" s="57"/>
    </row>
    <row r="28" spans="2:14" ht="57.75" customHeight="1" x14ac:dyDescent="0.25">
      <c r="B28" s="62" t="s">
        <v>67</v>
      </c>
      <c r="C28" s="63">
        <v>600000</v>
      </c>
      <c r="D28" s="64" t="s">
        <v>59</v>
      </c>
      <c r="E28" s="64">
        <v>1</v>
      </c>
      <c r="F28" s="68">
        <f>+'DATOS DE ENTRADA'!$C$4</f>
        <v>1.05</v>
      </c>
      <c r="G28" s="10">
        <f t="shared" si="2"/>
        <v>630000</v>
      </c>
      <c r="H28" s="57"/>
    </row>
    <row r="29" spans="2:14" ht="51.75" customHeight="1" thickBot="1" x14ac:dyDescent="0.3">
      <c r="B29" s="62" t="s">
        <v>60</v>
      </c>
      <c r="C29" s="63">
        <v>500000</v>
      </c>
      <c r="D29" s="64" t="str">
        <f>D28</f>
        <v>GL-MES</v>
      </c>
      <c r="E29" s="64">
        <v>1</v>
      </c>
      <c r="F29" s="68">
        <f>+'DATOS DE ENTRADA'!$C$4</f>
        <v>1.05</v>
      </c>
      <c r="G29" s="10">
        <f t="shared" si="2"/>
        <v>525000</v>
      </c>
      <c r="H29" s="57"/>
    </row>
    <row r="30" spans="2:14" ht="30" customHeight="1" x14ac:dyDescent="0.25">
      <c r="B30" s="38" t="s">
        <v>9</v>
      </c>
      <c r="C30" s="26"/>
      <c r="D30" s="27"/>
      <c r="E30" s="27"/>
      <c r="F30" s="27"/>
      <c r="G30" s="28">
        <f>SUM(G24:G29)</f>
        <v>140259000</v>
      </c>
      <c r="H30" s="57"/>
    </row>
    <row r="31" spans="2:14" ht="30" customHeight="1" x14ac:dyDescent="0.25">
      <c r="B31" s="23" t="s">
        <v>7</v>
      </c>
      <c r="C31" s="24">
        <v>0.16</v>
      </c>
      <c r="D31" s="21"/>
      <c r="E31" s="21"/>
      <c r="F31" s="21"/>
      <c r="G31" s="25">
        <f>+G30*$C31</f>
        <v>22441440</v>
      </c>
      <c r="H31" s="57"/>
    </row>
    <row r="32" spans="2:14" ht="30" customHeight="1" thickBot="1" x14ac:dyDescent="0.3">
      <c r="B32" s="29" t="s">
        <v>10</v>
      </c>
      <c r="C32" s="30"/>
      <c r="D32" s="32"/>
      <c r="E32" s="32"/>
      <c r="F32" s="32"/>
      <c r="G32" s="31">
        <f>ROUND(G30+G31,0)</f>
        <v>162700440</v>
      </c>
      <c r="H32" s="57"/>
    </row>
    <row r="33" spans="2:14" x14ac:dyDescent="0.25">
      <c r="D33" s="5"/>
      <c r="E33" s="5"/>
      <c r="F33" s="5"/>
      <c r="G33" s="5"/>
      <c r="H33" s="57"/>
    </row>
    <row r="34" spans="2:14" ht="15.75" thickBot="1" x14ac:dyDescent="0.3">
      <c r="B34" s="6" t="s">
        <v>31</v>
      </c>
      <c r="C34" s="6"/>
      <c r="D34" s="5"/>
      <c r="E34" s="5"/>
      <c r="F34" s="5"/>
      <c r="G34" s="5"/>
      <c r="H34" s="57"/>
    </row>
    <row r="35" spans="2:14" ht="30" x14ac:dyDescent="0.25">
      <c r="B35" s="9" t="s">
        <v>11</v>
      </c>
      <c r="C35" s="3" t="s">
        <v>13</v>
      </c>
      <c r="D35" s="3" t="s">
        <v>12</v>
      </c>
      <c r="E35" s="3" t="s">
        <v>2</v>
      </c>
      <c r="F35" s="3" t="s">
        <v>20</v>
      </c>
      <c r="G35" s="4" t="s">
        <v>14</v>
      </c>
      <c r="H35" s="58"/>
      <c r="I35" s="5"/>
      <c r="J35" s="5"/>
      <c r="K35" s="5"/>
      <c r="L35" s="5"/>
      <c r="M35" s="5"/>
      <c r="N35" s="5"/>
    </row>
    <row r="36" spans="2:14" ht="30" x14ac:dyDescent="0.25">
      <c r="B36" s="13" t="s">
        <v>33</v>
      </c>
      <c r="C36" s="8">
        <v>100000</v>
      </c>
      <c r="D36" s="7" t="s">
        <v>35</v>
      </c>
      <c r="E36" s="7">
        <v>252</v>
      </c>
      <c r="F36" s="7">
        <f>+'DATOS DE ENTRADA'!$C$4</f>
        <v>1.05</v>
      </c>
      <c r="G36" s="103">
        <f>+F36*E36*C36</f>
        <v>26460000.000000004</v>
      </c>
      <c r="H36" s="109" t="s">
        <v>81</v>
      </c>
      <c r="I36" s="130"/>
      <c r="J36" s="130"/>
      <c r="K36" s="130"/>
      <c r="L36" s="130"/>
      <c r="M36" s="130"/>
      <c r="N36" s="130"/>
    </row>
    <row r="37" spans="2:14" ht="30.75" customHeight="1" x14ac:dyDescent="0.25">
      <c r="B37" s="13" t="s">
        <v>34</v>
      </c>
      <c r="C37" s="8">
        <v>250000</v>
      </c>
      <c r="D37" s="7" t="s">
        <v>35</v>
      </c>
      <c r="E37" s="7">
        <v>69</v>
      </c>
      <c r="F37" s="7">
        <f>+'DATOS DE ENTRADA'!$C$4</f>
        <v>1.05</v>
      </c>
      <c r="G37" s="103">
        <f t="shared" ref="G37:G39" si="3">+F37*E37*C37</f>
        <v>18112500</v>
      </c>
      <c r="H37" s="109"/>
      <c r="I37" s="131"/>
      <c r="J37" s="132"/>
      <c r="K37" s="132"/>
      <c r="L37" s="132"/>
      <c r="M37" s="132"/>
      <c r="N37" s="132"/>
    </row>
    <row r="38" spans="2:14" ht="27.75" customHeight="1" x14ac:dyDescent="0.25">
      <c r="B38" s="13" t="s">
        <v>36</v>
      </c>
      <c r="C38" s="8">
        <v>250000</v>
      </c>
      <c r="D38" s="7" t="s">
        <v>35</v>
      </c>
      <c r="E38" s="7">
        <v>64</v>
      </c>
      <c r="F38" s="7">
        <f>+'DATOS DE ENTRADA'!$C$4</f>
        <v>1.05</v>
      </c>
      <c r="G38" s="103">
        <f t="shared" si="3"/>
        <v>16800000</v>
      </c>
      <c r="H38" s="109"/>
      <c r="I38" s="125"/>
      <c r="J38" s="126"/>
      <c r="K38" s="126"/>
      <c r="L38" s="126"/>
      <c r="M38" s="126"/>
      <c r="N38" s="126"/>
    </row>
    <row r="39" spans="2:14" ht="15.75" thickBot="1" x14ac:dyDescent="0.3">
      <c r="B39" s="13" t="s">
        <v>48</v>
      </c>
      <c r="C39" s="8">
        <v>1000000</v>
      </c>
      <c r="D39" s="7" t="s">
        <v>12</v>
      </c>
      <c r="E39" s="7">
        <v>28</v>
      </c>
      <c r="F39" s="7">
        <f>+'DATOS DE ENTRADA'!$C$4</f>
        <v>1.05</v>
      </c>
      <c r="G39" s="103">
        <f t="shared" si="3"/>
        <v>29400000.000000004</v>
      </c>
      <c r="H39" s="109"/>
      <c r="I39" s="125"/>
      <c r="J39" s="126"/>
      <c r="K39" s="126"/>
      <c r="L39" s="126"/>
      <c r="M39" s="126"/>
      <c r="N39" s="126"/>
    </row>
    <row r="40" spans="2:14" ht="30" customHeight="1" x14ac:dyDescent="0.25">
      <c r="B40" s="38" t="s">
        <v>9</v>
      </c>
      <c r="C40" s="26"/>
      <c r="D40" s="27"/>
      <c r="E40" s="27"/>
      <c r="F40" s="27"/>
      <c r="G40" s="28">
        <f>SUM(G36:G39)</f>
        <v>90772500</v>
      </c>
      <c r="H40" s="57"/>
    </row>
    <row r="41" spans="2:14" ht="30" customHeight="1" x14ac:dyDescent="0.25">
      <c r="B41" s="23" t="s">
        <v>7</v>
      </c>
      <c r="C41" s="24">
        <v>0.16</v>
      </c>
      <c r="D41" s="21"/>
      <c r="E41" s="21"/>
      <c r="F41" s="21"/>
      <c r="G41" s="25">
        <f>+G40*$C41</f>
        <v>14523600</v>
      </c>
      <c r="H41" s="57"/>
    </row>
    <row r="42" spans="2:14" ht="30" customHeight="1" thickBot="1" x14ac:dyDescent="0.3">
      <c r="B42" s="29" t="s">
        <v>10</v>
      </c>
      <c r="C42" s="30"/>
      <c r="D42" s="32"/>
      <c r="E42" s="32"/>
      <c r="F42" s="32"/>
      <c r="G42" s="31">
        <f>ROUND(G40+G41,0)</f>
        <v>105296100</v>
      </c>
      <c r="H42" s="57"/>
      <c r="I42" s="61"/>
      <c r="J42" s="61"/>
      <c r="K42" s="61"/>
      <c r="L42" s="61"/>
      <c r="M42" s="61"/>
      <c r="N42" s="61"/>
    </row>
    <row r="43" spans="2:14" x14ac:dyDescent="0.25">
      <c r="D43" s="5"/>
      <c r="E43" s="5"/>
      <c r="F43" s="5"/>
      <c r="G43" s="5"/>
      <c r="H43" s="57"/>
      <c r="I43" s="61"/>
      <c r="J43" s="61"/>
      <c r="K43" s="61"/>
      <c r="L43" s="61"/>
      <c r="M43" s="61"/>
      <c r="N43" s="61"/>
    </row>
    <row r="44" spans="2:14" ht="15.75" thickBot="1" x14ac:dyDescent="0.3">
      <c r="B44" s="6" t="s">
        <v>32</v>
      </c>
      <c r="C44" s="6"/>
      <c r="D44" s="5"/>
      <c r="E44" s="5"/>
      <c r="F44" s="5"/>
      <c r="G44" s="5"/>
      <c r="H44" s="57"/>
      <c r="I44" s="61"/>
      <c r="J44" s="61"/>
      <c r="K44" s="61"/>
      <c r="L44" s="61"/>
      <c r="M44" s="61"/>
      <c r="N44" s="61"/>
    </row>
    <row r="45" spans="2:14" ht="30" x14ac:dyDescent="0.25">
      <c r="B45" s="9" t="s">
        <v>11</v>
      </c>
      <c r="C45" s="3" t="s">
        <v>13</v>
      </c>
      <c r="D45" s="3" t="s">
        <v>12</v>
      </c>
      <c r="E45" s="3" t="s">
        <v>2</v>
      </c>
      <c r="F45" s="3" t="s">
        <v>20</v>
      </c>
      <c r="G45" s="4" t="s">
        <v>14</v>
      </c>
      <c r="H45" s="57"/>
      <c r="I45" s="61"/>
      <c r="J45" s="61"/>
      <c r="K45" s="61"/>
      <c r="L45" s="61"/>
      <c r="M45" s="61"/>
      <c r="N45" s="61"/>
    </row>
    <row r="46" spans="2:14" ht="18.75" x14ac:dyDescent="0.3">
      <c r="B46" s="13" t="s">
        <v>37</v>
      </c>
      <c r="C46" s="8">
        <v>7200</v>
      </c>
      <c r="D46" s="7" t="s">
        <v>12</v>
      </c>
      <c r="E46" s="7">
        <v>84</v>
      </c>
      <c r="F46" s="7">
        <f>+'DATOS DE ENTRADA'!$C$4</f>
        <v>1.05</v>
      </c>
      <c r="G46" s="103">
        <f t="shared" ref="G46" si="4">+F46*E46*C46</f>
        <v>635040</v>
      </c>
      <c r="H46" s="109" t="s">
        <v>81</v>
      </c>
      <c r="I46" s="123"/>
      <c r="J46" s="124"/>
      <c r="K46" s="124"/>
      <c r="L46" s="124"/>
      <c r="M46" s="124"/>
      <c r="N46" s="124"/>
    </row>
    <row r="47" spans="2:14" ht="18.75" x14ac:dyDescent="0.3">
      <c r="B47" s="13" t="s">
        <v>38</v>
      </c>
      <c r="C47" s="8">
        <v>32000</v>
      </c>
      <c r="D47" s="7" t="s">
        <v>12</v>
      </c>
      <c r="E47" s="7">
        <v>84</v>
      </c>
      <c r="F47" s="7">
        <f>+'DATOS DE ENTRADA'!$C$4</f>
        <v>1.05</v>
      </c>
      <c r="G47" s="103">
        <f t="shared" ref="G47" si="5">+F47*E47*C47</f>
        <v>2822400</v>
      </c>
      <c r="H47" s="109"/>
      <c r="I47" s="123"/>
      <c r="J47" s="124"/>
      <c r="K47" s="124"/>
      <c r="L47" s="124"/>
      <c r="M47" s="124"/>
      <c r="N47" s="124"/>
    </row>
    <row r="48" spans="2:14" ht="18.75" x14ac:dyDescent="0.3">
      <c r="B48" s="13" t="s">
        <v>49</v>
      </c>
      <c r="C48" s="8">
        <v>32000</v>
      </c>
      <c r="D48" s="7" t="s">
        <v>12</v>
      </c>
      <c r="E48" s="7">
        <v>84</v>
      </c>
      <c r="F48" s="7">
        <f>+'DATOS DE ENTRADA'!$C$4</f>
        <v>1.05</v>
      </c>
      <c r="G48" s="103">
        <f t="shared" ref="G48:G53" si="6">+F48*E48*C48</f>
        <v>2822400</v>
      </c>
      <c r="H48" s="109"/>
      <c r="I48" s="123"/>
      <c r="J48" s="124"/>
      <c r="K48" s="124"/>
      <c r="L48" s="124"/>
      <c r="M48" s="124"/>
      <c r="N48" s="124"/>
    </row>
    <row r="49" spans="2:14" x14ac:dyDescent="0.25">
      <c r="B49" s="13" t="s">
        <v>39</v>
      </c>
      <c r="C49" s="8">
        <v>12000</v>
      </c>
      <c r="D49" s="7" t="s">
        <v>12</v>
      </c>
      <c r="E49" s="7">
        <v>56</v>
      </c>
      <c r="F49" s="7">
        <f>+'DATOS DE ENTRADA'!$C$4</f>
        <v>1.05</v>
      </c>
      <c r="G49" s="103">
        <f t="shared" si="6"/>
        <v>705600</v>
      </c>
      <c r="H49" s="109"/>
      <c r="I49" s="61"/>
      <c r="J49" s="61"/>
      <c r="K49" s="61"/>
      <c r="L49" s="61"/>
      <c r="M49" s="61"/>
      <c r="N49" s="61"/>
    </row>
    <row r="50" spans="2:14" ht="33" customHeight="1" x14ac:dyDescent="0.25">
      <c r="B50" s="62" t="s">
        <v>50</v>
      </c>
      <c r="C50" s="63">
        <v>28000</v>
      </c>
      <c r="D50" s="64" t="s">
        <v>12</v>
      </c>
      <c r="E50" s="64">
        <v>50</v>
      </c>
      <c r="F50" s="64">
        <f>+'DATOS DE ENTRADA'!$C$4</f>
        <v>1.05</v>
      </c>
      <c r="G50" s="103">
        <f t="shared" si="6"/>
        <v>1470000</v>
      </c>
      <c r="H50" s="109"/>
      <c r="I50" s="61"/>
      <c r="J50" s="61"/>
      <c r="K50" s="61"/>
      <c r="L50" s="61"/>
      <c r="M50" s="61"/>
      <c r="N50" s="61"/>
    </row>
    <row r="51" spans="2:14" x14ac:dyDescent="0.25">
      <c r="B51" s="62" t="s">
        <v>40</v>
      </c>
      <c r="C51" s="63">
        <v>250000</v>
      </c>
      <c r="D51" s="64" t="s">
        <v>12</v>
      </c>
      <c r="E51" s="64">
        <v>28</v>
      </c>
      <c r="F51" s="64">
        <f>+'DATOS DE ENTRADA'!$C$4</f>
        <v>1.05</v>
      </c>
      <c r="G51" s="103">
        <f t="shared" si="6"/>
        <v>7350000.0000000009</v>
      </c>
      <c r="H51" s="109"/>
    </row>
    <row r="52" spans="2:14" x14ac:dyDescent="0.25">
      <c r="B52" s="65" t="s">
        <v>63</v>
      </c>
      <c r="C52" s="63">
        <v>250000</v>
      </c>
      <c r="D52" s="64" t="s">
        <v>12</v>
      </c>
      <c r="E52" s="64">
        <v>28</v>
      </c>
      <c r="F52" s="64">
        <f>+'DATOS DE ENTRADA'!$C$4</f>
        <v>1.05</v>
      </c>
      <c r="G52" s="103">
        <f t="shared" si="6"/>
        <v>7350000.0000000009</v>
      </c>
      <c r="H52" s="109"/>
    </row>
    <row r="53" spans="2:14" ht="30.75" thickBot="1" x14ac:dyDescent="0.3">
      <c r="B53" s="65" t="s">
        <v>64</v>
      </c>
      <c r="C53" s="63">
        <v>250000</v>
      </c>
      <c r="D53" s="64" t="s">
        <v>12</v>
      </c>
      <c r="E53" s="64">
        <v>28</v>
      </c>
      <c r="F53" s="64">
        <f>+'DATOS DE ENTRADA'!$C$4</f>
        <v>1.05</v>
      </c>
      <c r="G53" s="103">
        <f t="shared" si="6"/>
        <v>7350000.0000000009</v>
      </c>
      <c r="H53" s="109"/>
    </row>
    <row r="54" spans="2:14" ht="30" customHeight="1" x14ac:dyDescent="0.25">
      <c r="B54" s="38" t="s">
        <v>9</v>
      </c>
      <c r="C54" s="26"/>
      <c r="D54" s="27"/>
      <c r="E54" s="27"/>
      <c r="F54" s="27"/>
      <c r="G54" s="28">
        <f>SUM(G46:G53)</f>
        <v>30505440</v>
      </c>
      <c r="H54" s="57"/>
    </row>
    <row r="55" spans="2:14" ht="30" customHeight="1" x14ac:dyDescent="0.25">
      <c r="B55" s="23" t="s">
        <v>7</v>
      </c>
      <c r="C55" s="24">
        <v>0.16</v>
      </c>
      <c r="D55" s="21"/>
      <c r="E55" s="21"/>
      <c r="F55" s="21"/>
      <c r="G55" s="25">
        <f>+G54*$C55</f>
        <v>4880870.4000000004</v>
      </c>
      <c r="H55" s="57"/>
    </row>
    <row r="56" spans="2:14" ht="30" customHeight="1" thickBot="1" x14ac:dyDescent="0.3">
      <c r="B56" s="29" t="s">
        <v>10</v>
      </c>
      <c r="C56" s="30"/>
      <c r="D56" s="32"/>
      <c r="E56" s="32"/>
      <c r="F56" s="32"/>
      <c r="G56" s="31">
        <f>ROUND(G54+G55,0)</f>
        <v>35386310</v>
      </c>
      <c r="H56" s="57"/>
    </row>
    <row r="57" spans="2:14" x14ac:dyDescent="0.25">
      <c r="D57" s="5"/>
      <c r="E57" s="5"/>
      <c r="F57" s="5"/>
      <c r="G57" s="5"/>
      <c r="H57" s="57"/>
    </row>
    <row r="58" spans="2:14" ht="15.75" thickBot="1" x14ac:dyDescent="0.3">
      <c r="D58" s="5"/>
      <c r="E58" s="5"/>
      <c r="F58" s="5"/>
      <c r="G58" s="5"/>
      <c r="H58" s="57"/>
    </row>
    <row r="59" spans="2:14" ht="39" customHeight="1" thickBot="1" x14ac:dyDescent="0.3">
      <c r="B59" s="33" t="s">
        <v>69</v>
      </c>
      <c r="C59" s="34"/>
      <c r="D59" s="35"/>
      <c r="E59" s="35"/>
      <c r="F59" s="35"/>
      <c r="G59" s="35"/>
      <c r="H59" s="59">
        <f>+G32+H20+G42+G56</f>
        <v>654654050</v>
      </c>
    </row>
    <row r="62" spans="2:14" x14ac:dyDescent="0.25">
      <c r="E62" s="1"/>
    </row>
  </sheetData>
  <mergeCells count="24">
    <mergeCell ref="A6:A7"/>
    <mergeCell ref="I47:N47"/>
    <mergeCell ref="I48:N48"/>
    <mergeCell ref="I38:N38"/>
    <mergeCell ref="I39:N39"/>
    <mergeCell ref="I46:N46"/>
    <mergeCell ref="I10:N10"/>
    <mergeCell ref="I16:N16"/>
    <mergeCell ref="I17:N17"/>
    <mergeCell ref="I36:N36"/>
    <mergeCell ref="I37:N37"/>
    <mergeCell ref="I9:N9"/>
    <mergeCell ref="I12:N12"/>
    <mergeCell ref="I13:N13"/>
    <mergeCell ref="I14:N14"/>
    <mergeCell ref="I15:N15"/>
    <mergeCell ref="H36:H39"/>
    <mergeCell ref="H46:H53"/>
    <mergeCell ref="I11:N11"/>
    <mergeCell ref="I1:N2"/>
    <mergeCell ref="I4:N4"/>
    <mergeCell ref="I5:N5"/>
    <mergeCell ref="I8:N8"/>
    <mergeCell ref="I6:N7"/>
  </mergeCells>
  <pageMargins left="0.7" right="0.7" top="0.75" bottom="0.75" header="0.3" footer="0.3"/>
  <pageSetup paperSize="9" scale="55" orientation="portrait" r:id="rId1"/>
  <rowBreaks count="1" manualBreakCount="1">
    <brk id="33" max="13" man="1"/>
  </rowBreaks>
  <colBreaks count="1" manualBreakCount="1">
    <brk id="8" max="5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showGridLines="0" view="pageBreakPreview" topLeftCell="B1" zoomScale="85" zoomScaleNormal="100" zoomScaleSheetLayoutView="85" workbookViewId="0">
      <selection activeCell="E16" sqref="E16"/>
    </sheetView>
  </sheetViews>
  <sheetFormatPr baseColWidth="10" defaultRowHeight="15" x14ac:dyDescent="0.25"/>
  <cols>
    <col min="1" max="1" width="20.140625" style="40" customWidth="1"/>
    <col min="2" max="2" width="45.7109375" customWidth="1"/>
    <col min="3" max="3" width="18.42578125" customWidth="1"/>
    <col min="5" max="5" width="12.42578125" bestFit="1" customWidth="1"/>
    <col min="6" max="6" width="16.140625" customWidth="1"/>
    <col min="7" max="7" width="15.5703125" customWidth="1"/>
    <col min="8" max="8" width="16.28515625" customWidth="1"/>
    <col min="14" max="14" width="20" customWidth="1"/>
  </cols>
  <sheetData>
    <row r="1" spans="1:14" x14ac:dyDescent="0.25">
      <c r="I1" s="113" t="s">
        <v>62</v>
      </c>
      <c r="J1" s="113"/>
      <c r="K1" s="113"/>
      <c r="L1" s="113"/>
      <c r="M1" s="113"/>
      <c r="N1" s="113"/>
    </row>
    <row r="2" spans="1:14" ht="28.9" customHeight="1" thickBot="1" x14ac:dyDescent="0.3">
      <c r="B2" s="12" t="s">
        <v>23</v>
      </c>
      <c r="C2" s="12"/>
      <c r="I2" s="113"/>
      <c r="J2" s="113"/>
      <c r="K2" s="113"/>
      <c r="L2" s="113"/>
      <c r="M2" s="113"/>
      <c r="N2" s="113"/>
    </row>
    <row r="3" spans="1:14" ht="45" x14ac:dyDescent="0.25">
      <c r="B3" s="2" t="s">
        <v>1</v>
      </c>
      <c r="C3" s="3" t="s">
        <v>3</v>
      </c>
      <c r="D3" s="3" t="s">
        <v>16</v>
      </c>
      <c r="E3" s="3" t="s">
        <v>17</v>
      </c>
      <c r="F3" s="3" t="s">
        <v>18</v>
      </c>
      <c r="G3" s="3" t="s">
        <v>5</v>
      </c>
      <c r="H3" s="4" t="s">
        <v>4</v>
      </c>
    </row>
    <row r="4" spans="1:14" ht="25.5" customHeight="1" x14ac:dyDescent="0.25">
      <c r="A4" s="41"/>
      <c r="B4" s="47" t="s">
        <v>54</v>
      </c>
      <c r="C4" s="48">
        <v>3500000</v>
      </c>
      <c r="D4" s="49">
        <v>1</v>
      </c>
      <c r="E4" s="50">
        <v>0.3</v>
      </c>
      <c r="F4" s="51">
        <v>2</v>
      </c>
      <c r="G4" s="52">
        <f>+'DATOS DE ENTRADA'!$C$3</f>
        <v>2.1</v>
      </c>
      <c r="H4" s="48">
        <f t="shared" ref="H4:H9" si="0">ROUND($C4*D4*E4*F4*G4,)</f>
        <v>4410000</v>
      </c>
      <c r="I4" s="127" t="s">
        <v>57</v>
      </c>
      <c r="J4" s="128"/>
      <c r="K4" s="128"/>
      <c r="L4" s="128"/>
      <c r="M4" s="128"/>
      <c r="N4" s="129"/>
    </row>
    <row r="5" spans="1:14" ht="25.5" customHeight="1" x14ac:dyDescent="0.25">
      <c r="B5" s="47" t="s">
        <v>53</v>
      </c>
      <c r="C5" s="48">
        <v>2500000</v>
      </c>
      <c r="D5" s="49">
        <v>1</v>
      </c>
      <c r="E5" s="50">
        <v>0.25</v>
      </c>
      <c r="F5" s="51">
        <v>2</v>
      </c>
      <c r="G5" s="52">
        <f>+'DATOS DE ENTRADA'!$C$3</f>
        <v>2.1</v>
      </c>
      <c r="H5" s="48">
        <f t="shared" si="0"/>
        <v>2625000</v>
      </c>
      <c r="I5" s="127" t="s">
        <v>56</v>
      </c>
      <c r="J5" s="128"/>
      <c r="K5" s="128"/>
      <c r="L5" s="128"/>
      <c r="M5" s="128"/>
      <c r="N5" s="129"/>
    </row>
    <row r="6" spans="1:14" ht="56.25" customHeight="1" x14ac:dyDescent="0.25">
      <c r="B6" s="47" t="s">
        <v>41</v>
      </c>
      <c r="C6" s="48">
        <v>3500000</v>
      </c>
      <c r="D6" s="49">
        <v>1</v>
      </c>
      <c r="E6" s="50">
        <v>0.5</v>
      </c>
      <c r="F6" s="51">
        <v>2</v>
      </c>
      <c r="G6" s="52">
        <f>+'DATOS DE ENTRADA'!$C$3</f>
        <v>2.1</v>
      </c>
      <c r="H6" s="48">
        <f t="shared" si="0"/>
        <v>7350000</v>
      </c>
      <c r="I6" s="133" t="s">
        <v>55</v>
      </c>
      <c r="J6" s="134"/>
      <c r="K6" s="134"/>
      <c r="L6" s="134"/>
      <c r="M6" s="134"/>
      <c r="N6" s="135"/>
    </row>
    <row r="7" spans="1:14" ht="73.5" customHeight="1" x14ac:dyDescent="0.25">
      <c r="B7" s="47" t="s">
        <v>25</v>
      </c>
      <c r="C7" s="48">
        <v>1000000</v>
      </c>
      <c r="D7" s="49">
        <v>1</v>
      </c>
      <c r="E7" s="50">
        <v>0.25</v>
      </c>
      <c r="F7" s="51">
        <v>2</v>
      </c>
      <c r="G7" s="101">
        <f>+'DATOS DE ENTRADA'!$C$3</f>
        <v>2.1</v>
      </c>
      <c r="H7" s="48">
        <f t="shared" si="0"/>
        <v>1050000</v>
      </c>
      <c r="I7" s="136"/>
      <c r="J7" s="137"/>
      <c r="K7" s="137"/>
      <c r="L7" s="137"/>
      <c r="M7" s="137"/>
      <c r="N7" s="138"/>
    </row>
    <row r="8" spans="1:14" ht="60" customHeight="1" x14ac:dyDescent="0.25">
      <c r="B8" s="47" t="s">
        <v>47</v>
      </c>
      <c r="C8" s="48">
        <v>1200000</v>
      </c>
      <c r="D8" s="49">
        <v>1</v>
      </c>
      <c r="E8" s="50">
        <v>0.25</v>
      </c>
      <c r="F8" s="51">
        <v>2</v>
      </c>
      <c r="G8" s="101">
        <f>+'DATOS DE ENTRADA'!$C$3</f>
        <v>2.1</v>
      </c>
      <c r="H8" s="48">
        <f t="shared" si="0"/>
        <v>1260000</v>
      </c>
      <c r="I8" s="136"/>
      <c r="J8" s="137"/>
      <c r="K8" s="137"/>
      <c r="L8" s="137"/>
      <c r="M8" s="137"/>
      <c r="N8" s="138"/>
    </row>
    <row r="9" spans="1:14" ht="34.9" customHeight="1" x14ac:dyDescent="0.25">
      <c r="B9" s="47" t="s">
        <v>26</v>
      </c>
      <c r="C9" s="48">
        <v>800000</v>
      </c>
      <c r="D9" s="49">
        <f>+D8*2</f>
        <v>2</v>
      </c>
      <c r="E9" s="50">
        <v>0.25</v>
      </c>
      <c r="F9" s="51">
        <v>2</v>
      </c>
      <c r="G9" s="101">
        <f>+'DATOS DE ENTRADA'!$C$3</f>
        <v>2.1</v>
      </c>
      <c r="H9" s="48">
        <f t="shared" si="0"/>
        <v>1680000</v>
      </c>
      <c r="I9" s="139"/>
      <c r="J9" s="140"/>
      <c r="K9" s="140"/>
      <c r="L9" s="140"/>
      <c r="M9" s="140"/>
      <c r="N9" s="141"/>
    </row>
    <row r="10" spans="1:14" ht="20.25" customHeight="1" x14ac:dyDescent="0.25">
      <c r="B10" s="19" t="s">
        <v>6</v>
      </c>
      <c r="C10" s="20"/>
      <c r="D10" s="21"/>
      <c r="E10" s="21"/>
      <c r="F10" s="21"/>
      <c r="G10" s="21"/>
      <c r="H10" s="22">
        <f>SUM(H4:H9)</f>
        <v>18375000</v>
      </c>
    </row>
    <row r="11" spans="1:14" ht="24" customHeight="1" x14ac:dyDescent="0.25">
      <c r="B11" s="23" t="s">
        <v>7</v>
      </c>
      <c r="C11" s="24">
        <v>0.16</v>
      </c>
      <c r="D11" s="21"/>
      <c r="E11" s="21"/>
      <c r="F11" s="21"/>
      <c r="G11" s="21"/>
      <c r="H11" s="25">
        <f>+H10*$C11</f>
        <v>2940000</v>
      </c>
    </row>
    <row r="12" spans="1:14" ht="24" customHeight="1" thickBot="1" x14ac:dyDescent="0.3">
      <c r="B12" s="29" t="s">
        <v>8</v>
      </c>
      <c r="C12" s="30"/>
      <c r="D12" s="30"/>
      <c r="E12" s="30"/>
      <c r="F12" s="30"/>
      <c r="G12" s="30"/>
      <c r="H12" s="31">
        <f>ROUND(H10+H11,0)</f>
        <v>21315000</v>
      </c>
    </row>
    <row r="13" spans="1:14" x14ac:dyDescent="0.25">
      <c r="D13" s="5"/>
      <c r="E13" s="5"/>
      <c r="F13" s="5"/>
      <c r="G13" s="5"/>
      <c r="H13" s="16"/>
    </row>
    <row r="14" spans="1:14" ht="15.75" thickBot="1" x14ac:dyDescent="0.3">
      <c r="B14" s="6" t="s">
        <v>24</v>
      </c>
      <c r="C14" s="6"/>
      <c r="D14" s="5"/>
      <c r="E14" s="5"/>
      <c r="F14" s="5"/>
      <c r="G14" s="5"/>
      <c r="H14" s="16"/>
    </row>
    <row r="15" spans="1:14" ht="30" x14ac:dyDescent="0.25">
      <c r="B15" s="9" t="s">
        <v>11</v>
      </c>
      <c r="C15" s="3" t="s">
        <v>13</v>
      </c>
      <c r="D15" s="3" t="s">
        <v>12</v>
      </c>
      <c r="E15" s="3" t="s">
        <v>2</v>
      </c>
      <c r="F15" s="3" t="s">
        <v>20</v>
      </c>
      <c r="G15" s="4" t="s">
        <v>14</v>
      </c>
      <c r="H15" s="16"/>
    </row>
    <row r="16" spans="1:14" ht="78" customHeight="1" x14ac:dyDescent="0.25">
      <c r="B16" s="62" t="s">
        <v>19</v>
      </c>
      <c r="C16" s="63">
        <v>4000000</v>
      </c>
      <c r="D16" s="64" t="s">
        <v>15</v>
      </c>
      <c r="E16" s="64">
        <v>0.5</v>
      </c>
      <c r="F16" s="64">
        <f>+'DATOS DE ENTRADA'!$C$4</f>
        <v>1.05</v>
      </c>
      <c r="G16" s="92">
        <f>ROUND(F16*$C16*E16,0)</f>
        <v>2100000</v>
      </c>
      <c r="H16" s="100"/>
    </row>
    <row r="17" spans="2:8" ht="33.6" customHeight="1" x14ac:dyDescent="0.25">
      <c r="B17" s="62" t="s">
        <v>30</v>
      </c>
      <c r="C17" s="63">
        <v>1700000</v>
      </c>
      <c r="D17" s="64" t="s">
        <v>15</v>
      </c>
      <c r="E17" s="64">
        <v>0.5</v>
      </c>
      <c r="F17" s="64">
        <f>+'DATOS DE ENTRADA'!$C$4</f>
        <v>1.05</v>
      </c>
      <c r="G17" s="92">
        <f>ROUND(F17*$C17*E17,0)</f>
        <v>892500</v>
      </c>
      <c r="H17" s="100"/>
    </row>
    <row r="18" spans="2:8" ht="51.75" customHeight="1" x14ac:dyDescent="0.25">
      <c r="B18" s="62" t="s">
        <v>61</v>
      </c>
      <c r="C18" s="63">
        <v>300000</v>
      </c>
      <c r="D18" s="64" t="s">
        <v>59</v>
      </c>
      <c r="E18" s="64">
        <v>2</v>
      </c>
      <c r="F18" s="64">
        <f>+'DATOS DE ENTRADA'!$C$4</f>
        <v>1.05</v>
      </c>
      <c r="G18" s="92">
        <f>ROUND(F18*$C18*E18,0)</f>
        <v>630000</v>
      </c>
      <c r="H18" s="100"/>
    </row>
    <row r="19" spans="2:8" ht="54.75" customHeight="1" x14ac:dyDescent="0.25">
      <c r="B19" s="62" t="s">
        <v>58</v>
      </c>
      <c r="C19" s="63">
        <v>300000</v>
      </c>
      <c r="D19" s="64" t="s">
        <v>59</v>
      </c>
      <c r="E19" s="64">
        <v>1</v>
      </c>
      <c r="F19" s="64">
        <f>+'DATOS DE ENTRADA'!$C$4</f>
        <v>1.05</v>
      </c>
      <c r="G19" s="92">
        <f>ROUND(F19*$C19*E19,0)</f>
        <v>315000</v>
      </c>
      <c r="H19" s="100"/>
    </row>
    <row r="20" spans="2:8" ht="54.75" customHeight="1" thickBot="1" x14ac:dyDescent="0.3">
      <c r="B20" s="62" t="s">
        <v>86</v>
      </c>
      <c r="C20" s="63">
        <v>500000</v>
      </c>
      <c r="D20" s="64" t="s">
        <v>59</v>
      </c>
      <c r="E20" s="64">
        <v>1</v>
      </c>
      <c r="F20" s="64">
        <f>+'DATOS DE ENTRADA'!$C$4</f>
        <v>1.05</v>
      </c>
      <c r="G20" s="92">
        <f>ROUND(F20*$C20*E20,0)</f>
        <v>525000</v>
      </c>
      <c r="H20" s="100"/>
    </row>
    <row r="21" spans="2:8" ht="30" customHeight="1" x14ac:dyDescent="0.25">
      <c r="B21" s="38" t="s">
        <v>9</v>
      </c>
      <c r="C21" s="26"/>
      <c r="D21" s="27"/>
      <c r="E21" s="27"/>
      <c r="F21" s="27"/>
      <c r="G21" s="28">
        <f>SUM(G16:G20)</f>
        <v>4462500</v>
      </c>
      <c r="H21" s="16"/>
    </row>
    <row r="22" spans="2:8" ht="24" customHeight="1" x14ac:dyDescent="0.25">
      <c r="B22" s="23" t="s">
        <v>7</v>
      </c>
      <c r="C22" s="24">
        <v>0.16</v>
      </c>
      <c r="D22" s="21"/>
      <c r="E22" s="21"/>
      <c r="F22" s="21"/>
      <c r="G22" s="25">
        <f>+G21*$C22</f>
        <v>714000</v>
      </c>
      <c r="H22" s="16"/>
    </row>
    <row r="23" spans="2:8" ht="30" customHeight="1" thickBot="1" x14ac:dyDescent="0.3">
      <c r="B23" s="29" t="s">
        <v>10</v>
      </c>
      <c r="C23" s="30"/>
      <c r="D23" s="32"/>
      <c r="E23" s="32"/>
      <c r="F23" s="32"/>
      <c r="G23" s="31">
        <f>ROUND(G21+G22,0)</f>
        <v>5176500</v>
      </c>
      <c r="H23" s="16"/>
    </row>
    <row r="24" spans="2:8" ht="15.75" thickBot="1" x14ac:dyDescent="0.3">
      <c r="D24" s="5"/>
      <c r="E24" s="5"/>
      <c r="F24" s="5"/>
      <c r="G24" s="5"/>
      <c r="H24" s="16"/>
    </row>
    <row r="25" spans="2:8" ht="39" customHeight="1" thickBot="1" x14ac:dyDescent="0.3">
      <c r="B25" s="33" t="s">
        <v>68</v>
      </c>
      <c r="C25" s="34"/>
      <c r="D25" s="35"/>
      <c r="E25" s="35"/>
      <c r="F25" s="35"/>
      <c r="G25" s="35"/>
      <c r="H25" s="36">
        <f>+G23+H12</f>
        <v>26491500</v>
      </c>
    </row>
    <row r="28" spans="2:8" x14ac:dyDescent="0.25">
      <c r="E28" s="1"/>
    </row>
  </sheetData>
  <mergeCells count="4">
    <mergeCell ref="I1:N2"/>
    <mergeCell ref="I6:N9"/>
    <mergeCell ref="I5:N5"/>
    <mergeCell ref="I4:N4"/>
  </mergeCells>
  <pageMargins left="0.7" right="0.7" top="0.75" bottom="0.75" header="0.3" footer="0.3"/>
  <pageSetup paperSize="9" scale="55" orientation="portrait" r:id="rId1"/>
  <colBreaks count="1" manualBreakCount="1">
    <brk id="8" max="5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tabSelected="1" view="pageBreakPreview" topLeftCell="A4" zoomScale="85" zoomScaleNormal="100" zoomScaleSheetLayoutView="85" workbookViewId="0">
      <selection activeCell="D16" sqref="D16"/>
    </sheetView>
  </sheetViews>
  <sheetFormatPr baseColWidth="10" defaultRowHeight="15" x14ac:dyDescent="0.25"/>
  <cols>
    <col min="1" max="1" width="20.140625" style="40" customWidth="1"/>
    <col min="2" max="2" width="36.28515625" customWidth="1"/>
    <col min="3" max="3" width="18.42578125" customWidth="1"/>
    <col min="5" max="5" width="13.7109375" customWidth="1"/>
    <col min="6" max="6" width="16.140625" customWidth="1"/>
    <col min="7" max="7" width="15.5703125" customWidth="1"/>
    <col min="8" max="8" width="33.42578125" style="39" customWidth="1"/>
    <col min="9" max="9" width="77.7109375" style="5" customWidth="1"/>
    <col min="10" max="15" width="11.42578125" style="5"/>
  </cols>
  <sheetData>
    <row r="1" spans="1:15" ht="15" customHeight="1" x14ac:dyDescent="0.35">
      <c r="I1" s="84"/>
      <c r="J1" s="84"/>
      <c r="K1" s="84"/>
      <c r="L1" s="84"/>
      <c r="M1" s="84"/>
      <c r="N1" s="84"/>
    </row>
    <row r="2" spans="1:15" ht="28.9" customHeight="1" thickBot="1" x14ac:dyDescent="0.4">
      <c r="B2" s="12" t="s">
        <v>80</v>
      </c>
      <c r="C2" s="12"/>
      <c r="I2" s="84"/>
      <c r="J2" s="84"/>
      <c r="K2" s="84"/>
      <c r="L2" s="84"/>
      <c r="M2" s="84"/>
      <c r="N2" s="84"/>
    </row>
    <row r="3" spans="1:15" ht="45" x14ac:dyDescent="0.25">
      <c r="B3" s="2" t="s">
        <v>1</v>
      </c>
      <c r="C3" s="3" t="s">
        <v>3</v>
      </c>
      <c r="D3" s="3" t="s">
        <v>16</v>
      </c>
      <c r="E3" s="3" t="s">
        <v>17</v>
      </c>
      <c r="F3" s="3" t="s">
        <v>18</v>
      </c>
      <c r="G3" s="3" t="s">
        <v>5</v>
      </c>
      <c r="H3" s="4" t="s">
        <v>4</v>
      </c>
    </row>
    <row r="4" spans="1:15" ht="24" customHeight="1" x14ac:dyDescent="0.25">
      <c r="A4" s="87"/>
      <c r="B4" s="95" t="s">
        <v>70</v>
      </c>
      <c r="C4" s="53">
        <v>5000000</v>
      </c>
      <c r="D4" s="11">
        <v>1</v>
      </c>
      <c r="E4" s="14">
        <v>1</v>
      </c>
      <c r="F4" s="37">
        <v>6</v>
      </c>
      <c r="G4" s="18">
        <f>+'DATOS DE ENTRADA'!$C$3</f>
        <v>2.1</v>
      </c>
      <c r="H4" s="10">
        <f>ROUND($C4*D4*E4*F4*G4,)</f>
        <v>63000000</v>
      </c>
      <c r="I4" s="85"/>
      <c r="J4" s="85"/>
      <c r="K4" s="85"/>
      <c r="L4" s="85"/>
      <c r="M4" s="85"/>
      <c r="N4" s="85"/>
    </row>
    <row r="5" spans="1:15" ht="24" customHeight="1" x14ac:dyDescent="0.25">
      <c r="A5" s="87"/>
      <c r="B5" s="95" t="s">
        <v>71</v>
      </c>
      <c r="C5" s="53">
        <v>3500000</v>
      </c>
      <c r="D5" s="11">
        <v>2</v>
      </c>
      <c r="E5" s="14">
        <v>1</v>
      </c>
      <c r="F5" s="37">
        <v>6</v>
      </c>
      <c r="G5" s="18">
        <f>+'DATOS DE ENTRADA'!$C$3</f>
        <v>2.1</v>
      </c>
      <c r="H5" s="10">
        <f t="shared" ref="H5:H17" si="0">ROUND($C5*D5*E5*F5*G5,)</f>
        <v>88200000</v>
      </c>
      <c r="I5" s="85"/>
      <c r="J5" s="85"/>
      <c r="K5" s="85"/>
      <c r="L5" s="85"/>
      <c r="M5" s="85"/>
      <c r="N5" s="85"/>
    </row>
    <row r="6" spans="1:15" ht="28.5" customHeight="1" x14ac:dyDescent="0.25">
      <c r="A6" s="97"/>
      <c r="B6" s="95" t="s">
        <v>28</v>
      </c>
      <c r="C6" s="53">
        <v>5000000</v>
      </c>
      <c r="D6" s="44">
        <v>1</v>
      </c>
      <c r="E6" s="45">
        <v>0.3</v>
      </c>
      <c r="F6" s="37">
        <v>6</v>
      </c>
      <c r="G6" s="46">
        <f>+'DATOS DE ENTRADA'!$C$3</f>
        <v>2.1</v>
      </c>
      <c r="H6" s="82">
        <f t="shared" si="0"/>
        <v>18900000</v>
      </c>
      <c r="I6" s="98" t="s">
        <v>74</v>
      </c>
      <c r="J6" s="86"/>
      <c r="K6" s="86"/>
      <c r="L6" s="86"/>
      <c r="M6" s="86"/>
      <c r="N6" s="86"/>
    </row>
    <row r="7" spans="1:15" ht="24" customHeight="1" x14ac:dyDescent="0.25">
      <c r="A7" s="91"/>
      <c r="B7" s="96" t="s">
        <v>72</v>
      </c>
      <c r="C7" s="63">
        <v>5000000</v>
      </c>
      <c r="D7" s="71">
        <v>1</v>
      </c>
      <c r="E7" s="72">
        <v>0.25</v>
      </c>
      <c r="F7" s="37">
        <v>6</v>
      </c>
      <c r="G7" s="74">
        <f>+'DATOS DE ENTRADA'!$C$3</f>
        <v>2.1</v>
      </c>
      <c r="H7" s="92">
        <f>ROUND($C7*D7*E7*F7*G7,)</f>
        <v>15750000</v>
      </c>
      <c r="I7" s="98" t="s">
        <v>75</v>
      </c>
      <c r="J7" s="87"/>
      <c r="K7" s="87"/>
      <c r="L7" s="87"/>
      <c r="M7" s="87"/>
      <c r="N7" s="87"/>
    </row>
    <row r="8" spans="1:15" ht="24" customHeight="1" x14ac:dyDescent="0.25">
      <c r="A8" s="91"/>
      <c r="B8" s="96" t="s">
        <v>45</v>
      </c>
      <c r="C8" s="63">
        <v>5000000</v>
      </c>
      <c r="D8" s="71">
        <v>1</v>
      </c>
      <c r="E8" s="72">
        <v>0.25</v>
      </c>
      <c r="F8" s="37">
        <v>6</v>
      </c>
      <c r="G8" s="74">
        <f>+'DATOS DE ENTRADA'!$C$3</f>
        <v>2.1</v>
      </c>
      <c r="H8" s="92">
        <f t="shared" si="0"/>
        <v>15750000</v>
      </c>
      <c r="I8" s="98" t="s">
        <v>76</v>
      </c>
      <c r="J8" s="87"/>
      <c r="K8" s="87"/>
      <c r="L8" s="87"/>
      <c r="M8" s="87"/>
      <c r="N8" s="87"/>
    </row>
    <row r="9" spans="1:15" s="61" customFormat="1" ht="30" customHeight="1" x14ac:dyDescent="0.25">
      <c r="A9" s="87"/>
      <c r="B9" s="96" t="s">
        <v>54</v>
      </c>
      <c r="C9" s="63">
        <v>5000000</v>
      </c>
      <c r="D9" s="71">
        <v>1</v>
      </c>
      <c r="E9" s="72">
        <v>0.3</v>
      </c>
      <c r="F9" s="37">
        <v>6</v>
      </c>
      <c r="G9" s="76">
        <f>+'DATOS DE ENTRADA'!$C$3</f>
        <v>2.1</v>
      </c>
      <c r="H9" s="92">
        <f t="shared" si="0"/>
        <v>18900000</v>
      </c>
      <c r="I9" s="98" t="s">
        <v>77</v>
      </c>
      <c r="J9" s="88"/>
      <c r="K9" s="88"/>
      <c r="L9" s="88"/>
      <c r="M9" s="88"/>
      <c r="N9" s="88"/>
      <c r="O9" s="89"/>
    </row>
    <row r="10" spans="1:15" s="61" customFormat="1" ht="33.75" customHeight="1" x14ac:dyDescent="0.25">
      <c r="A10" s="87"/>
      <c r="B10" s="96" t="s">
        <v>73</v>
      </c>
      <c r="C10" s="63">
        <v>5000000</v>
      </c>
      <c r="D10" s="71">
        <v>1</v>
      </c>
      <c r="E10" s="72">
        <v>1</v>
      </c>
      <c r="F10" s="37">
        <v>6</v>
      </c>
      <c r="G10" s="76">
        <f>+'DATOS DE ENTRADA'!$C$3</f>
        <v>2.1</v>
      </c>
      <c r="H10" s="83">
        <f t="shared" si="0"/>
        <v>63000000</v>
      </c>
      <c r="I10" s="98" t="s">
        <v>78</v>
      </c>
      <c r="J10" s="90"/>
      <c r="K10" s="90"/>
      <c r="L10" s="90"/>
      <c r="M10" s="90"/>
      <c r="N10" s="90"/>
      <c r="O10" s="89"/>
    </row>
    <row r="11" spans="1:15" s="61" customFormat="1" ht="30.75" customHeight="1" x14ac:dyDescent="0.25">
      <c r="A11" s="87"/>
      <c r="B11" s="96" t="s">
        <v>53</v>
      </c>
      <c r="C11" s="63">
        <v>5000000</v>
      </c>
      <c r="D11" s="71">
        <v>1</v>
      </c>
      <c r="E11" s="72">
        <v>0.3</v>
      </c>
      <c r="F11" s="37">
        <v>6</v>
      </c>
      <c r="G11" s="76">
        <f>+'DATOS DE ENTRADA'!$C$3</f>
        <v>2.1</v>
      </c>
      <c r="H11" s="83">
        <f t="shared" si="0"/>
        <v>18900000</v>
      </c>
      <c r="I11" s="99" t="s">
        <v>79</v>
      </c>
      <c r="J11" s="90"/>
      <c r="K11" s="90"/>
      <c r="L11" s="90"/>
      <c r="M11" s="90"/>
      <c r="N11" s="90"/>
      <c r="O11" s="89"/>
    </row>
    <row r="12" spans="1:15" ht="24" customHeight="1" x14ac:dyDescent="0.25">
      <c r="A12" s="41"/>
      <c r="B12" s="96" t="s">
        <v>46</v>
      </c>
      <c r="C12" s="63">
        <v>1700000</v>
      </c>
      <c r="D12" s="78">
        <v>1</v>
      </c>
      <c r="E12" s="79">
        <v>1</v>
      </c>
      <c r="F12" s="37">
        <v>6</v>
      </c>
      <c r="G12" s="76">
        <f>+'DATOS DE ENTRADA'!$C$3</f>
        <v>2.1</v>
      </c>
      <c r="H12" s="92">
        <f t="shared" si="0"/>
        <v>21420000</v>
      </c>
      <c r="I12" s="85"/>
      <c r="J12" s="85"/>
      <c r="K12" s="85"/>
      <c r="L12" s="85"/>
      <c r="M12" s="85"/>
      <c r="N12" s="85"/>
    </row>
    <row r="13" spans="1:15" ht="24" customHeight="1" x14ac:dyDescent="0.25">
      <c r="B13" s="95" t="s">
        <v>25</v>
      </c>
      <c r="C13" s="8">
        <v>1000000</v>
      </c>
      <c r="D13" s="11">
        <v>1</v>
      </c>
      <c r="E13" s="14">
        <v>0.5</v>
      </c>
      <c r="F13" s="37">
        <v>6</v>
      </c>
      <c r="G13" s="18">
        <f>+'DATOS DE ENTRADA'!$C$3</f>
        <v>2.1</v>
      </c>
      <c r="H13" s="10">
        <f t="shared" si="0"/>
        <v>6300000</v>
      </c>
      <c r="I13" s="85"/>
      <c r="J13" s="85"/>
      <c r="K13" s="85"/>
      <c r="L13" s="85"/>
      <c r="M13" s="85"/>
      <c r="N13" s="85"/>
    </row>
    <row r="14" spans="1:15" ht="23.25" customHeight="1" x14ac:dyDescent="0.25">
      <c r="B14" s="95" t="s">
        <v>47</v>
      </c>
      <c r="C14" s="8">
        <v>1200000</v>
      </c>
      <c r="D14" s="11">
        <v>2</v>
      </c>
      <c r="E14" s="14">
        <v>0.5</v>
      </c>
      <c r="F14" s="37">
        <v>6</v>
      </c>
      <c r="G14" s="18">
        <f>+'DATOS DE ENTRADA'!$C$3</f>
        <v>2.1</v>
      </c>
      <c r="H14" s="10">
        <f t="shared" si="0"/>
        <v>15120000</v>
      </c>
      <c r="I14" s="85"/>
      <c r="J14" s="85"/>
      <c r="K14" s="85"/>
      <c r="L14" s="85"/>
      <c r="M14" s="85"/>
      <c r="N14" s="85"/>
    </row>
    <row r="15" spans="1:15" ht="23.25" customHeight="1" x14ac:dyDescent="0.25">
      <c r="B15" s="95" t="s">
        <v>26</v>
      </c>
      <c r="C15" s="8">
        <v>800000</v>
      </c>
      <c r="D15" s="11">
        <v>2</v>
      </c>
      <c r="E15" s="14">
        <v>0.5</v>
      </c>
      <c r="F15" s="37">
        <v>6</v>
      </c>
      <c r="G15" s="18">
        <f>+'DATOS DE ENTRADA'!$C$3</f>
        <v>2.1</v>
      </c>
      <c r="H15" s="10">
        <f t="shared" si="0"/>
        <v>10080000</v>
      </c>
      <c r="I15" s="85"/>
      <c r="J15" s="85"/>
      <c r="K15" s="85"/>
      <c r="L15" s="85"/>
      <c r="M15" s="85"/>
      <c r="N15" s="85"/>
    </row>
    <row r="16" spans="1:15" ht="23.25" customHeight="1" x14ac:dyDescent="0.25">
      <c r="B16" s="95" t="s">
        <v>27</v>
      </c>
      <c r="C16" s="8">
        <v>700000</v>
      </c>
      <c r="D16" s="11">
        <f>+D15</f>
        <v>2</v>
      </c>
      <c r="E16" s="14">
        <v>0.5</v>
      </c>
      <c r="F16" s="37">
        <v>6</v>
      </c>
      <c r="G16" s="18">
        <f>+'DATOS DE ENTRADA'!$C$3</f>
        <v>2.1</v>
      </c>
      <c r="H16" s="10">
        <f t="shared" si="0"/>
        <v>8820000</v>
      </c>
      <c r="I16" s="85"/>
      <c r="J16" s="85"/>
      <c r="K16" s="85"/>
      <c r="L16" s="85"/>
      <c r="M16" s="85"/>
      <c r="N16" s="85"/>
    </row>
    <row r="17" spans="2:14" ht="23.25" customHeight="1" x14ac:dyDescent="0.25">
      <c r="B17" s="95" t="s">
        <v>0</v>
      </c>
      <c r="C17" s="8">
        <v>900000</v>
      </c>
      <c r="D17" s="11">
        <v>1</v>
      </c>
      <c r="E17" s="14">
        <v>1</v>
      </c>
      <c r="F17" s="37">
        <v>6</v>
      </c>
      <c r="G17" s="18">
        <f>+'DATOS DE ENTRADA'!$C$3</f>
        <v>2.1</v>
      </c>
      <c r="H17" s="10">
        <f t="shared" si="0"/>
        <v>11340000</v>
      </c>
      <c r="I17" s="85"/>
      <c r="J17" s="85"/>
      <c r="K17" s="85"/>
      <c r="L17" s="85"/>
      <c r="M17" s="85"/>
      <c r="N17" s="85"/>
    </row>
    <row r="18" spans="2:14" ht="23.25" customHeight="1" x14ac:dyDescent="0.25">
      <c r="B18" s="142" t="s">
        <v>6</v>
      </c>
      <c r="C18" s="143"/>
      <c r="D18" s="143"/>
      <c r="E18" s="143"/>
      <c r="F18" s="143"/>
      <c r="G18" s="144"/>
      <c r="H18" s="108">
        <f>SUM(H4:H17)</f>
        <v>375480000</v>
      </c>
    </row>
    <row r="19" spans="2:14" ht="30" customHeight="1" x14ac:dyDescent="0.25">
      <c r="B19" s="93" t="s">
        <v>7</v>
      </c>
      <c r="C19" s="148">
        <v>0.16</v>
      </c>
      <c r="D19" s="149"/>
      <c r="E19" s="149"/>
      <c r="F19" s="149"/>
      <c r="G19" s="150"/>
      <c r="H19" s="10">
        <f>+H18*$C19</f>
        <v>60076800</v>
      </c>
    </row>
    <row r="20" spans="2:14" ht="30" customHeight="1" thickBot="1" x14ac:dyDescent="0.3">
      <c r="B20" s="145" t="s">
        <v>8</v>
      </c>
      <c r="C20" s="146"/>
      <c r="D20" s="146"/>
      <c r="E20" s="146"/>
      <c r="F20" s="146"/>
      <c r="G20" s="147"/>
      <c r="H20" s="94">
        <f>ROUND(H18+H19,0)</f>
        <v>435556800</v>
      </c>
    </row>
    <row r="21" spans="2:14" x14ac:dyDescent="0.25">
      <c r="D21" s="5"/>
      <c r="E21" s="5"/>
      <c r="F21" s="5"/>
      <c r="G21" s="5"/>
      <c r="H21" s="102"/>
    </row>
    <row r="22" spans="2:14" ht="15.75" thickBot="1" x14ac:dyDescent="0.3">
      <c r="B22" s="6" t="s">
        <v>24</v>
      </c>
      <c r="C22" s="6"/>
      <c r="D22" s="5"/>
      <c r="E22" s="5"/>
      <c r="F22" s="5"/>
      <c r="G22" s="5"/>
    </row>
    <row r="23" spans="2:14" ht="30" x14ac:dyDescent="0.25">
      <c r="B23" s="9" t="s">
        <v>11</v>
      </c>
      <c r="C23" s="3" t="s">
        <v>13</v>
      </c>
      <c r="D23" s="3" t="s">
        <v>12</v>
      </c>
      <c r="E23" s="3" t="s">
        <v>2</v>
      </c>
      <c r="F23" s="3" t="s">
        <v>20</v>
      </c>
      <c r="G23" s="4" t="s">
        <v>14</v>
      </c>
    </row>
    <row r="24" spans="2:14" ht="60" x14ac:dyDescent="0.25">
      <c r="B24" s="13" t="s">
        <v>19</v>
      </c>
      <c r="C24" s="8">
        <v>4000000</v>
      </c>
      <c r="D24" s="7" t="s">
        <v>15</v>
      </c>
      <c r="E24" s="7">
        <v>6</v>
      </c>
      <c r="F24" s="7">
        <f>+'DATOS DE ENTRADA'!$C$4</f>
        <v>1.05</v>
      </c>
      <c r="G24" s="104">
        <f>ROUND(F24*$C24*E24,0)</f>
        <v>25200000</v>
      </c>
      <c r="H24" s="105" t="s">
        <v>83</v>
      </c>
    </row>
    <row r="25" spans="2:14" ht="90" x14ac:dyDescent="0.25">
      <c r="B25" s="66" t="s">
        <v>51</v>
      </c>
      <c r="C25" s="67">
        <v>40000</v>
      </c>
      <c r="D25" s="68" t="s">
        <v>35</v>
      </c>
      <c r="E25" s="68">
        <f>4700-2963</f>
        <v>1737</v>
      </c>
      <c r="F25" s="68">
        <f>+'DATOS DE ENTRADA'!$C$4</f>
        <v>1.05</v>
      </c>
      <c r="G25" s="104">
        <f>ROUND(F25*$C25*E25,0)</f>
        <v>72954000</v>
      </c>
      <c r="H25" s="106" t="s">
        <v>82</v>
      </c>
    </row>
    <row r="26" spans="2:14" ht="81" customHeight="1" x14ac:dyDescent="0.25">
      <c r="B26" s="62" t="s">
        <v>30</v>
      </c>
      <c r="C26" s="63">
        <v>1700000</v>
      </c>
      <c r="D26" s="64" t="s">
        <v>15</v>
      </c>
      <c r="E26" s="71">
        <v>6</v>
      </c>
      <c r="F26" s="68">
        <f>+'DATOS DE ENTRADA'!$C$4</f>
        <v>1.05</v>
      </c>
      <c r="G26" s="104">
        <f t="shared" ref="G26:G28" si="1">ROUND(F26*$C26*E26,0)</f>
        <v>10710000</v>
      </c>
      <c r="H26" s="105" t="s">
        <v>84</v>
      </c>
    </row>
    <row r="27" spans="2:14" ht="30" x14ac:dyDescent="0.25">
      <c r="B27" s="62" t="s">
        <v>61</v>
      </c>
      <c r="C27" s="63">
        <v>600000</v>
      </c>
      <c r="D27" s="64" t="s">
        <v>59</v>
      </c>
      <c r="E27" s="64">
        <v>6</v>
      </c>
      <c r="F27" s="68">
        <f>+'DATOS DE ENTRADA'!$C$4</f>
        <v>1.05</v>
      </c>
      <c r="G27" s="104">
        <f t="shared" si="1"/>
        <v>3780000</v>
      </c>
      <c r="H27" s="7"/>
    </row>
    <row r="28" spans="2:14" ht="60.75" thickBot="1" x14ac:dyDescent="0.3">
      <c r="B28" s="62" t="s">
        <v>67</v>
      </c>
      <c r="C28" s="63">
        <v>600000</v>
      </c>
      <c r="D28" s="64" t="s">
        <v>59</v>
      </c>
      <c r="E28" s="64">
        <v>2</v>
      </c>
      <c r="F28" s="68">
        <f>+'DATOS DE ENTRADA'!$C$4</f>
        <v>1.05</v>
      </c>
      <c r="G28" s="104">
        <f t="shared" si="1"/>
        <v>1260000</v>
      </c>
      <c r="H28" s="105" t="s">
        <v>85</v>
      </c>
    </row>
    <row r="29" spans="2:14" x14ac:dyDescent="0.25">
      <c r="B29" s="38" t="s">
        <v>9</v>
      </c>
      <c r="C29" s="26"/>
      <c r="D29" s="27"/>
      <c r="E29" s="27"/>
      <c r="F29" s="27"/>
      <c r="G29" s="28">
        <f>SUM(G24:G28)</f>
        <v>113904000</v>
      </c>
    </row>
    <row r="30" spans="2:14" x14ac:dyDescent="0.25">
      <c r="B30" s="23" t="s">
        <v>7</v>
      </c>
      <c r="C30" s="24">
        <v>0.16</v>
      </c>
      <c r="D30" s="21"/>
      <c r="E30" s="21"/>
      <c r="F30" s="21"/>
      <c r="G30" s="25">
        <f>+G29*$C30</f>
        <v>18224640</v>
      </c>
    </row>
    <row r="31" spans="2:14" ht="15.75" thickBot="1" x14ac:dyDescent="0.3">
      <c r="B31" s="29" t="s">
        <v>10</v>
      </c>
      <c r="C31" s="30"/>
      <c r="D31" s="32"/>
      <c r="E31" s="32"/>
      <c r="F31" s="32"/>
      <c r="G31" s="31">
        <f>ROUND(G29+G30,0)</f>
        <v>132128640</v>
      </c>
    </row>
    <row r="32" spans="2:14" x14ac:dyDescent="0.25">
      <c r="D32" s="5"/>
      <c r="E32" s="5"/>
      <c r="F32" s="5"/>
      <c r="G32" s="5"/>
    </row>
    <row r="33" spans="2:8" ht="15.75" thickBot="1" x14ac:dyDescent="0.3">
      <c r="D33" s="5"/>
      <c r="E33" s="5"/>
      <c r="F33" s="5"/>
      <c r="G33" s="5"/>
    </row>
    <row r="34" spans="2:8" ht="15.75" thickBot="1" x14ac:dyDescent="0.3">
      <c r="B34" s="33" t="s">
        <v>69</v>
      </c>
      <c r="C34" s="34"/>
      <c r="D34" s="35"/>
      <c r="E34" s="35"/>
      <c r="F34" s="35"/>
      <c r="G34" s="35"/>
      <c r="H34" s="107">
        <f>+G31+H20</f>
        <v>567685440</v>
      </c>
    </row>
  </sheetData>
  <mergeCells count="3">
    <mergeCell ref="B18:G18"/>
    <mergeCell ref="B20:G20"/>
    <mergeCell ref="C19:G19"/>
  </mergeCells>
  <pageMargins left="0.7" right="0.7" top="0.75" bottom="0.75" header="0.3" footer="0.3"/>
  <pageSetup paperSize="9" scale="4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F6"/>
  <sheetViews>
    <sheetView workbookViewId="0">
      <selection activeCell="E3" sqref="E3"/>
    </sheetView>
  </sheetViews>
  <sheetFormatPr baseColWidth="10" defaultRowHeight="15" x14ac:dyDescent="0.25"/>
  <sheetData>
    <row r="2" spans="5:6" x14ac:dyDescent="0.25">
      <c r="E2">
        <v>180</v>
      </c>
      <c r="F2">
        <v>100</v>
      </c>
    </row>
    <row r="3" spans="5:6" x14ac:dyDescent="0.25">
      <c r="E3">
        <v>50</v>
      </c>
      <c r="F3">
        <f>(E3*F2)/E2</f>
        <v>27.777777777777779</v>
      </c>
    </row>
    <row r="4" spans="5:6" x14ac:dyDescent="0.25">
      <c r="E4">
        <v>65</v>
      </c>
    </row>
    <row r="6" spans="5:6" x14ac:dyDescent="0.25">
      <c r="E6">
        <v>2</v>
      </c>
      <c r="F6">
        <f>180/4</f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DATOS DE ENTRADA</vt:lpstr>
      <vt:lpstr>PPTO ESTUDIOS FASE 1-</vt:lpstr>
      <vt:lpstr>PPTO ESTUDIOS FASE 2</vt:lpstr>
      <vt:lpstr>PPTO PERSONAL 3</vt:lpstr>
      <vt:lpstr>Hoja3</vt:lpstr>
      <vt:lpstr>'PPTO ESTUDIOS FASE 1-'!Área_de_impresión</vt:lpstr>
      <vt:lpstr>'PPTO ESTUDIOS FASE 2'!Área_de_impresión</vt:lpstr>
      <vt:lpstr>'PPTO PERSONAL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2016-10-26T16:43:16Z</dcterms:modified>
</cp:coreProperties>
</file>