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defaultThemeVersion="166925"/>
  <mc:AlternateContent xmlns:mc="http://schemas.openxmlformats.org/markup-compatibility/2006">
    <mc:Choice Requires="x15">
      <x15ac:absPath xmlns:x15ac="http://schemas.microsoft.com/office/spreadsheetml/2010/11/ac" url="https://findeterco-my.sharepoint.com/personal/tpreyes_findeter_gov_co/Documents/FINDETER_2021/VIABILIZACIONES/PROCESOS/Estudios Previos/9. Aguachica-Astrea-Curumani-SanAlberto/Obra/"/>
    </mc:Choice>
  </mc:AlternateContent>
  <xr:revisionPtr revIDLastSave="132" documentId="8_{305646EE-21A8-4058-98C4-016C84155923}" xr6:coauthVersionLast="47" xr6:coauthVersionMax="47" xr10:uidLastSave="{76298AA3-5992-45EC-B41F-B922626E5C83}"/>
  <bookViews>
    <workbookView xWindow="-120" yWindow="-120" windowWidth="20730" windowHeight="11160" firstSheet="5" activeTab="5" xr2:uid="{00000000-000D-0000-FFFF-FFFF00000000}"/>
  </bookViews>
  <sheets>
    <sheet name="plazoleta ELV" sheetId="5" state="hidden" r:id="rId1"/>
    <sheet name="parqueadero ELV" sheetId="4" state="hidden" r:id="rId2"/>
    <sheet name="REV ELV" sheetId="3" state="hidden" r:id="rId3"/>
    <sheet name="Hoja1 luz" sheetId="1" state="hidden" r:id="rId4"/>
    <sheet name="Hoja2" sheetId="2" state="hidden" r:id="rId5"/>
    <sheet name="FORMATO 4 OBRA" sheetId="6" r:id="rId6"/>
    <sheet name="FORMAT 4 INTERV." sheetId="7" state="hidden" r:id="rId7"/>
    <sheet name="Hoja1" sheetId="8"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8" l="1"/>
  <c r="D18" i="8"/>
  <c r="C18" i="8"/>
  <c r="F17" i="8"/>
  <c r="F16" i="8"/>
  <c r="F18" i="8" s="1"/>
  <c r="B10" i="8" l="1"/>
  <c r="B4" i="8"/>
  <c r="J14" i="5" l="1"/>
  <c r="G46" i="3" l="1"/>
  <c r="J13" i="5"/>
  <c r="K13" i="5" s="1"/>
  <c r="G41" i="3"/>
  <c r="G45" i="3" l="1"/>
  <c r="G42" i="3"/>
  <c r="G43" i="3"/>
  <c r="G44" i="3"/>
  <c r="G47" i="3"/>
  <c r="J32" i="4" l="1"/>
  <c r="H49" i="4"/>
  <c r="H48" i="4"/>
  <c r="I7" i="5" l="1"/>
  <c r="J15" i="5" l="1"/>
  <c r="H15" i="5"/>
  <c r="F6" i="5"/>
  <c r="G40" i="3" l="1"/>
  <c r="G57" i="3" s="1"/>
  <c r="I17" i="4" l="1"/>
  <c r="G12" i="4" l="1"/>
  <c r="J6" i="5" l="1"/>
  <c r="F7" i="5"/>
  <c r="G44" i="1" l="1"/>
  <c r="J7" i="5" l="1"/>
  <c r="I8" i="5"/>
  <c r="J8" i="5" s="1"/>
  <c r="I5" i="5"/>
  <c r="J5" i="5" s="1"/>
  <c r="I10" i="5"/>
  <c r="J10" i="5" s="1"/>
  <c r="I12" i="5"/>
  <c r="J12" i="5" s="1"/>
  <c r="J17" i="4"/>
  <c r="I34" i="4"/>
  <c r="I18" i="4"/>
  <c r="J18" i="4" s="1"/>
  <c r="I29" i="4"/>
  <c r="J29" i="4" s="1"/>
  <c r="I12" i="4"/>
  <c r="J12" i="4" s="1"/>
  <c r="H34" i="4"/>
  <c r="F22" i="4" l="1"/>
  <c r="V2" i="4" l="1"/>
  <c r="V1" i="4"/>
  <c r="V5" i="4" s="1"/>
  <c r="N6" i="4"/>
  <c r="N2" i="4"/>
  <c r="N4" i="4" s="1"/>
  <c r="F19" i="4" l="1"/>
  <c r="F20" i="4"/>
  <c r="G1" i="4"/>
  <c r="G3" i="4"/>
  <c r="G6" i="4" s="1"/>
  <c r="G2" i="4"/>
  <c r="F14" i="4" l="1"/>
  <c r="F13" i="4"/>
  <c r="H12" i="5"/>
  <c r="H10" i="5"/>
  <c r="H9" i="5"/>
  <c r="H5" i="5"/>
  <c r="H8" i="5"/>
  <c r="H7" i="5"/>
  <c r="G33" i="4" l="1"/>
  <c r="G31" i="4"/>
  <c r="I31" i="4" s="1"/>
  <c r="J31" i="4" s="1"/>
  <c r="E33" i="4"/>
  <c r="G30" i="4"/>
  <c r="I30" i="4" s="1"/>
  <c r="J30" i="4" s="1"/>
  <c r="G28" i="4"/>
  <c r="G27" i="4"/>
  <c r="G11" i="5" s="1"/>
  <c r="G26" i="4"/>
  <c r="I26" i="4" s="1"/>
  <c r="J26" i="4" s="1"/>
  <c r="G25" i="4"/>
  <c r="I25" i="4" s="1"/>
  <c r="J25" i="4" s="1"/>
  <c r="G24" i="4"/>
  <c r="I24" i="4" s="1"/>
  <c r="G23" i="4"/>
  <c r="I23" i="4" s="1"/>
  <c r="J23" i="4" s="1"/>
  <c r="G22" i="4"/>
  <c r="I22" i="4" s="1"/>
  <c r="J22" i="4" s="1"/>
  <c r="G13" i="4"/>
  <c r="J13" i="4" s="1"/>
  <c r="G19" i="4"/>
  <c r="I19" i="4" s="1"/>
  <c r="J19" i="4" s="1"/>
  <c r="J24" i="4" l="1"/>
  <c r="I9" i="5"/>
  <c r="J9" i="5" s="1"/>
  <c r="I11" i="5"/>
  <c r="J11" i="5" s="1"/>
  <c r="J18" i="5" s="1"/>
  <c r="K18" i="5" s="1"/>
  <c r="H11" i="5"/>
  <c r="H18" i="5" s="1"/>
  <c r="H20" i="5" s="1"/>
  <c r="H28" i="4"/>
  <c r="I28" i="4"/>
  <c r="J28" i="4" s="1"/>
  <c r="H33" i="4"/>
  <c r="I33" i="4"/>
  <c r="J33" i="4" s="1"/>
  <c r="H27" i="4"/>
  <c r="I27" i="4"/>
  <c r="J27" i="4" s="1"/>
  <c r="H22" i="4"/>
  <c r="H21" i="5" l="1"/>
  <c r="H22" i="5"/>
  <c r="J20" i="5"/>
  <c r="J22" i="5"/>
  <c r="J23" i="5" s="1"/>
  <c r="J21" i="5"/>
  <c r="G21" i="4"/>
  <c r="I21" i="4" s="1"/>
  <c r="J21" i="4" s="1"/>
  <c r="H23" i="5" l="1"/>
  <c r="H19" i="5" s="1"/>
  <c r="H25" i="5" s="1"/>
  <c r="J19" i="5"/>
  <c r="J25" i="5" s="1"/>
  <c r="H24" i="4"/>
  <c r="H21" i="4" l="1"/>
  <c r="G14" i="4"/>
  <c r="G20" i="4"/>
  <c r="G16" i="4"/>
  <c r="G15" i="4"/>
  <c r="H31" i="4"/>
  <c r="H30" i="4"/>
  <c r="H29" i="4"/>
  <c r="H26" i="4"/>
  <c r="H25" i="4"/>
  <c r="H23" i="4"/>
  <c r="H13" i="4"/>
  <c r="H19" i="4"/>
  <c r="H18" i="4"/>
  <c r="H12" i="4"/>
  <c r="H16" i="4" l="1"/>
  <c r="I16" i="4"/>
  <c r="J16" i="4" s="1"/>
  <c r="H15" i="4"/>
  <c r="I15" i="4"/>
  <c r="J15" i="4" s="1"/>
  <c r="H20" i="4"/>
  <c r="I20" i="4"/>
  <c r="J20" i="4" s="1"/>
  <c r="H14" i="4"/>
  <c r="J14" i="4"/>
  <c r="F13" i="2"/>
  <c r="G13" i="2" s="1"/>
  <c r="F12" i="2"/>
  <c r="G12" i="2" s="1"/>
  <c r="F11" i="2"/>
  <c r="G11" i="2" s="1"/>
  <c r="M26" i="2"/>
  <c r="J25" i="2"/>
  <c r="L24" i="2"/>
  <c r="L26" i="2" s="1"/>
  <c r="G23" i="2"/>
  <c r="H36" i="4" l="1"/>
  <c r="H40" i="4" s="1"/>
  <c r="H41" i="4" s="1"/>
  <c r="J36" i="4"/>
  <c r="K36" i="4" s="1"/>
  <c r="G10" i="2"/>
  <c r="D28" i="2"/>
  <c r="H39" i="4" l="1"/>
  <c r="H38" i="4"/>
  <c r="F48" i="4"/>
  <c r="J39" i="4"/>
  <c r="J40" i="4"/>
  <c r="J41" i="4" s="1"/>
  <c r="J38" i="4"/>
  <c r="G18" i="2"/>
  <c r="G19" i="2" s="1"/>
  <c r="G17" i="2"/>
  <c r="G16" i="2"/>
  <c r="H37" i="4" l="1"/>
  <c r="H43" i="4" s="1"/>
  <c r="J37" i="4"/>
  <c r="J43" i="4" s="1"/>
  <c r="G15" i="2"/>
  <c r="G20" i="2" s="1"/>
  <c r="D29" i="2"/>
  <c r="D30" i="2" s="1"/>
  <c r="G25" i="2"/>
  <c r="J28" i="2" l="1"/>
  <c r="L28" i="2" s="1"/>
  <c r="J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ELIECER LADINO VILLADA</author>
  </authors>
  <commentList>
    <comment ref="E13" authorId="0" shapeId="0" xr:uid="{00000000-0006-0000-0100-000001000000}">
      <text>
        <r>
          <rPr>
            <b/>
            <sz val="9"/>
            <color indexed="81"/>
            <rFont val="Tahoma"/>
            <family val="2"/>
          </rPr>
          <t>ELIECER LADINO VILLADA:</t>
        </r>
        <r>
          <rPr>
            <sz val="9"/>
            <color indexed="81"/>
            <rFont val="Tahoma"/>
            <family val="2"/>
          </rPr>
          <t xml:space="preserve">
excavando 0,5 m en el area me daría 835 m3 en banco, por lo que con el factor se me convierten en 1086 m3
</t>
        </r>
      </text>
    </comment>
    <comment ref="F14" authorId="0" shapeId="0" xr:uid="{00000000-0006-0000-0100-000002000000}">
      <text>
        <r>
          <rPr>
            <b/>
            <sz val="9"/>
            <color indexed="81"/>
            <rFont val="Tahoma"/>
            <family val="2"/>
          </rPr>
          <t>ELIECER LADINO VILLADA:</t>
        </r>
        <r>
          <rPr>
            <sz val="9"/>
            <color indexed="81"/>
            <rFont val="Tahoma"/>
            <family val="2"/>
          </rPr>
          <t xml:space="preserve">
TENER EN CUENTA LOS 90 M2 DE LA BAHÍA</t>
        </r>
      </text>
    </comment>
    <comment ref="F19" authorId="0" shapeId="0" xr:uid="{00000000-0006-0000-0100-000003000000}">
      <text>
        <r>
          <rPr>
            <b/>
            <sz val="9"/>
            <color indexed="81"/>
            <rFont val="Tahoma"/>
            <family val="2"/>
          </rPr>
          <t>ELIECER LADINO VILLADA:</t>
        </r>
        <r>
          <rPr>
            <sz val="9"/>
            <color indexed="81"/>
            <rFont val="Tahoma"/>
            <family val="2"/>
          </rPr>
          <t xml:space="preserve">
corroborar con Luz Marina</t>
        </r>
      </text>
    </comment>
    <comment ref="E20" authorId="0" shapeId="0" xr:uid="{00000000-0006-0000-0100-000004000000}">
      <text>
        <r>
          <rPr>
            <b/>
            <sz val="9"/>
            <color indexed="81"/>
            <rFont val="Tahoma"/>
            <family val="2"/>
          </rPr>
          <t>ELIECER LADINO VILLADA:</t>
        </r>
        <r>
          <rPr>
            <sz val="9"/>
            <color indexed="81"/>
            <rFont val="Tahoma"/>
            <family val="2"/>
          </rPr>
          <t xml:space="preserve">
corresponde al area del gramoquin</t>
        </r>
      </text>
    </comment>
    <comment ref="F22" authorId="0" shapeId="0" xr:uid="{00000000-0006-0000-0100-000005000000}">
      <text>
        <r>
          <rPr>
            <b/>
            <sz val="9"/>
            <color indexed="81"/>
            <rFont val="Tahoma"/>
            <family val="2"/>
          </rPr>
          <t>ELIECER LADINO VILLADA:</t>
        </r>
        <r>
          <rPr>
            <sz val="9"/>
            <color indexed="81"/>
            <rFont val="Tahoma"/>
            <family val="2"/>
          </rPr>
          <t xml:space="preserve">
INCLUYE ZONA PARQUEO VIA ACCESO</t>
        </r>
      </text>
    </comment>
    <comment ref="E23" authorId="0" shapeId="0" xr:uid="{00000000-0006-0000-0100-000006000000}">
      <text>
        <r>
          <rPr>
            <b/>
            <sz val="9"/>
            <color indexed="81"/>
            <rFont val="Tahoma"/>
            <family val="2"/>
          </rPr>
          <t>ELIECER LADINO VILLADA:</t>
        </r>
        <r>
          <rPr>
            <sz val="9"/>
            <color indexed="81"/>
            <rFont val="Tahoma"/>
            <family val="2"/>
          </rPr>
          <t xml:space="preserve">
2 pompeyanos c/u de 4*4</t>
        </r>
      </text>
    </comment>
    <comment ref="F23" authorId="0" shapeId="0" xr:uid="{00000000-0006-0000-0100-000007000000}">
      <text>
        <r>
          <rPr>
            <b/>
            <sz val="9"/>
            <color indexed="81"/>
            <rFont val="Tahoma"/>
            <family val="2"/>
          </rPr>
          <t>ELIECER LADINO VILLADA:</t>
        </r>
        <r>
          <rPr>
            <sz val="9"/>
            <color indexed="81"/>
            <rFont val="Tahoma"/>
            <family val="2"/>
          </rPr>
          <t xml:space="preserve">
revisar con Luz</t>
        </r>
      </text>
    </comment>
    <comment ref="F25" authorId="0" shapeId="0" xr:uid="{00000000-0006-0000-0100-000008000000}">
      <text>
        <r>
          <rPr>
            <b/>
            <sz val="9"/>
            <color indexed="81"/>
            <rFont val="Tahoma"/>
            <family val="2"/>
          </rPr>
          <t>ELIECER LADINO VILLADA:</t>
        </r>
        <r>
          <rPr>
            <sz val="9"/>
            <color indexed="81"/>
            <rFont val="Tahoma"/>
            <family val="2"/>
          </rPr>
          <t xml:space="preserve">
la distancia maxima Findeter</t>
        </r>
      </text>
    </comment>
    <comment ref="E30" authorId="0" shapeId="0" xr:uid="{00000000-0006-0000-0100-000009000000}">
      <text>
        <r>
          <rPr>
            <b/>
            <sz val="9"/>
            <color indexed="81"/>
            <rFont val="Tahoma"/>
            <family val="2"/>
          </rPr>
          <t>ELIECER LADINO VILLADA:</t>
        </r>
        <r>
          <rPr>
            <sz val="9"/>
            <color indexed="81"/>
            <rFont val="Tahoma"/>
            <family val="2"/>
          </rPr>
          <t xml:space="preserve">
Para los 41 parqueaderos</t>
        </r>
      </text>
    </comment>
  </commentList>
</comments>
</file>

<file path=xl/sharedStrings.xml><?xml version="1.0" encoding="utf-8"?>
<sst xmlns="http://schemas.openxmlformats.org/spreadsheetml/2006/main" count="626" uniqueCount="259">
  <si>
    <t>PRESUPUESTO FASE 4 COLEGIO RODRIGO LARA BONILLA</t>
  </si>
  <si>
    <t>ÍTEM</t>
  </si>
  <si>
    <t>DESCRIPCIÓN</t>
  </si>
  <si>
    <t>UND</t>
  </si>
  <si>
    <t>CANTIDAD</t>
  </si>
  <si>
    <t>VR. UNITARIO</t>
  </si>
  <si>
    <t>VR. TOTAL</t>
  </si>
  <si>
    <t>PARQUEADERO</t>
  </si>
  <si>
    <t>ESPACIO PÚBLICO</t>
  </si>
  <si>
    <t>MEJORAMIENTO</t>
  </si>
  <si>
    <t>OBSERVACIONES Y/O ACLARACIONES</t>
  </si>
  <si>
    <t>VERIFICACIÓN DE CANTIDADES</t>
  </si>
  <si>
    <t>PARQUEADERO GENERAL GRAMOQUIN</t>
  </si>
  <si>
    <t>M2</t>
  </si>
  <si>
    <t>Se realizó ajuste de 600 a 525 reduciendo preescolar y bloque A</t>
  </si>
  <si>
    <t>PARQUEADERO GENERAL COLEGIO ADOQUIN VEHICULAR</t>
  </si>
  <si>
    <t>PLAZOLETA ACCESO ESTUDIANTES ADOQUIN PEATONAL</t>
  </si>
  <si>
    <t>PUERTA ACCESO PARQUEADERO</t>
  </si>
  <si>
    <t>UN</t>
  </si>
  <si>
    <t>PUERTA ACCESO PEATONAL</t>
  </si>
  <si>
    <t>PERSIANA ADICIONAL CULATAS AULA MULTIPLE</t>
  </si>
  <si>
    <t>REJA METALICA SOBRE MURO DE CONTENCIÓN PREESOLAR COCINA</t>
  </si>
  <si>
    <t>DESMONTE LAMPARAS EXISTENTE CONTRA RAMPA EXISTENTE</t>
  </si>
  <si>
    <t>PASAMANOS SEGUNDO Y TERCER PISO ZONA A</t>
  </si>
  <si>
    <t>ML</t>
  </si>
  <si>
    <t>REJA ZONA CILINDROS DE GAS Y CUBIERTA</t>
  </si>
  <si>
    <t xml:space="preserve">CAÑUELA DESAGUE </t>
  </si>
  <si>
    <t>TIERRA ABONADA Y SEMILLA DE GRAMA</t>
  </si>
  <si>
    <t>EXCAVACIÓN MECANICA PARQUEADERO</t>
  </si>
  <si>
    <t>M3</t>
  </si>
  <si>
    <t>RELLENO SUBBASE GRANULAR PARQUEADERO</t>
  </si>
  <si>
    <t>REPLANTEO Y NIVELACIÓN TOPOGRAFICA</t>
  </si>
  <si>
    <t>54% CORRESPONDE A ESPACIO PUBLICO</t>
  </si>
  <si>
    <t>SARDINEL EN CONCRETO</t>
  </si>
  <si>
    <t>VIGA DE CONFINAMIENTO ADOQUINES</t>
  </si>
  <si>
    <t>CONCRETO ACCESO PARQUEADERO</t>
  </si>
  <si>
    <t>POMPEYANO EN ACCESO PARQUEADERO</t>
  </si>
  <si>
    <t>CONCEPTO SUELISTA LABORATORIO PARQUEADERO</t>
  </si>
  <si>
    <t>GB</t>
  </si>
  <si>
    <t>DISEÑO ELECTRICO ILUMINACIÓN PARQUEADEROS</t>
  </si>
  <si>
    <t>ILUMINACION PARQUEADEROS POSTES LUMINARIAS</t>
  </si>
  <si>
    <t>INCLUYE DISEÑO Y TRÁMITE DE CERTIFICACIONES COMO RETIE Y RETILAP</t>
  </si>
  <si>
    <t>ACOMETIDA ELECTRICA PARQUEADEROS</t>
  </si>
  <si>
    <t>DESAGUES PARQUEADERO TUBERIA 8"</t>
  </si>
  <si>
    <t>CONTENEDOR DE RAICES</t>
  </si>
  <si>
    <t>CERTIFICADO RETILAP</t>
  </si>
  <si>
    <t>CAJAS DE INSPECCIÓN 100*100</t>
  </si>
  <si>
    <t>ARENA TAPE TUBERÍA</t>
  </si>
  <si>
    <t>ARBOLES ORNAMENTALES</t>
  </si>
  <si>
    <t>CARCAMO PARQUEADERO</t>
  </si>
  <si>
    <t>TOPELLANTAS EN CONCRETO</t>
  </si>
  <si>
    <t xml:space="preserve">PINTURA  PARA EXTERIORES TIPO KORAZA O EQUIVALENTE TRES MANOS </t>
  </si>
  <si>
    <t>INCLUYE RESANES EN MUROS, DILATACIONES, REPARACIONES, SUMINISTRO Y EJECUCIÓN SEGÚN COLORES DEL COLEGIO</t>
  </si>
  <si>
    <t xml:space="preserve">PINTURA ACRILICA TIPO KORAZA O EQUIVALENTE - MUROS A 3 MANOS </t>
  </si>
  <si>
    <t>CERRAMIENTO</t>
  </si>
  <si>
    <t>ELECTRICIDAD AULA TERCER PISO</t>
  </si>
  <si>
    <t>GRAMOQUIN BLOQUE A</t>
  </si>
  <si>
    <t>DESMONTE SUPERBOARD COLUMNA COSTADO NORTE ZONA A</t>
  </si>
  <si>
    <t>SUMINISTRO E INSTALACIÓN BARANDAS FALTANTES</t>
  </si>
  <si>
    <t>VALOR TOTAL COSTOS DIRECTOS</t>
  </si>
  <si>
    <t>VALOR TOTAL COSTOS INDIRECTOS</t>
  </si>
  <si>
    <t>ADMINISTRACIÓN</t>
  </si>
  <si>
    <t>IMPREVISTOS</t>
  </si>
  <si>
    <t>UTILIDAD</t>
  </si>
  <si>
    <t>IVA 19% SOBRE UTILIDAD</t>
  </si>
  <si>
    <t>VR./M2</t>
  </si>
  <si>
    <t>1. ETAPA I. REVISIÓN, AJUSTE Y COMLEMENTACIÓN DE LA CONSTRUCCIÓN Y PUESTA EN FUNCIONAMIENTO DE LOS PARQUEADEROS, ESPACIO PÚBLICO Y MEJORAMIENTO DEL COLEGIO RODRIGO LARA BONILLA, EN EL MUNICIPIO DE NEIVA, DEPARTAMENTO DE HUILA</t>
  </si>
  <si>
    <t>DESCRIPCIÓN 
(Corresponde a los ítems o productos relacionados en el contrato)</t>
  </si>
  <si>
    <t>UNIDAD</t>
  </si>
  <si>
    <t>A</t>
  </si>
  <si>
    <t>VALOR DIRECTO</t>
  </si>
  <si>
    <t>REVISIÓN, AJUSTES Y/O COMPLEMENTACIÓN A ESTUDIOS Y DISEÑOS</t>
  </si>
  <si>
    <t>2. ETAPA II. CONSTRUCCIÓN Y PUESTA EN FUNCIONAMIENTO DE LOS PARQUEADEROS, ESPACIO PÚBLICO Y MEJORAMIENTO DEL COLEGIO RODRIGO LARA BONILLA, EN EL MUNICIPIO DE NEIVA, DEPARTAMENTO DE HUILA</t>
  </si>
  <si>
    <t>PRECIOS UNITARIOS</t>
  </si>
  <si>
    <t>VALOR TOTAL</t>
  </si>
  <si>
    <t>VALOR DIRECTO OBRA</t>
  </si>
  <si>
    <t>ESPACIO PÚBLICO (incluye circulaciones peatonales, área de reducción de velocidad)</t>
  </si>
  <si>
    <t>m2</t>
  </si>
  <si>
    <t>PARQUEADERO (incluye parqueadero, circulación peatonal, zonas verdes, cerramiento)</t>
  </si>
  <si>
    <t>ACTIVIDADES DE MEJORAMIENTO DE LA INFRAESTRUCTURA EXISTENTE</t>
  </si>
  <si>
    <t> B</t>
  </si>
  <si>
    <t xml:space="preserve">VALOR COSTOS INDIRECTOS </t>
  </si>
  <si>
    <t>Administración</t>
  </si>
  <si>
    <t xml:space="preserve">Imprevistos </t>
  </si>
  <si>
    <t>Utilidad</t>
  </si>
  <si>
    <t>Valor  IVA sobre la utilidad</t>
  </si>
  <si>
    <t xml:space="preserve"> VALOR TOTAL DE OBRA (A+B)</t>
  </si>
  <si>
    <t>PROYECTO</t>
  </si>
  <si>
    <t>ITEM</t>
  </si>
  <si>
    <t>DESCRIPCIÓN DE LA ETAPA</t>
  </si>
  <si>
    <t>VALOR POR ETAPA</t>
  </si>
  <si>
    <t>INTERVENTORÍA</t>
  </si>
  <si>
    <t>RECURSOS TOTALES</t>
  </si>
  <si>
    <t>DISPONIBLES</t>
  </si>
  <si>
    <t>EJECUCIÓN DE REVISIÓN, AJUSTE Y COMPLEMENTACIÓN A ESTUDIOS, DISEÑOS Y CONSTRUCCIÓN Y PUESTA EN FUNCIONAMIENTO DE LOS PARQUEADEROS, ESPACIO PÚBLICO Y MEJORAMIENTO DEL COLEGIO RODRIGO LARA BONILLA, EN EL MUNICIPIO DE NEIVA, DEPARTAMENTO DE HUILA</t>
  </si>
  <si>
    <r>
      <t>ETAPA I:</t>
    </r>
    <r>
      <rPr>
        <sz val="10"/>
        <color theme="1"/>
        <rFont val="Arial Narrow"/>
        <family val="2"/>
      </rPr>
      <t xml:space="preserve"> Revisión, ajustes y complementación de Estudios y diseños.</t>
    </r>
  </si>
  <si>
    <r>
      <t xml:space="preserve">ETAPA II: </t>
    </r>
    <r>
      <rPr>
        <sz val="10"/>
        <color theme="1"/>
        <rFont val="Arial Narrow"/>
        <family val="2"/>
      </rPr>
      <t>Ejecución de obra</t>
    </r>
  </si>
  <si>
    <t>TOTAL DEL PROYECTO</t>
  </si>
  <si>
    <t>VALOR TOTAL DEL PROYECTO (A+B)</t>
  </si>
  <si>
    <t>Valor Mínimo de la Etapa</t>
  </si>
  <si>
    <t>Valor Máximo de la Etapa</t>
  </si>
  <si>
    <t>VALOR TOTAL OBRA E INTERV.</t>
  </si>
  <si>
    <r>
      <t>ETAPA I:</t>
    </r>
    <r>
      <rPr>
        <sz val="10"/>
        <color theme="1"/>
        <rFont val="Arial Narrow"/>
        <family val="2"/>
      </rPr>
      <t xml:space="preserve"> Revisión, ajustes y complementación de Estudios y diseños. (Incluye IVA 19%)</t>
    </r>
  </si>
  <si>
    <r>
      <t xml:space="preserve">Hasta la suma de  $  </t>
    </r>
    <r>
      <rPr>
        <sz val="9"/>
        <color rgb="FFFF0000"/>
        <rFont val="Arial Narrow"/>
        <family val="2"/>
      </rPr>
      <t>39.955.380</t>
    </r>
  </si>
  <si>
    <r>
      <t xml:space="preserve">ETAPA II: </t>
    </r>
    <r>
      <rPr>
        <sz val="10"/>
        <color theme="1"/>
        <rFont val="Arial Narrow"/>
        <family val="2"/>
      </rPr>
      <t>Ejecución de obra (Incluye IVA sobre utilidad y A.I.U)</t>
    </r>
  </si>
  <si>
    <t>TOTAL PRESUPUESTO ESTIMADO–PE</t>
  </si>
  <si>
    <t xml:space="preserve"> (Etapa I + Etapa II)</t>
  </si>
  <si>
    <t>ÁREA</t>
  </si>
  <si>
    <r>
      <t xml:space="preserve">Hasta la suma de  $  </t>
    </r>
    <r>
      <rPr>
        <sz val="9"/>
        <color rgb="FFFF0000"/>
        <rFont val="Arial Narrow"/>
        <family val="2"/>
      </rPr>
      <t>1.311.180.234</t>
    </r>
  </si>
  <si>
    <t>Hasta la suma de $  1.351.135614</t>
  </si>
  <si>
    <t>GOB RDA</t>
  </si>
  <si>
    <t>ADOQUIN VEHICULAR EN CONCRETO</t>
  </si>
  <si>
    <t>PARQUEADERO GENERAL COLEGIO ADOQUIN VEHICULAR EN CONCRETO</t>
  </si>
  <si>
    <t>ADOQUIN CONCRETO ECOLÓGICO -GRAMOQUIN</t>
  </si>
  <si>
    <t>CAÑUELA EN CONCRETO DE 20,7 Mpa E=0,10: H=0,40 A= 0,30 M SIN TAPA</t>
  </si>
  <si>
    <t>RDA</t>
  </si>
  <si>
    <t>CALI</t>
  </si>
  <si>
    <t>EL MERO SUMINISTRO E INSTALACIÓN SUPERA LOS 52800 M3</t>
  </si>
  <si>
    <t>INCLUYE DISPOSICIÓN</t>
  </si>
  <si>
    <t>A COMO EL MATERIAL Y DISTANCIA DE ACARREO (RDA M3 A 56000)</t>
  </si>
  <si>
    <t xml:space="preserve">SARDINEL EN CONCRETO DE 20,7 Mpa  0,03 M3/ML </t>
  </si>
  <si>
    <t>LOCALIZACIÓN, REPLANTEO Y NIVELACIÓN TOPOGRAFICA</t>
  </si>
  <si>
    <t>PRESUPUESTO FASE 4 COLEGIO RODRIGO LARA BONILLA-PARQUEADERO</t>
  </si>
  <si>
    <t>CALI 2016</t>
  </si>
  <si>
    <t>EMPRADIZACIÓN CON PRDO TRENZA</t>
  </si>
  <si>
    <t>INVIAS</t>
  </si>
  <si>
    <t>INSTALACIÓN DE ACOMETIDA ELECTRICA PARQUEADEROS</t>
  </si>
  <si>
    <t>NO TENGO CONTRA QUE COMPARAR</t>
  </si>
  <si>
    <t>PUERTA ACCESO PARQUEADERO METALICA  ACCESO PARQUEADERO VEHICULAR IGUAL A LA EXISTENTE DE 6,00 * 3,00 MTS FABRICADA EN TUBO REDONDO AN 3 MM DE ESPESOR, 4" DIAMETRO Y VERTICALES EN TUBERIA RECTANGULAR DE 22 * 1 " CALIBRE 18  GUIA EN ANGULO DE 1 1/2" *3/16" Y PINTADA EN ANTICORROSIVO Y ESMALTE ROJO</t>
  </si>
  <si>
    <t>invias a $ 81,000 a 1 Km, a 8Km saldría a $93,150</t>
  </si>
  <si>
    <t>$14200 m3,  botando a 1 Km. Si lo boto a 5 Km me cuesta $21.150</t>
  </si>
  <si>
    <t>SARDINEL PREFABRICADO EN CONCRETO, INCLUYE LA PREPARACIÓN DE LA SUPERFICIE DE APOYO</t>
  </si>
  <si>
    <t>LOS CONCRETOS GENERALMENTE SE PAGAN POR M3, EL PRECIO ESTA POR ENCIMA DEL PROMEDIO</t>
  </si>
  <si>
    <t>estaría acorde y que la diferencia es que tiene doble malla</t>
  </si>
  <si>
    <t>CONCRETO ACCESO PARQUEADERO MR = 4.1MPA - ZONA DE DESACELERACIÓN ESPESOR 0,15 M; INCLUYE MALLA ELECTROSOLDADA</t>
  </si>
  <si>
    <t>ILUMINACION PARQUEADEROS INCLUYE LUMINARIAS Y POSTES DE H= 4 M</t>
  </si>
  <si>
    <t>el costo lo representa el M de tubo</t>
  </si>
  <si>
    <t>FINDETER SIN TAPA $297,000</t>
  </si>
  <si>
    <t>SUMINISTRO E INSTALACIÓN DE ARENA PARA TAPE-TUBERÍA</t>
  </si>
  <si>
    <t>ESTA OK</t>
  </si>
  <si>
    <t>SE REQUIERE LA ESPECIFICACIÓN (TIPO FOTO)</t>
  </si>
  <si>
    <t>TOPELLANTAS EN CONCRETO DE 0,15*0,15*0,40</t>
  </si>
  <si>
    <t>CERRAMIENTO PERIMETRAL CON VIGA CORRIDA DE 0,20*0,40 Y ZAPATAS, INCLUYE ORNAMENTACIÓN</t>
  </si>
  <si>
    <t>POMPEYANO EN CONCRETO EN ACCESO PARQUEADERO ZONA DE DESACELERCIÓN, INCLUYE DOBLE MALLA ELECTROSOLDADA. 2 UNIDADES DE DIMENSIONES DE 4*4</t>
  </si>
  <si>
    <t>VIGAS DE CONFINAMIENTO (ZONA DE GRAMOQUIN Y ADOQUIN)</t>
  </si>
  <si>
    <t>EXCAVACIÓN MECANICA PARQUEADERO INCLUYE CARGUE, TRANSPORTE, Y DISPOSICIÓN FINAL (H =0,50 M)</t>
  </si>
  <si>
    <t xml:space="preserve">IDU </t>
  </si>
  <si>
    <t>GRAMOQUIN PARQUEADERO GENERAL COLEGIO INCLUYE TODOS LOS INSUMOS PARA SU INSTALACIÓN ARENA DE NIVELACIÓN Y ARENA DE SELLO</t>
  </si>
  <si>
    <t>ADOQUIN VEHICULAR DE 0,2*0,1*0,06 EN CONCRETO PARA EL PARQUEADERO DEL COLEGIO, INCLUYE TODOS LOS INSUMOS PARA SU INSTALACIÓN, INCLUYE ARENA DE NIVELACIÓN Y ARENA DE SELLO</t>
  </si>
  <si>
    <t xml:space="preserve">CAÑUELA DESAGUE EN CONCRETO DE 20,7 MPA INCLUYE TODOS LOS INSUMOS PARA SU INSTALACIÓN </t>
  </si>
  <si>
    <t>SUMINISTRO E INSTALACIÓN DE TIERRA ABONADA Y SEMILLA DE GRAMA ZONA DE GRAMOQUIN</t>
  </si>
  <si>
    <t>IDU</t>
  </si>
  <si>
    <t>CAÑUELA PREFABRICADA A 120</t>
  </si>
  <si>
    <t>idu a 62,000</t>
  </si>
  <si>
    <t>idu a 60,100</t>
  </si>
  <si>
    <t>????</t>
  </si>
  <si>
    <t>IDU depoendiendo del RDE el costo varía desde  $57,000 ml hasta $102,000</t>
  </si>
  <si>
    <t xml:space="preserve">SUMINISTRO E INSTALACIÓN DE DESAGUES PARQUEADERO TUBERIA PVC 8" PARED ESTRUCTURAL </t>
  </si>
  <si>
    <t>el valor Anotado de $4,371 lo traje de los precios Findeter de otro proyecto</t>
  </si>
  <si>
    <t xml:space="preserve">
Lista oficial de precios unitarios fijos de Obra Pública y de ...www.datos.gov.co </t>
  </si>
  <si>
    <t>CAJA DE INSPECCIÓN DE 1,00x1,00x1,00m, EN CONCRETO DE 17,2MPA; TAPA REFORZADA EN CONCRETO DE 20,7 MPA, PARA AGUAS LLUVIAS</t>
  </si>
  <si>
    <t>Area efectiva parqueaderos</t>
  </si>
  <si>
    <t>Area zonas verdes</t>
  </si>
  <si>
    <t>Area de acceso o salida parqueaderos</t>
  </si>
  <si>
    <t>Area de anden en parqueaderos</t>
  </si>
  <si>
    <t>Longitud cerramiento (m)</t>
  </si>
  <si>
    <t>Cantidades Medidas en Planos</t>
  </si>
  <si>
    <t>3.1.</t>
  </si>
  <si>
    <t>sardinel</t>
  </si>
  <si>
    <t>area concreto acceso</t>
  </si>
  <si>
    <t>(a lo largo)</t>
  </si>
  <si>
    <t>ancho</t>
  </si>
  <si>
    <t>linea exterior parqueadero</t>
  </si>
  <si>
    <t>linea interiro sin parqueo</t>
  </si>
  <si>
    <t>vigas de confinamiento</t>
  </si>
  <si>
    <t>viga perimetral zona parqueaderos</t>
  </si>
  <si>
    <t>CARCAMO PREFABRICADO EN CONCRETO PARQUEADERO  35*40*100, INCLUYE REJILLA EN CONCRETO INCLUYE EXCAVACIÓN</t>
  </si>
  <si>
    <t>PAISAJISMO-ZONAS VERDES</t>
  </si>
  <si>
    <t>VR.UNITARIO 
2021
INCREMENTO CON IPC</t>
  </si>
  <si>
    <t>VR. TOTAL 
2021</t>
  </si>
  <si>
    <t>VR. TOTAL
2021</t>
  </si>
  <si>
    <t>Cantidad inicial</t>
  </si>
  <si>
    <t>Cantidad según planos</t>
  </si>
  <si>
    <t>VR. UNITARIO
Inicial</t>
  </si>
  <si>
    <t>VR. TOTAL
Inicial</t>
  </si>
  <si>
    <t>CANTIDAD
INICIAL</t>
  </si>
  <si>
    <t xml:space="preserve">RECUBRIMIENTO DE COLUMNA EN MAMPOSTERÍA </t>
  </si>
  <si>
    <t>REPLANTEO Y LOCALIZACIÓN TOPOGRAFICA</t>
  </si>
  <si>
    <t>EXCAVACIÓN MANUAL, NIVELACIÓN Y COMPACTACIÓN CON MATERIAL DE SUBBASE</t>
  </si>
  <si>
    <t xml:space="preserve">DESMONTE SUPERBOARD COLUMNA COSTADO NORTE ZONA A </t>
  </si>
  <si>
    <t>SUMINISTRO E INSTALACIÓN DE MAMPOSTERIA H:2 M</t>
  </si>
  <si>
    <t>PRECIO UNITARIO</t>
  </si>
  <si>
    <t>H: aprox. 0,15 cm</t>
  </si>
  <si>
    <t>ACCESO ESTUDIANTES CIRCULACIÓN CONCRETO ESCOBIADO E=0,15M INCLUYE ACERO DE REFUERZO Y DILATACIÓN</t>
  </si>
  <si>
    <t>ILUMINACION ZONA DE ACCESO INCLUYE POSTES (CON BASE), LUMINARIAS Y RED DE CONEXIÓN</t>
  </si>
  <si>
    <t>ASEO Y LIMPIEZA</t>
  </si>
  <si>
    <t>GL</t>
  </si>
  <si>
    <t>SUBBASE GRANULAR COMPACTADA PARQUEADERO 0,35 M</t>
  </si>
  <si>
    <t xml:space="preserve">ANDEN PEATONAL CONCRETO ESCOBIADO E=0,15M INCLUYE ACERO DE REFUERZO </t>
  </si>
  <si>
    <t>LAMINA MICROPERFORADA CERRAMIENTO</t>
  </si>
  <si>
    <t xml:space="preserve">PAÑETE </t>
  </si>
  <si>
    <t>PINTURA</t>
  </si>
  <si>
    <t>GUARDAESCOBAS</t>
  </si>
  <si>
    <t>DESMONTE DE BEBEDEROS</t>
  </si>
  <si>
    <t>MOBILIARIO (CANECAS)</t>
  </si>
  <si>
    <t>INSTALACIÓN DE BEBEDEROS</t>
  </si>
  <si>
    <t>MOBILIARIO (BANCA)</t>
  </si>
  <si>
    <t>AREA BAHIA</t>
  </si>
  <si>
    <t>B.</t>
  </si>
  <si>
    <t xml:space="preserve">VALOR DE LA ETAPA SIN IVA </t>
  </si>
  <si>
    <t>B</t>
  </si>
  <si>
    <t>C</t>
  </si>
  <si>
    <t>VALOR DEL TOTAL DE LA PROPUESTA (A+B)</t>
  </si>
  <si>
    <t>INTERVENTORÍA INTEGRAL (ADMINISTRATIVA, FINANCIERA, CONTABLE, AMBIENTAL, SOCIAL, JURÍDICA Y TÉCNICA) A LA REVISIÓN, AJUSTE Y COMPLEMENTACIÓN DE ESTUDIOS, DISEÑOS Y CONSTRUCCIÓN DEL ACCESO (INCLUYE PARQUEADERO) Y OBRAS DE REHABILITACIÓN DE LAS ÁREAS DE CIRCULACIÓN INTERNAS DEL BLOQUE A DEL COLEGIO RODRIGO LARA BONILLA EN EL MUNICIPIO DE NEIVA, DEPARTAMENTO DEL HUILA</t>
  </si>
  <si>
    <t xml:space="preserve">FUENTE DE RECURSOS </t>
  </si>
  <si>
    <t xml:space="preserve">VALOR DISPONIBLE </t>
  </si>
  <si>
    <t>Recursos sin comprometer de la contrapartida del Mpio de Neiva</t>
  </si>
  <si>
    <t>Saldo a favor del Patrimonio conforme acta de liquidación PAF-EUC-O-047-2017 (Contrato de obra de la Fase 3 del Colegio Rodrigo Lara Bonilla)</t>
  </si>
  <si>
    <t>Recursos Liberados por concepto de aplicación Clausula Penal de apremio PAF-EUC-018-2015 (Contrato de obra Etapa 3 del Colegio Rodrigo Lara Bonilla</t>
  </si>
  <si>
    <t>Contrato de obra Fase IV</t>
  </si>
  <si>
    <t>Contrato de Inverventoría Fase IV</t>
  </si>
  <si>
    <t>VALOR</t>
  </si>
  <si>
    <t>VALOR TOTAL REQUERIDO FASE IV</t>
  </si>
  <si>
    <t>VALOR A UTILIZAR</t>
  </si>
  <si>
    <t>VALOR TOTAL A UTILIZAR FASE IV</t>
  </si>
  <si>
    <t>VALOR REQUERIDO </t>
  </si>
  <si>
    <t>FUENTE DE RECURSOS</t>
  </si>
  <si>
    <t>TOTAL</t>
  </si>
  <si>
    <t>MUNICIPIO DE NEIVA</t>
  </si>
  <si>
    <t>Clausula Penal contrato PAF-EUC-018-2015</t>
  </si>
  <si>
    <t xml:space="preserve">saldo liberado en la liquidación contrato PAF-EUC-O-047-2017 </t>
  </si>
  <si>
    <t>Contrato de Interventoría Fase IV</t>
  </si>
  <si>
    <t>VALOR TOTAL REQUERIDO PARA FASE IV</t>
  </si>
  <si>
    <t>VALOR DEL IVA ETAPA 1 (19 %)</t>
  </si>
  <si>
    <t>COSTO TOTAL OBRA (VALOR DIRECTO OBRA + VALOR COSTOS INDIRECTOS)</t>
  </si>
  <si>
    <t xml:space="preserve"> VALOR TOTAL DE LA OFERTA ECONOMICA (A+B)</t>
  </si>
  <si>
    <r>
      <t xml:space="preserve">  ETAPA I:</t>
    </r>
    <r>
      <rPr>
        <sz val="9"/>
        <color rgb="FF000000"/>
        <rFont val="Arial Narrow"/>
        <family val="2"/>
      </rPr>
      <t xml:space="preserve"> INTERVENTORÍA REVISIÓN, AJUSTE Y COMPLEMENTACIÓN A LOS ESTUDIOS Y DISEÑOS, OBTENCIÓN DE LICENCIAS Y PERMISOS</t>
    </r>
  </si>
  <si>
    <r>
      <t xml:space="preserve">ETAPA II: </t>
    </r>
    <r>
      <rPr>
        <sz val="9"/>
        <color rgb="FF000000"/>
        <rFont val="Arial Narrow"/>
        <family val="2"/>
      </rPr>
      <t>INTERVENTORÍA A LA CONSTRUCCIÓN, PUESTA EN FUNCIONAMIENTO Y PROCESO DE CIERRE CONTRACTUAL</t>
    </r>
  </si>
  <si>
    <t>VALOR IVA (19%)</t>
  </si>
  <si>
    <t>VALOR TOTAL ETAPA</t>
  </si>
  <si>
    <t>Gl</t>
  </si>
  <si>
    <t>1. ETAPA I. ESTUDIOS Y DISEÑOS OBTENCIÓN DE LICENCIA Y PERMISOS</t>
  </si>
  <si>
    <t>ESTUDIOS Y DISEÑOS OBTENCIÓN DE LICENCIA Y PERMISOS (ANTES DE IVA)</t>
  </si>
  <si>
    <t>2. ETAPA II. EJECUCION DE OBRA</t>
  </si>
  <si>
    <t>Zonas Duras (Incluye las especificaciones que se requieran para su adecuado funcionamiento)</t>
  </si>
  <si>
    <t>Zonas Blandas (Incluye las especificaciones que se requieran para su adecuado funcionamiento)</t>
  </si>
  <si>
    <r>
      <t xml:space="preserve">Juegos infantiles (Según recomendaciones mínimas de construcción – incluye los elementos del parque de juegos y espacio motriz </t>
    </r>
    <r>
      <rPr>
        <sz val="9"/>
        <color theme="1"/>
        <rFont val="Arial Narrow"/>
        <family val="2"/>
      </rPr>
      <t>y las demás especificaciones que se requieran para su correcto funcionamiento</t>
    </r>
  </si>
  <si>
    <t>Pérgolas (Incluye las especificaciones que se requieran para su adecuado funcionamiento)</t>
  </si>
  <si>
    <r>
      <t xml:space="preserve">Gimnasio Biosaludable (máquinas + tableros señalizadores) incluye cerramiento perimetral, pintura superficial </t>
    </r>
    <r>
      <rPr>
        <sz val="9"/>
        <color theme="1"/>
        <rFont val="Arial Narrow"/>
        <family val="2"/>
      </rPr>
      <t>y las demás especificaciones que se requieran para su correcto funcionamiento</t>
    </r>
  </si>
  <si>
    <t xml:space="preserve">VALOR TOTAL ETAPA DE  ESTUDIOS Y DISEÑOS, OBTENCIÓN DE PERMISOS LICENCIAS Y PERMISOS REQUERIDOS.  (IVA INCLUIDO) </t>
  </si>
  <si>
    <r>
      <t xml:space="preserve">Para la presentación de la propuesta económica deberá tener en cuenta los siguientes aspectos:
</t>
    </r>
    <r>
      <rPr>
        <b/>
        <u/>
        <sz val="10"/>
        <color theme="1"/>
        <rFont val="Arial Narrow"/>
        <family val="2"/>
      </rPr>
      <t xml:space="preserve">Nota 1: </t>
    </r>
    <r>
      <rPr>
        <sz val="10"/>
        <color theme="1"/>
        <rFont val="Arial Narrow"/>
        <family val="2"/>
      </rPr>
      <t xml:space="preserve">Todos los valores contenidos en la  oferta económica (valor unitario, valor de ítem, valor de etapa o fase, valor del AIU, valor del IVA, valor IVA sobre la utilidad, valor total, valores resultantes de las operaciones aritméticas a que haya lugar, etc.) deberán estar ajustado al peso.
En caso que cualquier valor de la oferta económica (valor unitario, valor de ítem, valor de etapa o fase, valor del AIU, valor del IVA, valor IVA sobre la utilidad, valor total, valores resultantes de las operaciones aritméticas a que haya lugar, etc.) de algún proponente se presente con decimales, la entidad procederá ajustar el valor redondeándolo al peso, cuando la fracción decimal del peso sea igual o superior a cinco lo aproximará por exceso al peso y cuando la fracción decimal del peso sea inferior a cinco lo aproximará por defecto al peso. 
</t>
    </r>
    <r>
      <rPr>
        <b/>
        <u/>
        <sz val="10"/>
        <color theme="1"/>
        <rFont val="Arial Narrow"/>
        <family val="2"/>
      </rPr>
      <t>Nota 2:</t>
    </r>
    <r>
      <rPr>
        <sz val="10"/>
        <color theme="1"/>
        <rFont val="Arial Narrow"/>
        <family val="2"/>
      </rPr>
      <t xml:space="preserve"> En el evento que la propuesta económica no contenga el precio o se haya diligenciado en cero o con algún símbolo, la propuesta será rechazada.
</t>
    </r>
    <r>
      <rPr>
        <b/>
        <u/>
        <sz val="10"/>
        <color theme="1"/>
        <rFont val="Arial Narrow"/>
        <family val="2"/>
      </rPr>
      <t>Nota 3:</t>
    </r>
    <r>
      <rPr>
        <sz val="10"/>
        <color theme="1"/>
        <rFont val="Arial Narrow"/>
        <family val="2"/>
      </rPr>
      <t xml:space="preserve"> 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
</t>
    </r>
    <r>
      <rPr>
        <b/>
        <u/>
        <sz val="10"/>
        <color theme="1"/>
        <rFont val="Arial Narrow"/>
        <family val="2"/>
      </rPr>
      <t>Nota 4:</t>
    </r>
    <r>
      <rPr>
        <sz val="10"/>
        <color theme="1"/>
        <rFont val="Arial Narrow"/>
        <family val="2"/>
      </rPr>
      <t xml:space="preserve"> La Entidad realizará la verificación y corrección de todas las operaciones aritméticas a que haya lugar en la propuesta económica. El resultado de todas las operaciones aritméticas se redondeará al peso en el momento de la evaluación económica.
</t>
    </r>
    <r>
      <rPr>
        <b/>
        <u/>
        <sz val="10"/>
        <color theme="1"/>
        <rFont val="Arial Narrow"/>
        <family val="2"/>
      </rPr>
      <t>Nota 5</t>
    </r>
    <r>
      <rPr>
        <u/>
        <sz val="10"/>
        <color theme="1"/>
        <rFont val="Arial Narrow"/>
        <family val="2"/>
      </rPr>
      <t>:</t>
    </r>
    <r>
      <rPr>
        <sz val="10"/>
        <color theme="1"/>
        <rFont val="Arial Narrow"/>
        <family val="2"/>
      </rPr>
      <t xml:space="preserve"> El AIU deberá ser expresado en porcentaje (%) y deberá consignarlo y discriminarlo en la propuesta económica (administración (a), imprevistos (i) y utilidad (u)) (cuando aplique)
Para los componentes del AIU (administración (a), imprevistos (i) y utilidad (u)) expresados en porcentaje, se podrán incluir hasta máximo dos (2) decimales. En caso que cualquier porcentaje del AIU presente mas de dos (2) decimales, la Entidad procederá a ajustar el porcentaje redondeándolo a la centésima, así: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
</t>
    </r>
    <r>
      <rPr>
        <b/>
        <u/>
        <sz val="10"/>
        <color theme="1"/>
        <rFont val="Arial Narrow"/>
        <family val="2"/>
      </rPr>
      <t>Nota 6:</t>
    </r>
    <r>
      <rPr>
        <sz val="10"/>
        <color theme="1"/>
        <rFont val="Arial Narrow"/>
        <family val="2"/>
      </rPr>
      <t xml:space="preserve"> Revisión del IVA: El oferente debe indicar en su oferta económica la tarifa del IVA aplicable al objeto contractual. En caso de no indicarla o en caso de indicarla en un porcentaje diferente a la tarifa legal, su oferta será rechazada.</t>
    </r>
  </si>
  <si>
    <t>Componente Deportivo (cancha sintética Futbol 5, Cancha Múltiple (Incluye arcos de juegos, malla contra impacto, demarcación y pintura superficial incluye cerramiento total y alumbrado)</t>
  </si>
  <si>
    <t>EJECUCIÓN DE ESTUDIOS, DISEÑOS, CONSTRUCCIÓN Y PUESTA EN FUNCIONAMIENTO DE UN SACUDETE RECREO DEPORTIVO UBICADO EN LA URBANIZACIÓN TIERRA LINDA EN EL MUNICIPIO AGUACHICA, URBANIZACIÓN VILLA AIDETH EN EL MUNICIPIO DE ASTREA, URBANIZACIÓN SARA LUCIA EN EL MUNICIPIO DE CURUMANI Y LA URBANIZACIÓN ALTOS DEL PROGRESO EN EL MUNICIPIO SAN ALBERTO DEPARTAMENTO DEL CESAR”</t>
  </si>
  <si>
    <t>PROYECTO 1. •	SACÚDETE RECREO DEPORTIVO UBICADO EN LA URBANIZACIÓN TIERRA LINDA EN EL MUNICIPIO DE AGUACHICA DEPARTAMENTO DEL CESAR</t>
  </si>
  <si>
    <t>PROYECTO 2. •	SACÚDETE RECREO DEPORTIVO UBICADO EN LA URBANIZACIÓN VILLA AIDETH, EN EL MUNICIPIO DE ASTREA, DEPARTAMENTO DE CESAR</t>
  </si>
  <si>
    <t>Componente Deportivo (pista recreativa patinaje,(Incluye baranda y todas las especificaciones que se requieran para su adecuado funcionamiento) cancha Cancha Múltiple (Incluye arcos de juegos, malla contra impacto, demarcación y pintura superficial incluye cerramiento total y alumbrado)</t>
  </si>
  <si>
    <t>PROYECTO 3. •	SACÚDETE RECREO DEPORTIVO UBICADO EN LA URBANIZACIÓN SARA LUCIA, EN EL MUNICIPIO DE CURUMANI, DEPARTAMENTO DE CESAR</t>
  </si>
  <si>
    <t>PROYECTO 4. •	SACÚDETE RECREO DEPORTIVO UBICADO EN LA URBANIZACIÓN ALTOS DEL PROGRESO, EN EL MUNICIPIO DE SAN ALBERTO, DEPARTAMENTO DE CESAR</t>
  </si>
  <si>
    <t>VALOR TOTAL OFERTA ECONOMICA (PROYECTO 1 + PROYECTO 2 + PROYECTO 3 + PROYECTO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</si>
</sst>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8" formatCode="&quot;$&quot;\ #,##0.00;[Red]\-&quot;$&quot;\ #,##0.00"/>
    <numFmt numFmtId="41" formatCode="_-* #,##0_-;\-* #,##0_-;_-* &quot;-&quot;_-;_-@_-"/>
    <numFmt numFmtId="44" formatCode="_-&quot;$&quot;\ * #,##0.00_-;\-&quot;$&quot;\ * #,##0.00_-;_-&quot;$&quot;\ * &quot;-&quot;??_-;_-@_-"/>
    <numFmt numFmtId="43" formatCode="_-* #,##0.00_-;\-* #,##0.00_-;_-* &quot;-&quot;??_-;_-@_-"/>
    <numFmt numFmtId="164" formatCode="&quot;$&quot;#,##0.00;[Red]\-&quot;$&quot;#,##0.00"/>
    <numFmt numFmtId="165" formatCode="_-&quot;$&quot;* #,##0_-;\-&quot;$&quot;* #,##0_-;_-&quot;$&quot;* &quot;-&quot;_-;_-@_-"/>
    <numFmt numFmtId="166" formatCode="_-&quot;$&quot;* #,##0.00_-;\-&quot;$&quot;* #,##0.00_-;_-&quot;$&quot;* &quot;-&quot;??_-;_-@_-"/>
    <numFmt numFmtId="167" formatCode="_-[$$-240A]\ * #,##0.00_-;\-[$$-240A]\ * #,##0.00_-;_-[$$-240A]\ * &quot;-&quot;??_-;_-@_-"/>
    <numFmt numFmtId="168" formatCode="0.0"/>
    <numFmt numFmtId="169" formatCode="_-* #,##0.00_-;\-* #,##0.00_-;_-* \-??_-;_-@_-"/>
    <numFmt numFmtId="170" formatCode="_ * #,##0.00_ ;_ * \-#,##0.00_ ;_ * \-??_ ;_ @_ "/>
    <numFmt numFmtId="171" formatCode="_ * #,##0_ ;_ * \-#,##0_ ;_ * \-??_ ;_ @_ "/>
    <numFmt numFmtId="172" formatCode="_([$$-240A]\ * #,##0_);_([$$-240A]\ * \(#,##0\);_([$$-240A]\ * &quot;-&quot;??_);_(@_)"/>
    <numFmt numFmtId="173" formatCode="_-* #,##0_-;\-* #,##0_-;_-* &quot;-&quot;??_-;_-@_-"/>
    <numFmt numFmtId="174" formatCode="&quot;$&quot;#,##0"/>
    <numFmt numFmtId="175" formatCode="_-* #,##0.00_-;\-* #,##0.00_-;_-* &quot;-&quot;_-;_-@_-"/>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0"/>
      <color theme="1"/>
      <name val="Arial"/>
      <family val="2"/>
    </font>
    <font>
      <sz val="10"/>
      <name val="Arial"/>
      <family val="2"/>
    </font>
    <font>
      <sz val="10"/>
      <color rgb="FFFF0000"/>
      <name val="Arial"/>
      <family val="2"/>
    </font>
    <font>
      <sz val="11"/>
      <color indexed="8"/>
      <name val="Calibri"/>
      <family val="2"/>
      <charset val="1"/>
    </font>
    <font>
      <sz val="10"/>
      <color indexed="8"/>
      <name val="Arial"/>
      <family val="2"/>
    </font>
    <font>
      <sz val="9"/>
      <color theme="1"/>
      <name val="Arial"/>
      <family val="2"/>
    </font>
    <font>
      <b/>
      <sz val="10"/>
      <color theme="1"/>
      <name val="Calibri"/>
      <family val="2"/>
      <scheme val="minor"/>
    </font>
    <font>
      <sz val="10"/>
      <color theme="1"/>
      <name val="Calibri"/>
      <family val="2"/>
      <scheme val="minor"/>
    </font>
    <font>
      <b/>
      <sz val="10"/>
      <color theme="1"/>
      <name val="Arial Narrow"/>
      <family val="2"/>
    </font>
    <font>
      <b/>
      <sz val="10"/>
      <color indexed="8"/>
      <name val="Arial Narrow"/>
      <family val="2"/>
      <charset val="1"/>
    </font>
    <font>
      <b/>
      <sz val="10"/>
      <color rgb="FF000000"/>
      <name val="Arial Narrow"/>
      <family val="2"/>
    </font>
    <font>
      <sz val="10"/>
      <name val="Arial Narrow"/>
      <family val="2"/>
      <charset val="1"/>
    </font>
    <font>
      <sz val="10"/>
      <color rgb="FF000000"/>
      <name val="Calibri"/>
      <family val="2"/>
      <scheme val="minor"/>
    </font>
    <font>
      <sz val="10"/>
      <name val="Arial Narrow"/>
      <family val="2"/>
    </font>
    <font>
      <sz val="10"/>
      <color rgb="FF000000"/>
      <name val="Arial Narrow"/>
      <family val="2"/>
    </font>
    <font>
      <sz val="10"/>
      <color indexed="8"/>
      <name val="Arial Narrow"/>
      <family val="2"/>
    </font>
    <font>
      <sz val="10"/>
      <color theme="1"/>
      <name val="Century Schoolbook"/>
      <family val="1"/>
    </font>
    <font>
      <sz val="10"/>
      <color theme="1"/>
      <name val="Arial Narrow"/>
      <family val="2"/>
    </font>
    <font>
      <sz val="10"/>
      <color rgb="FFFF0000"/>
      <name val="Arial Narrow"/>
      <family val="2"/>
    </font>
    <font>
      <sz val="9"/>
      <color rgb="FF000000"/>
      <name val="Arial Narrow"/>
      <family val="2"/>
    </font>
    <font>
      <b/>
      <sz val="10"/>
      <color rgb="FFFF0000"/>
      <name val="Arial Narrow"/>
      <family val="2"/>
    </font>
    <font>
      <b/>
      <sz val="9"/>
      <color rgb="FF000000"/>
      <name val="Arial Narrow"/>
      <family val="2"/>
    </font>
    <font>
      <sz val="9"/>
      <color rgb="FFFF0000"/>
      <name val="Arial Narrow"/>
      <family val="2"/>
    </font>
    <font>
      <b/>
      <sz val="10"/>
      <color rgb="FFFF0000"/>
      <name val="Arial"/>
      <family val="2"/>
    </font>
    <font>
      <sz val="9"/>
      <color indexed="81"/>
      <name val="Tahoma"/>
      <family val="2"/>
    </font>
    <font>
      <b/>
      <sz val="9"/>
      <color indexed="81"/>
      <name val="Tahoma"/>
      <family val="2"/>
    </font>
    <font>
      <u/>
      <sz val="10"/>
      <color theme="1"/>
      <name val="Arial"/>
      <family val="2"/>
    </font>
    <font>
      <b/>
      <sz val="9"/>
      <name val="Arial Narrow"/>
      <family val="2"/>
    </font>
    <font>
      <b/>
      <sz val="9"/>
      <color theme="1"/>
      <name val="Arial Narrow"/>
      <family val="2"/>
    </font>
    <font>
      <sz val="9"/>
      <name val="Arial Narrow"/>
      <family val="2"/>
    </font>
    <font>
      <sz val="9"/>
      <color theme="1"/>
      <name val="Arial Narrow"/>
      <family val="2"/>
    </font>
    <font>
      <b/>
      <sz val="8"/>
      <color rgb="FF000000"/>
      <name val="Arial Narrow"/>
      <family val="2"/>
    </font>
    <font>
      <sz val="8"/>
      <color theme="1"/>
      <name val="Arial Narrow"/>
      <family val="2"/>
    </font>
    <font>
      <b/>
      <sz val="8"/>
      <color theme="1"/>
      <name val="Arial Narrow"/>
      <family val="2"/>
    </font>
    <font>
      <u/>
      <sz val="10"/>
      <color theme="1"/>
      <name val="Arial Narrow"/>
      <family val="2"/>
    </font>
    <font>
      <b/>
      <u/>
      <sz val="10"/>
      <color theme="1"/>
      <name val="Arial Narrow"/>
      <family val="2"/>
    </font>
  </fonts>
  <fills count="2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26"/>
      </patternFill>
    </fill>
    <fill>
      <patternFill patternType="solid">
        <fgColor rgb="FFFBE4D5"/>
        <bgColor indexed="64"/>
      </patternFill>
    </fill>
    <fill>
      <patternFill patternType="solid">
        <fgColor theme="0" tint="-4.9989318521683403E-2"/>
        <bgColor indexed="26"/>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FDE9D9"/>
        <bgColor indexed="64"/>
      </patternFill>
    </fill>
    <fill>
      <patternFill patternType="solid">
        <fgColor rgb="FFFFFF00"/>
        <bgColor indexed="64"/>
      </patternFill>
    </fill>
    <fill>
      <patternFill patternType="solid">
        <fgColor theme="6"/>
        <bgColor indexed="64"/>
      </patternFill>
    </fill>
    <fill>
      <patternFill patternType="solid">
        <fgColor theme="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9"/>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thin">
        <color indexed="64"/>
      </right>
      <top style="thin">
        <color indexed="64"/>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7" fillId="0" borderId="0"/>
    <xf numFmtId="169" fontId="7" fillId="0" borderId="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323">
    <xf numFmtId="0" fontId="0" fillId="0" borderId="0" xfId="0"/>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wrapText="1"/>
    </xf>
    <xf numFmtId="0" fontId="4" fillId="0" borderId="1" xfId="0" applyFont="1" applyFill="1" applyBorder="1" applyAlignment="1">
      <alignment horizontal="center"/>
    </xf>
    <xf numFmtId="0" fontId="5" fillId="0" borderId="1" xfId="0" applyFont="1" applyFill="1" applyBorder="1" applyAlignment="1">
      <alignment horizontal="center"/>
    </xf>
    <xf numFmtId="167" fontId="4" fillId="0" borderId="1" xfId="0" applyNumberFormat="1" applyFont="1" applyBorder="1"/>
    <xf numFmtId="1" fontId="4" fillId="2" borderId="1" xfId="0" applyNumberFormat="1" applyFont="1" applyFill="1" applyBorder="1" applyAlignment="1">
      <alignment horizontal="center" vertical="center"/>
    </xf>
    <xf numFmtId="167" fontId="4" fillId="2"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xf>
    <xf numFmtId="167" fontId="4" fillId="3" borderId="1" xfId="0" applyNumberFormat="1" applyFont="1" applyFill="1" applyBorder="1"/>
    <xf numFmtId="1" fontId="4" fillId="4" borderId="1" xfId="0" applyNumberFormat="1" applyFont="1" applyFill="1" applyBorder="1" applyAlignment="1">
      <alignment horizontal="center" vertical="center"/>
    </xf>
    <xf numFmtId="167" fontId="4" fillId="4" borderId="1" xfId="0" applyNumberFormat="1" applyFont="1" applyFill="1" applyBorder="1"/>
    <xf numFmtId="167" fontId="4" fillId="2" borderId="1" xfId="0" applyNumberFormat="1" applyFont="1" applyFill="1" applyBorder="1"/>
    <xf numFmtId="0" fontId="4" fillId="3" borderId="1" xfId="0" applyFont="1" applyFill="1" applyBorder="1" applyAlignment="1">
      <alignment horizontal="center" vertical="center"/>
    </xf>
    <xf numFmtId="167" fontId="5" fillId="0" borderId="1" xfId="0" applyNumberFormat="1" applyFont="1" applyFill="1" applyBorder="1"/>
    <xf numFmtId="167" fontId="5" fillId="2" borderId="1" xfId="0" applyNumberFormat="1" applyFont="1" applyFill="1" applyBorder="1"/>
    <xf numFmtId="167" fontId="5" fillId="3" borderId="1" xfId="0" applyNumberFormat="1" applyFont="1" applyFill="1" applyBorder="1"/>
    <xf numFmtId="167" fontId="5" fillId="4" borderId="1" xfId="0" applyNumberFormat="1" applyFont="1" applyFill="1" applyBorder="1"/>
    <xf numFmtId="0" fontId="4" fillId="5" borderId="1" xfId="0" applyFont="1" applyFill="1" applyBorder="1" applyAlignment="1">
      <alignment horizontal="center" vertical="center"/>
    </xf>
    <xf numFmtId="0" fontId="4" fillId="5" borderId="1" xfId="0" applyFont="1" applyFill="1" applyBorder="1" applyAlignment="1">
      <alignment wrapText="1"/>
    </xf>
    <xf numFmtId="0" fontId="4" fillId="5" borderId="1" xfId="0" applyFont="1" applyFill="1" applyBorder="1" applyAlignment="1">
      <alignment horizontal="center"/>
    </xf>
    <xf numFmtId="0" fontId="5" fillId="5" borderId="1" xfId="0" applyFont="1" applyFill="1" applyBorder="1" applyAlignment="1">
      <alignment horizontal="center"/>
    </xf>
    <xf numFmtId="167" fontId="4" fillId="5" borderId="1" xfId="0" applyNumberFormat="1" applyFont="1" applyFill="1" applyBorder="1"/>
    <xf numFmtId="0" fontId="6" fillId="0" borderId="1" xfId="0" applyFont="1" applyFill="1" applyBorder="1" applyAlignment="1">
      <alignment horizontal="center"/>
    </xf>
    <xf numFmtId="167" fontId="4" fillId="0" borderId="1" xfId="0" applyNumberFormat="1" applyFont="1" applyFill="1" applyBorder="1"/>
    <xf numFmtId="168" fontId="4" fillId="2" borderId="1" xfId="0" applyNumberFormat="1" applyFont="1" applyFill="1" applyBorder="1" applyAlignment="1">
      <alignment horizontal="center" vertical="center"/>
    </xf>
    <xf numFmtId="168" fontId="4" fillId="3" borderId="1" xfId="0" applyNumberFormat="1" applyFont="1" applyFill="1" applyBorder="1" applyAlignment="1">
      <alignment horizontal="center" vertical="center"/>
    </xf>
    <xf numFmtId="168"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167" fontId="4" fillId="0" borderId="1" xfId="0" applyNumberFormat="1" applyFont="1" applyBorder="1" applyAlignment="1">
      <alignment vertical="center"/>
    </xf>
    <xf numFmtId="167" fontId="4" fillId="2" borderId="1" xfId="0" applyNumberFormat="1" applyFont="1" applyFill="1" applyBorder="1" applyAlignment="1">
      <alignment vertical="center"/>
    </xf>
    <xf numFmtId="167" fontId="4" fillId="3" borderId="1" xfId="0" applyNumberFormat="1" applyFont="1" applyFill="1" applyBorder="1" applyAlignment="1">
      <alignment vertical="center"/>
    </xf>
    <xf numFmtId="167" fontId="4" fillId="4" borderId="1" xfId="0" applyNumberFormat="1" applyFont="1" applyFill="1" applyBorder="1" applyAlignment="1">
      <alignment vertical="center"/>
    </xf>
    <xf numFmtId="0" fontId="5" fillId="0" borderId="1" xfId="0" applyFont="1" applyFill="1" applyBorder="1" applyAlignment="1">
      <alignment horizontal="center" vertical="center"/>
    </xf>
    <xf numFmtId="167" fontId="6" fillId="0" borderId="1" xfId="0" applyNumberFormat="1" applyFont="1" applyBorder="1" applyAlignment="1">
      <alignment vertical="center"/>
    </xf>
    <xf numFmtId="167" fontId="6" fillId="2" borderId="1" xfId="0" applyNumberFormat="1" applyFont="1" applyFill="1" applyBorder="1" applyAlignment="1">
      <alignment vertical="center"/>
    </xf>
    <xf numFmtId="167" fontId="6" fillId="3" borderId="1" xfId="0" applyNumberFormat="1" applyFont="1" applyFill="1" applyBorder="1" applyAlignment="1">
      <alignment vertical="center"/>
    </xf>
    <xf numFmtId="167" fontId="6" fillId="4" borderId="1" xfId="0" applyNumberFormat="1" applyFont="1" applyFill="1" applyBorder="1" applyAlignment="1">
      <alignment vertical="center"/>
    </xf>
    <xf numFmtId="167" fontId="4" fillId="0" borderId="1" xfId="0" applyNumberFormat="1" applyFont="1" applyFill="1" applyBorder="1" applyAlignment="1">
      <alignment vertical="center"/>
    </xf>
    <xf numFmtId="0" fontId="4" fillId="0" borderId="0" xfId="0" applyFont="1"/>
    <xf numFmtId="0" fontId="4" fillId="0" borderId="0" xfId="0" applyFont="1" applyAlignment="1">
      <alignment wrapText="1"/>
    </xf>
    <xf numFmtId="167" fontId="4" fillId="0" borderId="0" xfId="0" applyNumberFormat="1" applyFont="1"/>
    <xf numFmtId="0" fontId="5" fillId="6" borderId="2" xfId="2" applyFont="1" applyFill="1" applyBorder="1" applyAlignment="1">
      <alignment horizontal="right" vertical="center"/>
    </xf>
    <xf numFmtId="0" fontId="5" fillId="6" borderId="3" xfId="2" applyFont="1" applyFill="1" applyBorder="1" applyAlignment="1">
      <alignment horizontal="center" vertical="center"/>
    </xf>
    <xf numFmtId="170" fontId="8" fillId="6" borderId="3" xfId="3" applyNumberFormat="1" applyFont="1" applyFill="1" applyBorder="1" applyAlignment="1" applyProtection="1">
      <alignment horizontal="center" vertical="center" wrapText="1"/>
    </xf>
    <xf numFmtId="4" fontId="8" fillId="6" borderId="3" xfId="3" applyNumberFormat="1" applyFont="1" applyFill="1" applyBorder="1" applyAlignment="1" applyProtection="1">
      <alignment horizontal="right" vertical="center" wrapText="1"/>
    </xf>
    <xf numFmtId="171" fontId="8" fillId="6" borderId="4" xfId="3" applyNumberFormat="1" applyFont="1" applyFill="1" applyBorder="1" applyAlignment="1" applyProtection="1">
      <alignment horizontal="center" vertical="center" wrapText="1"/>
    </xf>
    <xf numFmtId="171" fontId="8" fillId="6" borderId="0" xfId="3" applyNumberFormat="1" applyFont="1" applyFill="1" applyBorder="1" applyAlignment="1" applyProtection="1">
      <alignment horizontal="center" vertical="center" wrapText="1"/>
    </xf>
    <xf numFmtId="171" fontId="8" fillId="6" borderId="5" xfId="3" applyNumberFormat="1" applyFont="1" applyFill="1" applyBorder="1" applyAlignment="1" applyProtection="1">
      <alignment horizontal="center" vertical="center" wrapText="1"/>
    </xf>
    <xf numFmtId="0" fontId="5" fillId="6" borderId="6" xfId="2" applyFont="1" applyFill="1" applyBorder="1" applyAlignment="1">
      <alignment horizontal="right" vertical="center"/>
    </xf>
    <xf numFmtId="0" fontId="5" fillId="6" borderId="7" xfId="2" applyFont="1" applyFill="1" applyBorder="1" applyAlignment="1">
      <alignment horizontal="center" vertical="center"/>
    </xf>
    <xf numFmtId="170" fontId="8" fillId="6" borderId="7" xfId="3" applyNumberFormat="1" applyFont="1" applyFill="1" applyBorder="1" applyAlignment="1" applyProtection="1">
      <alignment horizontal="center" vertical="center" wrapText="1"/>
    </xf>
    <xf numFmtId="4" fontId="8" fillId="6" borderId="7" xfId="3" applyNumberFormat="1" applyFont="1" applyFill="1" applyBorder="1" applyAlignment="1" applyProtection="1">
      <alignment horizontal="right" vertical="center" wrapText="1"/>
    </xf>
    <xf numFmtId="171" fontId="8" fillId="6" borderId="8" xfId="3" applyNumberFormat="1" applyFont="1" applyFill="1" applyBorder="1" applyAlignment="1" applyProtection="1">
      <alignment horizontal="center" vertical="center" wrapText="1"/>
    </xf>
    <xf numFmtId="171" fontId="8" fillId="6" borderId="9" xfId="3" applyNumberFormat="1" applyFont="1" applyFill="1" applyBorder="1" applyAlignment="1" applyProtection="1">
      <alignment horizontal="center" vertical="center" wrapText="1"/>
    </xf>
    <xf numFmtId="0" fontId="8" fillId="6" borderId="6" xfId="2" applyFont="1" applyFill="1" applyBorder="1" applyAlignment="1">
      <alignment horizontal="right" vertical="center" wrapText="1"/>
    </xf>
    <xf numFmtId="10" fontId="8" fillId="6" borderId="7" xfId="3" applyNumberFormat="1" applyFont="1" applyFill="1" applyBorder="1" applyAlignment="1" applyProtection="1">
      <alignment horizontal="center" vertical="center" wrapText="1"/>
    </xf>
    <xf numFmtId="0" fontId="8" fillId="6" borderId="10" xfId="2" applyFont="1" applyFill="1" applyBorder="1" applyAlignment="1">
      <alignment horizontal="right" vertical="center" wrapText="1"/>
    </xf>
    <xf numFmtId="0" fontId="5" fillId="6" borderId="11" xfId="2" applyFont="1" applyFill="1" applyBorder="1" applyAlignment="1">
      <alignment horizontal="center" vertical="center"/>
    </xf>
    <xf numFmtId="10" fontId="8" fillId="6" borderId="11" xfId="3" applyNumberFormat="1" applyFont="1" applyFill="1" applyBorder="1" applyAlignment="1" applyProtection="1">
      <alignment horizontal="center" vertical="center" wrapText="1"/>
    </xf>
    <xf numFmtId="4" fontId="8" fillId="6" borderId="11" xfId="3" applyNumberFormat="1" applyFont="1" applyFill="1" applyBorder="1" applyAlignment="1" applyProtection="1">
      <alignment horizontal="right" vertical="center" wrapText="1"/>
    </xf>
    <xf numFmtId="171" fontId="8" fillId="6" borderId="12" xfId="3" applyNumberFormat="1" applyFont="1" applyFill="1" applyBorder="1" applyAlignment="1" applyProtection="1">
      <alignment horizontal="center" vertical="center" wrapText="1"/>
    </xf>
    <xf numFmtId="171" fontId="8" fillId="6" borderId="13" xfId="3" applyNumberFormat="1" applyFont="1" applyFill="1" applyBorder="1" applyAlignment="1" applyProtection="1">
      <alignment horizontal="center" vertical="center" wrapText="1"/>
    </xf>
    <xf numFmtId="0" fontId="11" fillId="0" borderId="1" xfId="0" applyFont="1" applyBorder="1" applyAlignment="1">
      <alignment wrapText="1"/>
    </xf>
    <xf numFmtId="0" fontId="11" fillId="0" borderId="1" xfId="0" applyFont="1" applyBorder="1" applyAlignment="1">
      <alignment horizontal="center" vertical="center"/>
    </xf>
    <xf numFmtId="0" fontId="11" fillId="0" borderId="0" xfId="0" applyFont="1"/>
    <xf numFmtId="0" fontId="10" fillId="0" borderId="0" xfId="0" applyFont="1" applyAlignment="1">
      <alignment horizontal="right"/>
    </xf>
    <xf numFmtId="171" fontId="10" fillId="0" borderId="1" xfId="0" applyNumberFormat="1" applyFont="1" applyBorder="1" applyAlignment="1">
      <alignment horizontal="right"/>
    </xf>
    <xf numFmtId="171" fontId="10" fillId="0" borderId="0" xfId="0" applyNumberFormat="1" applyFont="1" applyBorder="1" applyAlignment="1">
      <alignment horizontal="right"/>
    </xf>
    <xf numFmtId="171" fontId="10" fillId="2" borderId="1" xfId="0" applyNumberFormat="1" applyFont="1" applyFill="1" applyBorder="1" applyAlignment="1">
      <alignment horizontal="right"/>
    </xf>
    <xf numFmtId="171" fontId="10" fillId="3" borderId="1" xfId="0" applyNumberFormat="1" applyFont="1" applyFill="1" applyBorder="1" applyAlignment="1">
      <alignment horizontal="right"/>
    </xf>
    <xf numFmtId="171" fontId="10" fillId="4" borderId="1" xfId="0" applyNumberFormat="1" applyFont="1" applyFill="1" applyBorder="1" applyAlignment="1">
      <alignment horizontal="right"/>
    </xf>
    <xf numFmtId="0" fontId="11" fillId="0" borderId="0" xfId="0" applyFont="1" applyAlignment="1">
      <alignment horizontal="right"/>
    </xf>
    <xf numFmtId="167" fontId="11" fillId="0" borderId="1" xfId="0" applyNumberFormat="1" applyFont="1" applyBorder="1" applyAlignment="1">
      <alignment horizontal="right"/>
    </xf>
    <xf numFmtId="0" fontId="13" fillId="8" borderId="1" xfId="2" applyFont="1" applyFill="1" applyBorder="1" applyAlignment="1">
      <alignment horizontal="center" vertical="center"/>
    </xf>
    <xf numFmtId="0" fontId="13" fillId="8" borderId="1" xfId="2" applyFont="1" applyFill="1" applyBorder="1" applyAlignment="1">
      <alignment horizontal="center" vertical="center" wrapText="1"/>
    </xf>
    <xf numFmtId="0" fontId="14" fillId="9" borderId="1" xfId="0" applyFont="1" applyFill="1" applyBorder="1" applyAlignment="1">
      <alignment horizontal="center" vertical="center" wrapText="1"/>
    </xf>
    <xf numFmtId="6" fontId="14" fillId="9" borderId="1" xfId="0" applyNumberFormat="1" applyFont="1" applyFill="1" applyBorder="1" applyAlignment="1">
      <alignment horizontal="right" vertical="center" wrapText="1"/>
    </xf>
    <xf numFmtId="0" fontId="15" fillId="0" borderId="1" xfId="2" applyFont="1" applyFill="1" applyBorder="1" applyAlignment="1">
      <alignment horizontal="center" vertical="center" wrapText="1"/>
    </xf>
    <xf numFmtId="0" fontId="16" fillId="0" borderId="1" xfId="0" applyFont="1" applyFill="1" applyBorder="1" applyAlignment="1" applyProtection="1">
      <alignment vertical="center" wrapText="1"/>
    </xf>
    <xf numFmtId="0" fontId="17" fillId="0" borderId="1" xfId="2" applyFont="1" applyFill="1" applyBorder="1" applyAlignment="1">
      <alignment horizontal="center" vertical="center" wrapText="1"/>
    </xf>
    <xf numFmtId="3" fontId="18" fillId="0" borderId="1" xfId="0" applyNumberFormat="1" applyFont="1" applyFill="1" applyBorder="1" applyAlignment="1">
      <alignment horizontal="center" vertical="center"/>
    </xf>
    <xf numFmtId="172" fontId="18" fillId="0" borderId="1" xfId="0" applyNumberFormat="1" applyFont="1" applyFill="1" applyBorder="1" applyAlignment="1">
      <alignment horizontal="center" vertical="center"/>
    </xf>
    <xf numFmtId="173" fontId="19" fillId="0" borderId="1" xfId="3" applyNumberFormat="1" applyFont="1" applyFill="1" applyBorder="1" applyAlignment="1" applyProtection="1">
      <alignment horizontal="center" vertical="center" wrapText="1"/>
    </xf>
    <xf numFmtId="0" fontId="20" fillId="0" borderId="0" xfId="0" applyFont="1" applyAlignment="1">
      <alignment vertical="center" wrapText="1"/>
    </xf>
    <xf numFmtId="0" fontId="14" fillId="1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3" fontId="18" fillId="11" borderId="1" xfId="0" applyNumberFormat="1" applyFont="1" applyFill="1" applyBorder="1" applyAlignment="1">
      <alignment horizontal="center" vertical="center" wrapText="1"/>
    </xf>
    <xf numFmtId="8" fontId="18" fillId="0" borderId="1" xfId="0" applyNumberFormat="1" applyFont="1" applyBorder="1" applyAlignment="1">
      <alignment horizontal="right" vertical="center"/>
    </xf>
    <xf numFmtId="6" fontId="18" fillId="0" borderId="1" xfId="0" applyNumberFormat="1" applyFont="1" applyBorder="1" applyAlignment="1">
      <alignment horizontal="right" vertical="center"/>
    </xf>
    <xf numFmtId="6" fontId="18" fillId="9" borderId="1" xfId="0" applyNumberFormat="1" applyFont="1" applyFill="1" applyBorder="1" applyAlignment="1">
      <alignment horizontal="right" vertical="center"/>
    </xf>
    <xf numFmtId="0" fontId="18" fillId="0" borderId="1" xfId="0" applyFont="1" applyBorder="1" applyAlignment="1">
      <alignment horizontal="right" vertical="center" wrapText="1"/>
    </xf>
    <xf numFmtId="10" fontId="18" fillId="0" borderId="1" xfId="1" applyNumberFormat="1" applyFont="1" applyBorder="1" applyAlignment="1">
      <alignment horizontal="center" vertical="center" wrapText="1"/>
    </xf>
    <xf numFmtId="167" fontId="18" fillId="0" borderId="1" xfId="0" applyNumberFormat="1" applyFont="1" applyBorder="1" applyAlignment="1">
      <alignment horizontal="right" vertical="center"/>
    </xf>
    <xf numFmtId="9" fontId="18" fillId="0" borderId="1" xfId="0" applyNumberFormat="1" applyFont="1" applyBorder="1" applyAlignment="1">
      <alignment horizontal="center" vertical="center" wrapText="1"/>
    </xf>
    <xf numFmtId="6" fontId="18" fillId="7" borderId="1" xfId="0" applyNumberFormat="1" applyFont="1" applyFill="1" applyBorder="1" applyAlignment="1">
      <alignment horizontal="right" vertical="center" wrapText="1"/>
    </xf>
    <xf numFmtId="0" fontId="12" fillId="12" borderId="1" xfId="0" applyFont="1" applyFill="1" applyBorder="1" applyAlignment="1">
      <alignment horizontal="center" vertical="center" wrapText="1"/>
    </xf>
    <xf numFmtId="0" fontId="10" fillId="0" borderId="1" xfId="0" applyFont="1" applyBorder="1" applyAlignment="1">
      <alignment horizontal="center" vertical="center"/>
    </xf>
    <xf numFmtId="0" fontId="21" fillId="0" borderId="1" xfId="0" applyFont="1" applyBorder="1" applyAlignment="1">
      <alignment horizontal="center" vertical="center" wrapText="1"/>
    </xf>
    <xf numFmtId="173" fontId="22" fillId="11" borderId="1" xfId="0" applyNumberFormat="1" applyFont="1" applyFill="1" applyBorder="1" applyAlignment="1">
      <alignment horizontal="center" vertical="center" wrapText="1"/>
    </xf>
    <xf numFmtId="8" fontId="23" fillId="11" borderId="1" xfId="0" applyNumberFormat="1" applyFont="1" applyFill="1" applyBorder="1" applyAlignment="1">
      <alignment horizontal="center" vertical="center" wrapText="1"/>
    </xf>
    <xf numFmtId="8" fontId="22" fillId="11" borderId="1" xfId="0" applyNumberFormat="1" applyFont="1" applyFill="1" applyBorder="1" applyAlignment="1">
      <alignment horizontal="right" vertical="center" wrapText="1"/>
    </xf>
    <xf numFmtId="173" fontId="24" fillId="12" borderId="1" xfId="0" applyNumberFormat="1" applyFont="1" applyFill="1" applyBorder="1" applyAlignment="1">
      <alignment horizontal="center" vertical="center" wrapText="1"/>
    </xf>
    <xf numFmtId="8" fontId="25" fillId="2" borderId="1" xfId="0" applyNumberFormat="1" applyFont="1" applyFill="1" applyBorder="1" applyAlignment="1">
      <alignment horizontal="center" vertical="center" wrapText="1"/>
    </xf>
    <xf numFmtId="9" fontId="0" fillId="0" borderId="0" xfId="1" applyFont="1" applyAlignment="1">
      <alignment horizontal="center"/>
    </xf>
    <xf numFmtId="8" fontId="0" fillId="0" borderId="0" xfId="0" applyNumberFormat="1"/>
    <xf numFmtId="167" fontId="2" fillId="13" borderId="0" xfId="0" applyNumberFormat="1" applyFont="1" applyFill="1" applyAlignment="1">
      <alignmen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1" fillId="0" borderId="1" xfId="0" applyFont="1" applyBorder="1"/>
    <xf numFmtId="168" fontId="27" fillId="2"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67" fontId="6" fillId="4" borderId="1" xfId="0" applyNumberFormat="1" applyFont="1" applyFill="1" applyBorder="1"/>
    <xf numFmtId="168" fontId="6" fillId="3" borderId="1" xfId="0" applyNumberFormat="1" applyFont="1" applyFill="1" applyBorder="1" applyAlignment="1">
      <alignment horizontal="center" vertical="center"/>
    </xf>
    <xf numFmtId="167" fontId="0" fillId="0" borderId="0" xfId="0" applyNumberFormat="1"/>
    <xf numFmtId="1" fontId="3" fillId="2" borderId="1" xfId="0" applyNumberFormat="1" applyFont="1" applyFill="1" applyBorder="1" applyAlignment="1">
      <alignment horizontal="center" vertical="center"/>
    </xf>
    <xf numFmtId="167" fontId="3" fillId="2" borderId="1" xfId="0" applyNumberFormat="1" applyFont="1" applyFill="1" applyBorder="1"/>
    <xf numFmtId="167" fontId="6" fillId="0" borderId="1" xfId="0" applyNumberFormat="1" applyFont="1" applyFill="1" applyBorder="1"/>
    <xf numFmtId="0" fontId="4" fillId="0" borderId="1" xfId="0"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167" fontId="4" fillId="0" borderId="1" xfId="0" applyNumberFormat="1" applyFont="1" applyBorder="1" applyAlignment="1">
      <alignment horizontal="center" vertical="center"/>
    </xf>
    <xf numFmtId="167" fontId="6" fillId="0" borderId="1" xfId="0" applyNumberFormat="1" applyFont="1" applyBorder="1" applyAlignment="1">
      <alignment horizontal="center" vertical="center"/>
    </xf>
    <xf numFmtId="167" fontId="4" fillId="4" borderId="1" xfId="0" applyNumberFormat="1" applyFont="1" applyFill="1" applyBorder="1" applyAlignment="1">
      <alignment horizontal="center" vertical="center"/>
    </xf>
    <xf numFmtId="167" fontId="5" fillId="4" borderId="1" xfId="0" applyNumberFormat="1" applyFont="1" applyFill="1" applyBorder="1" applyAlignment="1">
      <alignment horizontal="center" vertical="center"/>
    </xf>
    <xf numFmtId="0" fontId="4" fillId="13" borderId="1" xfId="0" applyFont="1" applyFill="1" applyBorder="1" applyAlignment="1">
      <alignment horizontal="center" vertical="center" wrapText="1"/>
    </xf>
    <xf numFmtId="0" fontId="0" fillId="14" borderId="0" xfId="0" applyFill="1"/>
    <xf numFmtId="0" fontId="0" fillId="4" borderId="0" xfId="0" applyFill="1"/>
    <xf numFmtId="167" fontId="6" fillId="4"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xf>
    <xf numFmtId="0" fontId="11" fillId="0" borderId="0" xfId="0" applyFont="1" applyBorder="1" applyAlignment="1">
      <alignment wrapText="1"/>
    </xf>
    <xf numFmtId="0" fontId="11" fillId="0" borderId="0" xfId="0" applyFont="1" applyBorder="1" applyAlignment="1">
      <alignment horizontal="center" vertical="center"/>
    </xf>
    <xf numFmtId="0" fontId="0" fillId="15" borderId="0" xfId="0" applyFill="1"/>
    <xf numFmtId="167" fontId="0" fillId="15" borderId="0" xfId="0" applyNumberFormat="1" applyFill="1"/>
    <xf numFmtId="0" fontId="10" fillId="0" borderId="0" xfId="0" applyFont="1" applyBorder="1" applyAlignment="1">
      <alignment horizontal="center"/>
    </xf>
    <xf numFmtId="0" fontId="3" fillId="0" borderId="0" xfId="0" applyFont="1" applyFill="1" applyBorder="1" applyAlignment="1">
      <alignment horizontal="center" vertical="center" wrapText="1"/>
    </xf>
    <xf numFmtId="0" fontId="0" fillId="16" borderId="0" xfId="0" applyFill="1" applyAlignment="1">
      <alignment wrapText="1"/>
    </xf>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0" xfId="0" applyBorder="1"/>
    <xf numFmtId="0" fontId="0" fillId="0" borderId="30" xfId="0" applyBorder="1"/>
    <xf numFmtId="0" fontId="11" fillId="4" borderId="0" xfId="0" applyFont="1" applyFill="1"/>
    <xf numFmtId="168" fontId="6" fillId="4" borderId="1" xfId="0" applyNumberFormat="1" applyFont="1" applyFill="1" applyBorder="1" applyAlignment="1">
      <alignment horizontal="center" vertical="center"/>
    </xf>
    <xf numFmtId="0" fontId="5" fillId="15" borderId="1" xfId="0" applyFont="1" applyFill="1" applyBorder="1" applyAlignment="1">
      <alignment horizontal="center" vertical="center"/>
    </xf>
    <xf numFmtId="0" fontId="6" fillId="15"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4" borderId="0" xfId="0" applyFont="1" applyFill="1" applyBorder="1" applyAlignment="1">
      <alignment horizontal="center" vertical="center"/>
    </xf>
    <xf numFmtId="0" fontId="5" fillId="4" borderId="0" xfId="0" applyFont="1" applyFill="1" applyBorder="1" applyAlignment="1">
      <alignment horizontal="center" vertical="center"/>
    </xf>
    <xf numFmtId="167" fontId="6" fillId="0" borderId="0" xfId="0" applyNumberFormat="1" applyFont="1" applyBorder="1" applyAlignment="1">
      <alignment horizontal="center" vertical="center"/>
    </xf>
    <xf numFmtId="167" fontId="4" fillId="0" borderId="0"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center" vertical="center" wrapText="1"/>
    </xf>
    <xf numFmtId="44" fontId="10" fillId="0" borderId="1" xfId="4" applyFont="1" applyBorder="1" applyAlignment="1">
      <alignment horizontal="right"/>
    </xf>
    <xf numFmtId="44" fontId="8" fillId="6" borderId="4" xfId="4" applyFont="1" applyFill="1" applyBorder="1" applyAlignment="1" applyProtection="1">
      <alignment horizontal="center" vertical="center" wrapText="1"/>
    </xf>
    <xf numFmtId="44" fontId="8" fillId="6" borderId="0" xfId="4" applyFont="1" applyFill="1" applyBorder="1" applyAlignment="1" applyProtection="1">
      <alignment horizontal="center" vertical="center" wrapText="1"/>
    </xf>
    <xf numFmtId="44" fontId="8" fillId="6" borderId="8" xfId="4" applyFont="1" applyFill="1" applyBorder="1" applyAlignment="1" applyProtection="1">
      <alignment horizontal="center" vertical="center" wrapText="1"/>
    </xf>
    <xf numFmtId="44" fontId="8" fillId="6" borderId="12" xfId="4" applyFont="1" applyFill="1" applyBorder="1" applyAlignment="1" applyProtection="1">
      <alignment horizontal="center" vertical="center" wrapText="1"/>
    </xf>
    <xf numFmtId="44" fontId="10" fillId="17" borderId="0" xfId="4" applyFont="1" applyFill="1" applyBorder="1" applyAlignment="1">
      <alignment horizontal="right"/>
    </xf>
    <xf numFmtId="167" fontId="0" fillId="17" borderId="0" xfId="0" applyNumberFormat="1" applyFill="1"/>
    <xf numFmtId="167" fontId="0" fillId="0" borderId="1" xfId="0" applyNumberFormat="1" applyBorder="1"/>
    <xf numFmtId="44" fontId="0" fillId="0" borderId="1" xfId="4" applyFont="1" applyBorder="1"/>
    <xf numFmtId="0" fontId="4" fillId="18" borderId="1" xfId="0" applyFont="1" applyFill="1" applyBorder="1" applyAlignment="1">
      <alignment wrapText="1"/>
    </xf>
    <xf numFmtId="0" fontId="4" fillId="13" borderId="1" xfId="0" applyFont="1" applyFill="1" applyBorder="1" applyAlignment="1">
      <alignment wrapText="1"/>
    </xf>
    <xf numFmtId="167" fontId="0" fillId="19" borderId="1" xfId="0" applyNumberFormat="1" applyFill="1" applyBorder="1"/>
    <xf numFmtId="43" fontId="0" fillId="0" borderId="0" xfId="5" applyFont="1"/>
    <xf numFmtId="0" fontId="4" fillId="19" borderId="1" xfId="0" applyFont="1" applyFill="1" applyBorder="1" applyAlignment="1">
      <alignment vertical="center" wrapText="1"/>
    </xf>
    <xf numFmtId="0" fontId="4" fillId="0" borderId="0"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4" fillId="19" borderId="1" xfId="0" applyFont="1" applyFill="1" applyBorder="1" applyAlignment="1">
      <alignment horizontal="center" vertical="center" wrapText="1"/>
    </xf>
    <xf numFmtId="43" fontId="0" fillId="0" borderId="0" xfId="0" applyNumberFormat="1"/>
    <xf numFmtId="166" fontId="11" fillId="19" borderId="0" xfId="0" applyNumberFormat="1" applyFont="1" applyFill="1"/>
    <xf numFmtId="0" fontId="4" fillId="20" borderId="1" xfId="0" applyFont="1" applyFill="1" applyBorder="1" applyAlignment="1">
      <alignment horizontal="center" vertical="center" wrapText="1"/>
    </xf>
    <xf numFmtId="0" fontId="30" fillId="0" borderId="0" xfId="0" applyFont="1" applyAlignment="1">
      <alignment wrapText="1"/>
    </xf>
    <xf numFmtId="167" fontId="5" fillId="19" borderId="1" xfId="0" applyNumberFormat="1" applyFont="1" applyFill="1" applyBorder="1"/>
    <xf numFmtId="41" fontId="21" fillId="0" borderId="0" xfId="6" applyFont="1" applyFill="1" applyAlignment="1">
      <alignment vertical="center"/>
    </xf>
    <xf numFmtId="41" fontId="21" fillId="0" borderId="0" xfId="6" applyFont="1" applyAlignment="1">
      <alignment vertical="center"/>
    </xf>
    <xf numFmtId="41" fontId="32" fillId="0" borderId="1" xfId="6" applyFont="1" applyBorder="1" applyAlignment="1">
      <alignment horizontal="center" vertical="center"/>
    </xf>
    <xf numFmtId="41" fontId="32" fillId="22" borderId="14" xfId="6" applyFont="1" applyFill="1" applyBorder="1" applyAlignment="1">
      <alignment vertical="center" wrapText="1"/>
    </xf>
    <xf numFmtId="174" fontId="34" fillId="23" borderId="1" xfId="6" applyNumberFormat="1" applyFont="1" applyFill="1" applyBorder="1" applyAlignment="1">
      <alignment vertical="center"/>
    </xf>
    <xf numFmtId="41" fontId="12" fillId="0" borderId="0" xfId="6" applyFont="1" applyFill="1" applyBorder="1" applyAlignment="1">
      <alignment horizontal="center" vertical="center"/>
    </xf>
    <xf numFmtId="174" fontId="21" fillId="0" borderId="0" xfId="6" applyNumberFormat="1" applyFont="1" applyFill="1" applyBorder="1" applyAlignment="1">
      <alignment horizontal="center" vertical="center"/>
    </xf>
    <xf numFmtId="174" fontId="21" fillId="0" borderId="0" xfId="6" applyNumberFormat="1" applyFont="1" applyFill="1" applyBorder="1" applyAlignment="1">
      <alignment vertical="center"/>
    </xf>
    <xf numFmtId="41" fontId="21" fillId="0" borderId="0" xfId="6" applyFont="1" applyAlignment="1">
      <alignment horizontal="left" vertical="center"/>
    </xf>
    <xf numFmtId="41" fontId="21" fillId="0" borderId="0" xfId="6" applyFont="1" applyBorder="1" applyAlignment="1">
      <alignment vertical="center"/>
    </xf>
    <xf numFmtId="0" fontId="34" fillId="0" borderId="1" xfId="0" applyFont="1" applyBorder="1" applyAlignment="1">
      <alignment horizontal="center" vertical="center" wrapText="1"/>
    </xf>
    <xf numFmtId="41" fontId="34" fillId="0" borderId="1" xfId="6" applyFont="1" applyBorder="1" applyAlignment="1">
      <alignment vertical="center"/>
    </xf>
    <xf numFmtId="0" fontId="35" fillId="0" borderId="0" xfId="0" applyFont="1" applyFill="1" applyBorder="1" applyAlignment="1">
      <alignment horizontal="center" vertical="center" wrapText="1"/>
    </xf>
    <xf numFmtId="41" fontId="21" fillId="0" borderId="0" xfId="6" applyFont="1" applyAlignment="1">
      <alignment horizontal="right" vertical="center"/>
    </xf>
    <xf numFmtId="0" fontId="32" fillId="10" borderId="1" xfId="0" applyFont="1" applyFill="1" applyBorder="1" applyAlignment="1">
      <alignment horizontal="center" vertical="center" wrapText="1"/>
    </xf>
    <xf numFmtId="0" fontId="34" fillId="0" borderId="1" xfId="0" applyFont="1" applyBorder="1" applyAlignment="1">
      <alignment horizontal="right" vertical="center" wrapText="1"/>
    </xf>
    <xf numFmtId="41" fontId="34" fillId="0" borderId="0" xfId="6" applyFont="1" applyAlignment="1">
      <alignment vertical="center"/>
    </xf>
    <xf numFmtId="41" fontId="32" fillId="3" borderId="1" xfId="6" applyNumberFormat="1" applyFont="1" applyFill="1" applyBorder="1" applyAlignment="1">
      <alignment horizontal="center" vertical="center" wrapText="1"/>
    </xf>
    <xf numFmtId="41" fontId="36" fillId="0" borderId="0" xfId="6" applyFont="1" applyFill="1" applyBorder="1" applyAlignment="1">
      <alignment vertical="center"/>
    </xf>
    <xf numFmtId="41" fontId="37" fillId="0" borderId="0" xfId="6" applyFont="1" applyFill="1" applyBorder="1" applyAlignment="1">
      <alignment vertical="center"/>
    </xf>
    <xf numFmtId="41" fontId="37" fillId="0" borderId="0" xfId="0" applyNumberFormat="1" applyFont="1" applyFill="1" applyBorder="1" applyAlignment="1">
      <alignment vertical="center" wrapText="1"/>
    </xf>
    <xf numFmtId="9" fontId="36" fillId="0" borderId="0" xfId="6" applyNumberFormat="1" applyFont="1" applyFill="1" applyBorder="1" applyAlignment="1">
      <alignment vertical="center"/>
    </xf>
    <xf numFmtId="175" fontId="36" fillId="0" borderId="0" xfId="6" applyNumberFormat="1" applyFont="1" applyFill="1" applyBorder="1" applyAlignment="1">
      <alignment vertical="center"/>
    </xf>
    <xf numFmtId="41" fontId="37" fillId="0" borderId="0" xfId="6" applyFont="1" applyFill="1" applyBorder="1" applyAlignment="1">
      <alignment horizontal="center" vertical="center" wrapText="1"/>
    </xf>
    <xf numFmtId="41" fontId="12" fillId="0" borderId="0" xfId="6" applyNumberFormat="1" applyFont="1" applyFill="1" applyBorder="1" applyAlignment="1">
      <alignment horizontal="center" vertical="center" wrapText="1"/>
    </xf>
    <xf numFmtId="174" fontId="21" fillId="0" borderId="0" xfId="6" applyNumberFormat="1" applyFont="1" applyFill="1" applyAlignment="1">
      <alignment vertical="center"/>
    </xf>
    <xf numFmtId="0" fontId="25" fillId="25"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8" fontId="23" fillId="11" borderId="1" xfId="0" applyNumberFormat="1" applyFont="1" applyFill="1" applyBorder="1" applyAlignment="1">
      <alignment horizontal="center" vertical="center"/>
    </xf>
    <xf numFmtId="0" fontId="25" fillId="26" borderId="1" xfId="0" applyFont="1" applyFill="1" applyBorder="1" applyAlignment="1">
      <alignment horizontal="center" vertical="center" wrapText="1"/>
    </xf>
    <xf numFmtId="8" fontId="23" fillId="26" borderId="1" xfId="0" applyNumberFormat="1" applyFont="1" applyFill="1" applyBorder="1" applyAlignment="1">
      <alignment horizontal="center" vertical="center" wrapText="1"/>
    </xf>
    <xf numFmtId="41" fontId="34" fillId="0" borderId="1" xfId="6" applyFont="1" applyFill="1" applyBorder="1" applyAlignment="1">
      <alignment vertical="center"/>
    </xf>
    <xf numFmtId="10" fontId="34" fillId="0" borderId="1" xfId="0" applyNumberFormat="1" applyFont="1" applyFill="1" applyBorder="1" applyAlignment="1">
      <alignment horizontal="center" vertical="center" wrapText="1"/>
    </xf>
    <xf numFmtId="10" fontId="34" fillId="0" borderId="1" xfId="0" applyNumberFormat="1" applyFont="1" applyBorder="1" applyAlignment="1">
      <alignment horizontal="center" vertical="center" wrapText="1"/>
    </xf>
    <xf numFmtId="164" fontId="0" fillId="0" borderId="0" xfId="0" applyNumberFormat="1"/>
    <xf numFmtId="6" fontId="23" fillId="11" borderId="1" xfId="0" applyNumberFormat="1" applyFont="1" applyFill="1" applyBorder="1" applyAlignment="1">
      <alignment horizontal="center" vertical="center" wrapText="1"/>
    </xf>
    <xf numFmtId="8" fontId="23" fillId="4" borderId="1" xfId="0" applyNumberFormat="1" applyFont="1" applyFill="1" applyBorder="1" applyAlignment="1">
      <alignment horizontal="center" vertical="center"/>
    </xf>
    <xf numFmtId="8" fontId="25" fillId="25" borderId="1" xfId="0" applyNumberFormat="1" applyFont="1" applyFill="1" applyBorder="1" applyAlignment="1">
      <alignment horizontal="center" vertical="center" wrapText="1"/>
    </xf>
    <xf numFmtId="0" fontId="32" fillId="10" borderId="1" xfId="0" applyFont="1" applyFill="1" applyBorder="1" applyAlignment="1">
      <alignment horizontal="left" vertical="center" wrapText="1"/>
    </xf>
    <xf numFmtId="0" fontId="32" fillId="10" borderId="33" xfId="0" applyFont="1" applyFill="1" applyBorder="1" applyAlignment="1">
      <alignment horizontal="center" vertical="center" wrapText="1"/>
    </xf>
    <xf numFmtId="6" fontId="23" fillId="0" borderId="1" xfId="0" applyNumberFormat="1" applyFont="1" applyBorder="1" applyAlignment="1">
      <alignment horizontal="center" vertical="center" wrapText="1"/>
    </xf>
    <xf numFmtId="6" fontId="32" fillId="5" borderId="33" xfId="6" applyNumberFormat="1" applyFont="1" applyFill="1" applyBorder="1" applyAlignment="1">
      <alignment vertical="center"/>
    </xf>
    <xf numFmtId="6" fontId="32" fillId="5" borderId="1" xfId="6" applyNumberFormat="1" applyFont="1" applyFill="1" applyBorder="1" applyAlignment="1">
      <alignment vertical="center" wrapText="1"/>
    </xf>
    <xf numFmtId="174" fontId="32" fillId="22" borderId="1" xfId="6" applyNumberFormat="1" applyFont="1" applyFill="1" applyBorder="1" applyAlignment="1">
      <alignment horizontal="right" vertical="center"/>
    </xf>
    <xf numFmtId="0" fontId="23" fillId="0" borderId="1" xfId="0" applyFont="1" applyBorder="1" applyAlignment="1">
      <alignment horizontal="center" vertical="center" wrapText="1"/>
    </xf>
    <xf numFmtId="41" fontId="21" fillId="0" borderId="0" xfId="6" applyFont="1" applyAlignment="1">
      <alignment horizontal="center" vertical="center"/>
    </xf>
    <xf numFmtId="0" fontId="25" fillId="5" borderId="34" xfId="0" applyFont="1" applyFill="1" applyBorder="1" applyAlignment="1">
      <alignment horizontal="center" vertical="center" wrapText="1"/>
    </xf>
    <xf numFmtId="0" fontId="32" fillId="10" borderId="35" xfId="0" applyFont="1" applyFill="1" applyBorder="1" applyAlignment="1">
      <alignment horizontal="left" vertical="center" wrapText="1" indent="3"/>
    </xf>
    <xf numFmtId="41" fontId="32" fillId="10" borderId="36" xfId="0" applyNumberFormat="1" applyFont="1" applyFill="1" applyBorder="1" applyAlignment="1">
      <alignment vertical="center" wrapText="1"/>
    </xf>
    <xf numFmtId="41" fontId="32" fillId="3" borderId="1" xfId="6"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23" fillId="0" borderId="14" xfId="0" applyFont="1" applyBorder="1" applyAlignment="1">
      <alignment horizontal="center" vertical="center" wrapText="1"/>
    </xf>
    <xf numFmtId="0" fontId="34" fillId="0" borderId="1" xfId="0" applyFont="1" applyFill="1" applyBorder="1" applyAlignment="1">
      <alignment horizontal="center" vertical="center" wrapText="1"/>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12" fillId="12" borderId="1" xfId="0" applyFont="1" applyFill="1" applyBorder="1" applyAlignment="1">
      <alignment horizontal="center" vertical="center" wrapText="1"/>
    </xf>
    <xf numFmtId="8" fontId="12" fillId="1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8" fontId="22" fillId="0" borderId="1" xfId="0" applyNumberFormat="1" applyFont="1" applyFill="1" applyBorder="1" applyAlignment="1">
      <alignment horizontal="center" vertical="center" wrapText="1"/>
    </xf>
    <xf numFmtId="0" fontId="22" fillId="11"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4" fillId="7" borderId="1"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1" xfId="0" applyFont="1" applyBorder="1" applyAlignment="1">
      <alignment horizontal="justify" vertical="center" wrapText="1"/>
    </xf>
    <xf numFmtId="0" fontId="12" fillId="7"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32" fillId="3" borderId="14"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6" xfId="0" applyFont="1" applyFill="1" applyBorder="1" applyAlignment="1">
      <alignment horizontal="center" vertical="center" wrapText="1"/>
    </xf>
    <xf numFmtId="9" fontId="34" fillId="0" borderId="14" xfId="0" applyNumberFormat="1" applyFont="1" applyBorder="1" applyAlignment="1">
      <alignment horizontal="center" vertical="center" wrapText="1"/>
    </xf>
    <xf numFmtId="9" fontId="34" fillId="0" borderId="16" xfId="0" applyNumberFormat="1" applyFont="1" applyBorder="1" applyAlignment="1">
      <alignment horizontal="center" vertical="center" wrapText="1"/>
    </xf>
    <xf numFmtId="0" fontId="34" fillId="0" borderId="14" xfId="0" applyFont="1" applyBorder="1" applyAlignment="1">
      <alignment horizontal="center" vertical="center" wrapText="1"/>
    </xf>
    <xf numFmtId="0" fontId="34" fillId="0" borderId="16" xfId="0" applyFont="1" applyBorder="1" applyAlignment="1">
      <alignment horizontal="center" vertical="center" wrapText="1"/>
    </xf>
    <xf numFmtId="0" fontId="32" fillId="10" borderId="19" xfId="0" applyFont="1" applyFill="1" applyBorder="1" applyAlignment="1">
      <alignment horizontal="left" vertical="center" wrapText="1"/>
    </xf>
    <xf numFmtId="0" fontId="32" fillId="10" borderId="32" xfId="0" applyFont="1" applyFill="1" applyBorder="1" applyAlignment="1">
      <alignment horizontal="left" vertical="center" wrapText="1"/>
    </xf>
    <xf numFmtId="0" fontId="32" fillId="10" borderId="20" xfId="0" applyFont="1" applyFill="1" applyBorder="1" applyAlignment="1">
      <alignment horizontal="left" vertical="center" wrapText="1"/>
    </xf>
    <xf numFmtId="0" fontId="34" fillId="5" borderId="14" xfId="0" applyFont="1" applyFill="1" applyBorder="1" applyAlignment="1">
      <alignment horizontal="center" vertical="center" wrapText="1"/>
    </xf>
    <xf numFmtId="0" fontId="34" fillId="5" borderId="16" xfId="0" applyFont="1" applyFill="1" applyBorder="1" applyAlignment="1">
      <alignment horizontal="center" vertical="center" wrapText="1"/>
    </xf>
    <xf numFmtId="41" fontId="33" fillId="0" borderId="14" xfId="6" applyFont="1" applyBorder="1" applyAlignment="1">
      <alignment horizontal="left" vertical="center" wrapText="1"/>
    </xf>
    <xf numFmtId="41" fontId="33" fillId="0" borderId="15" xfId="6" applyFont="1" applyBorder="1" applyAlignment="1">
      <alignment horizontal="left" vertical="center" wrapText="1"/>
    </xf>
    <xf numFmtId="41" fontId="33" fillId="0" borderId="16" xfId="6" applyFont="1" applyBorder="1" applyAlignment="1">
      <alignment horizontal="left" vertical="center" wrapText="1"/>
    </xf>
    <xf numFmtId="41" fontId="32" fillId="22" borderId="14" xfId="6" applyFont="1" applyFill="1" applyBorder="1" applyAlignment="1">
      <alignment horizontal="center" vertical="center" wrapText="1"/>
    </xf>
    <xf numFmtId="41" fontId="32" fillId="22" borderId="15" xfId="6" applyFont="1" applyFill="1" applyBorder="1" applyAlignment="1">
      <alignment horizontal="center" vertical="center" wrapText="1"/>
    </xf>
    <xf numFmtId="41" fontId="32" fillId="22" borderId="16" xfId="6" applyFont="1" applyFill="1" applyBorder="1" applyAlignment="1">
      <alignment horizontal="center" vertical="center" wrapText="1"/>
    </xf>
    <xf numFmtId="0" fontId="31" fillId="17" borderId="1" xfId="0" applyFont="1" applyFill="1" applyBorder="1" applyAlignment="1">
      <alignment horizontal="center" vertical="center" wrapText="1"/>
    </xf>
    <xf numFmtId="0" fontId="32" fillId="10" borderId="0" xfId="0" applyFont="1" applyFill="1" applyBorder="1" applyAlignment="1">
      <alignment horizontal="left" vertical="center" wrapText="1"/>
    </xf>
    <xf numFmtId="0" fontId="31" fillId="3" borderId="17" xfId="0" applyFont="1" applyFill="1" applyBorder="1" applyAlignment="1">
      <alignment horizontal="center" vertical="center" wrapText="1"/>
    </xf>
    <xf numFmtId="0" fontId="31" fillId="3" borderId="31" xfId="0" applyFont="1" applyFill="1" applyBorder="1" applyAlignment="1">
      <alignment horizontal="center" vertical="center" wrapText="1"/>
    </xf>
    <xf numFmtId="0" fontId="31" fillId="3" borderId="18" xfId="0" applyFont="1" applyFill="1" applyBorder="1" applyAlignment="1">
      <alignment horizontal="center" vertical="center" wrapText="1"/>
    </xf>
    <xf numFmtId="0" fontId="31" fillId="3" borderId="17" xfId="0" applyFont="1" applyFill="1" applyBorder="1" applyAlignment="1">
      <alignment horizontal="left" vertical="center" wrapText="1"/>
    </xf>
    <xf numFmtId="0" fontId="31" fillId="3" borderId="31" xfId="0" applyFont="1" applyFill="1" applyBorder="1" applyAlignment="1">
      <alignment horizontal="left" vertical="center" wrapText="1"/>
    </xf>
    <xf numFmtId="0" fontId="31" fillId="3" borderId="18" xfId="0" applyFont="1" applyFill="1" applyBorder="1" applyAlignment="1">
      <alignment horizontal="left" vertical="center" wrapText="1"/>
    </xf>
    <xf numFmtId="0" fontId="31" fillId="3" borderId="19" xfId="0" applyFont="1" applyFill="1" applyBorder="1" applyAlignment="1">
      <alignment horizontal="left" vertical="center" wrapText="1"/>
    </xf>
    <xf numFmtId="0" fontId="31" fillId="3" borderId="32" xfId="0" applyFont="1" applyFill="1" applyBorder="1" applyAlignment="1">
      <alignment horizontal="left" vertical="center" wrapText="1"/>
    </xf>
    <xf numFmtId="0" fontId="31" fillId="3" borderId="20" xfId="0" applyFont="1" applyFill="1" applyBorder="1" applyAlignment="1">
      <alignment horizontal="left" vertical="center" wrapText="1"/>
    </xf>
    <xf numFmtId="41" fontId="32" fillId="0" borderId="14" xfId="6" applyFont="1" applyBorder="1" applyAlignment="1">
      <alignment horizontal="center" vertical="center"/>
    </xf>
    <xf numFmtId="41" fontId="32" fillId="0" borderId="15" xfId="6" applyFont="1" applyBorder="1" applyAlignment="1">
      <alignment horizontal="center" vertical="center"/>
    </xf>
    <xf numFmtId="41" fontId="32" fillId="0" borderId="16" xfId="6" applyFont="1" applyBorder="1" applyAlignment="1">
      <alignment horizontal="center" vertical="center"/>
    </xf>
    <xf numFmtId="0" fontId="33" fillId="0" borderId="14" xfId="6" applyNumberFormat="1" applyFont="1" applyBorder="1" applyAlignment="1">
      <alignment horizontal="left" vertical="center" wrapText="1"/>
    </xf>
    <xf numFmtId="0" fontId="33" fillId="0" borderId="15" xfId="6" applyNumberFormat="1" applyFont="1" applyBorder="1" applyAlignment="1">
      <alignment horizontal="left" vertical="center" wrapText="1"/>
    </xf>
    <xf numFmtId="0" fontId="33" fillId="0" borderId="16" xfId="6" applyNumberFormat="1" applyFont="1" applyBorder="1" applyAlignment="1">
      <alignment horizontal="left" vertical="center" wrapText="1"/>
    </xf>
    <xf numFmtId="0" fontId="31" fillId="21" borderId="1" xfId="0" applyFont="1" applyFill="1" applyBorder="1" applyAlignment="1">
      <alignment horizontal="center" vertical="center" wrapText="1"/>
    </xf>
    <xf numFmtId="0" fontId="32" fillId="10" borderId="0" xfId="0" applyFont="1" applyFill="1" applyAlignment="1">
      <alignment horizontal="left" vertical="center" wrapText="1"/>
    </xf>
    <xf numFmtId="0" fontId="32" fillId="3" borderId="14" xfId="0" applyFont="1" applyFill="1" applyBorder="1" applyAlignment="1">
      <alignment horizontal="left" vertical="center" wrapText="1"/>
    </xf>
    <xf numFmtId="0" fontId="32" fillId="3" borderId="15" xfId="0" applyFont="1" applyFill="1" applyBorder="1" applyAlignment="1">
      <alignment horizontal="left" vertical="center" wrapText="1"/>
    </xf>
    <xf numFmtId="0" fontId="32" fillId="3" borderId="16" xfId="0" applyFont="1" applyFill="1" applyBorder="1" applyAlignment="1">
      <alignment horizontal="left" vertical="center" wrapText="1"/>
    </xf>
    <xf numFmtId="49" fontId="21" fillId="0" borderId="17" xfId="6" applyNumberFormat="1" applyFont="1" applyBorder="1" applyAlignment="1">
      <alignment horizontal="left" vertical="center" wrapText="1"/>
    </xf>
    <xf numFmtId="49" fontId="21" fillId="0" borderId="31" xfId="6" applyNumberFormat="1" applyFont="1" applyBorder="1" applyAlignment="1">
      <alignment horizontal="left" vertical="center" wrapText="1"/>
    </xf>
    <xf numFmtId="49" fontId="21" fillId="0" borderId="18" xfId="6" applyNumberFormat="1" applyFont="1" applyBorder="1" applyAlignment="1">
      <alignment horizontal="left" vertical="center" wrapText="1"/>
    </xf>
    <xf numFmtId="49" fontId="21" fillId="0" borderId="19" xfId="6" applyNumberFormat="1" applyFont="1" applyBorder="1" applyAlignment="1">
      <alignment horizontal="left" vertical="center" wrapText="1"/>
    </xf>
    <xf numFmtId="49" fontId="21" fillId="0" borderId="32" xfId="6" applyNumberFormat="1" applyFont="1" applyBorder="1" applyAlignment="1">
      <alignment horizontal="left" vertical="center" wrapText="1"/>
    </xf>
    <xf numFmtId="49" fontId="21" fillId="0" borderId="20" xfId="6" applyNumberFormat="1" applyFont="1" applyBorder="1" applyAlignment="1">
      <alignment horizontal="left" vertical="center" wrapText="1"/>
    </xf>
    <xf numFmtId="49" fontId="12" fillId="24" borderId="0" xfId="0" applyNumberFormat="1" applyFont="1" applyFill="1" applyAlignment="1">
      <alignment horizontal="center" vertical="center" wrapText="1"/>
    </xf>
    <xf numFmtId="0" fontId="25" fillId="26" borderId="14" xfId="0" applyFont="1" applyFill="1" applyBorder="1" applyAlignment="1">
      <alignment horizontal="center" vertical="center" wrapText="1"/>
    </xf>
    <xf numFmtId="0" fontId="25" fillId="26" borderId="15" xfId="0" applyFont="1" applyFill="1" applyBorder="1" applyAlignment="1">
      <alignment horizontal="center" vertical="center" wrapText="1"/>
    </xf>
    <xf numFmtId="0" fontId="25" fillId="26" borderId="16" xfId="0" applyFont="1" applyFill="1" applyBorder="1" applyAlignment="1">
      <alignment horizontal="center" vertical="center" wrapText="1"/>
    </xf>
    <xf numFmtId="0" fontId="25" fillId="25" borderId="1" xfId="0" applyFont="1" applyFill="1" applyBorder="1" applyAlignment="1">
      <alignment horizontal="center" vertical="center" wrapText="1"/>
    </xf>
  </cellXfs>
  <cellStyles count="8">
    <cellStyle name="Excel Built-in Normal" xfId="2" xr:uid="{00000000-0005-0000-0000-000000000000}"/>
    <cellStyle name="Millares" xfId="5" builtinId="3"/>
    <cellStyle name="Millares [0]" xfId="6" builtinId="6"/>
    <cellStyle name="Millares 2" xfId="3" xr:uid="{00000000-0005-0000-0000-000003000000}"/>
    <cellStyle name="Moneda" xfId="4" builtinId="4"/>
    <cellStyle name="Moneda [0] 2" xfId="7" xr:uid="{00000000-0005-0000-0000-000005000000}"/>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17</xdr:col>
      <xdr:colOff>636598</xdr:colOff>
      <xdr:row>27</xdr:row>
      <xdr:rowOff>169334</xdr:rowOff>
    </xdr:from>
    <xdr:to>
      <xdr:col>21</xdr:col>
      <xdr:colOff>188384</xdr:colOff>
      <xdr:row>33</xdr:row>
      <xdr:rowOff>63503</xdr:rowOff>
    </xdr:to>
    <xdr:pic>
      <xdr:nvPicPr>
        <xdr:cNvPr id="2" name="Imagen 1" descr="CARCAMOS EN CONCRETO - MUNDO PREFABRICADOS S.A.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2681" y="8117417"/>
          <a:ext cx="2599786" cy="1471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638527</xdr:colOff>
      <xdr:row>38</xdr:row>
      <xdr:rowOff>137582</xdr:rowOff>
    </xdr:from>
    <xdr:to>
      <xdr:col>21</xdr:col>
      <xdr:colOff>222251</xdr:colOff>
      <xdr:row>52</xdr:row>
      <xdr:rowOff>15875</xdr:rowOff>
    </xdr:to>
    <xdr:pic>
      <xdr:nvPicPr>
        <xdr:cNvPr id="4" name="Imagen 3" descr="TOPE-LLANTAS EN CONCRETO - MUNDO PREFABRICADOS S.A.S">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42610" y="10128249"/>
          <a:ext cx="3393724" cy="254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657270</xdr:colOff>
      <xdr:row>15</xdr:row>
      <xdr:rowOff>95251</xdr:rowOff>
    </xdr:from>
    <xdr:to>
      <xdr:col>21</xdr:col>
      <xdr:colOff>275167</xdr:colOff>
      <xdr:row>16</xdr:row>
      <xdr:rowOff>102905</xdr:rowOff>
    </xdr:to>
    <xdr:pic>
      <xdr:nvPicPr>
        <xdr:cNvPr id="6" name="Imagen 5" descr="Adoquín en concreto - tráfico pesado - prefabricados de calidad">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47353" y="1809751"/>
          <a:ext cx="1141897" cy="653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105834</xdr:colOff>
      <xdr:row>14</xdr:row>
      <xdr:rowOff>42334</xdr:rowOff>
    </xdr:from>
    <xdr:to>
      <xdr:col>21</xdr:col>
      <xdr:colOff>402167</xdr:colOff>
      <xdr:row>15</xdr:row>
      <xdr:rowOff>312209</xdr:rowOff>
    </xdr:to>
    <xdr:pic>
      <xdr:nvPicPr>
        <xdr:cNvPr id="12" name="Imagen 11" descr="Gramoquines - Prefabricados Omega">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657917" y="941917"/>
          <a:ext cx="1058333"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300781</xdr:colOff>
      <xdr:row>20</xdr:row>
      <xdr:rowOff>31750</xdr:rowOff>
    </xdr:from>
    <xdr:to>
      <xdr:col>23</xdr:col>
      <xdr:colOff>709085</xdr:colOff>
      <xdr:row>22</xdr:row>
      <xdr:rowOff>336734</xdr:rowOff>
    </xdr:to>
    <xdr:pic>
      <xdr:nvPicPr>
        <xdr:cNvPr id="14" name="Imagen 13" descr="Sardinel A-10 - preconcretos de la sabana">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376864" y="5196417"/>
          <a:ext cx="1170304" cy="1119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261192</xdr:colOff>
      <xdr:row>22</xdr:row>
      <xdr:rowOff>2</xdr:rowOff>
    </xdr:from>
    <xdr:to>
      <xdr:col>22</xdr:col>
      <xdr:colOff>18784</xdr:colOff>
      <xdr:row>25</xdr:row>
      <xdr:rowOff>89960</xdr:rowOff>
    </xdr:to>
    <xdr:pic>
      <xdr:nvPicPr>
        <xdr:cNvPr id="16" name="Imagen 15" descr="Alcaldía de Bucaramanga explica la construcción de resaltos que han  generado polémica | Vanguardia.com">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051275" y="5979585"/>
          <a:ext cx="2043592" cy="1259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673766</xdr:colOff>
      <xdr:row>17</xdr:row>
      <xdr:rowOff>423334</xdr:rowOff>
    </xdr:from>
    <xdr:to>
      <xdr:col>23</xdr:col>
      <xdr:colOff>656166</xdr:colOff>
      <xdr:row>19</xdr:row>
      <xdr:rowOff>254001</xdr:rowOff>
    </xdr:to>
    <xdr:pic>
      <xdr:nvPicPr>
        <xdr:cNvPr id="18" name="Imagen 17" descr="CAÑUELAS EN CONCRETO - MUNDO PREFABRICADOS S.A.S">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987849" y="2783417"/>
          <a:ext cx="1506400" cy="1132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7"/>
  <sheetViews>
    <sheetView topLeftCell="G7" zoomScale="90" zoomScaleNormal="90" workbookViewId="0">
      <selection activeCell="K18" sqref="K18"/>
    </sheetView>
  </sheetViews>
  <sheetFormatPr baseColWidth="10" defaultRowHeight="15" x14ac:dyDescent="0.25"/>
  <cols>
    <col min="1" max="1" width="5" customWidth="1"/>
    <col min="3" max="3" width="34.28515625" customWidth="1"/>
    <col min="5" max="7" width="15.7109375" customWidth="1"/>
    <col min="8" max="8" width="18.140625" customWidth="1"/>
    <col min="9" max="9" width="23" customWidth="1"/>
    <col min="10" max="10" width="18.85546875" customWidth="1"/>
    <col min="11" max="11" width="21.28515625" customWidth="1"/>
    <col min="12" max="12" width="13.85546875" bestFit="1" customWidth="1"/>
  </cols>
  <sheetData>
    <row r="2" spans="2:12" x14ac:dyDescent="0.25">
      <c r="B2" s="251" t="s">
        <v>0</v>
      </c>
      <c r="C2" s="252"/>
      <c r="D2" s="252"/>
      <c r="E2" s="252"/>
      <c r="F2" s="252"/>
      <c r="G2" s="252"/>
      <c r="H2" s="252"/>
    </row>
    <row r="3" spans="2:12" ht="51" customHeight="1" x14ac:dyDescent="0.25">
      <c r="B3" s="1" t="s">
        <v>1</v>
      </c>
      <c r="C3" s="1" t="s">
        <v>2</v>
      </c>
      <c r="D3" s="1" t="s">
        <v>3</v>
      </c>
      <c r="E3" s="117" t="s">
        <v>181</v>
      </c>
      <c r="F3" s="117" t="s">
        <v>182</v>
      </c>
      <c r="G3" s="172" t="s">
        <v>183</v>
      </c>
      <c r="H3" s="117" t="s">
        <v>184</v>
      </c>
      <c r="I3" s="172" t="s">
        <v>178</v>
      </c>
      <c r="J3" s="172" t="s">
        <v>180</v>
      </c>
    </row>
    <row r="4" spans="2:12" x14ac:dyDescent="0.25">
      <c r="B4" s="1"/>
      <c r="C4" s="171"/>
      <c r="D4" s="170" t="s">
        <v>13</v>
      </c>
      <c r="E4" s="117"/>
      <c r="F4" s="117"/>
      <c r="G4" s="1"/>
      <c r="H4" s="2"/>
    </row>
    <row r="5" spans="2:12" ht="26.25" x14ac:dyDescent="0.25">
      <c r="B5" s="18">
        <v>22</v>
      </c>
      <c r="C5" s="7" t="s">
        <v>187</v>
      </c>
      <c r="D5" s="8" t="s">
        <v>13</v>
      </c>
      <c r="E5" s="13">
        <v>1645.65</v>
      </c>
      <c r="F5" s="121">
        <v>1177</v>
      </c>
      <c r="G5" s="29">
        <v>7695</v>
      </c>
      <c r="H5" s="14">
        <f>+G5*E5</f>
        <v>12663276.75</v>
      </c>
      <c r="I5" s="184">
        <f>G5*1.0321</f>
        <v>7942.0095000000001</v>
      </c>
      <c r="J5" s="180">
        <f>F5*I5</f>
        <v>9347745.1815000009</v>
      </c>
    </row>
    <row r="6" spans="2:12" ht="39" x14ac:dyDescent="0.25">
      <c r="B6" s="18">
        <v>23</v>
      </c>
      <c r="C6" s="7" t="s">
        <v>188</v>
      </c>
      <c r="D6" s="8" t="s">
        <v>29</v>
      </c>
      <c r="E6" s="13"/>
      <c r="F6" s="121">
        <f>1177*0.15</f>
        <v>176.54999999999998</v>
      </c>
      <c r="G6" s="29"/>
      <c r="H6" s="14"/>
      <c r="I6" s="184">
        <v>54000</v>
      </c>
      <c r="J6" s="180">
        <f>F6*I6</f>
        <v>9533700</v>
      </c>
      <c r="L6" t="s">
        <v>192</v>
      </c>
    </row>
    <row r="7" spans="2:12" ht="64.5" x14ac:dyDescent="0.25">
      <c r="B7" s="18">
        <v>24</v>
      </c>
      <c r="C7" s="183" t="s">
        <v>193</v>
      </c>
      <c r="D7" s="8" t="s">
        <v>29</v>
      </c>
      <c r="E7" s="13">
        <v>1722</v>
      </c>
      <c r="F7" s="121">
        <f>1177*0.15</f>
        <v>176.54999999999998</v>
      </c>
      <c r="G7" s="10">
        <v>96200</v>
      </c>
      <c r="H7" s="14">
        <f>+G7*E7</f>
        <v>165656400</v>
      </c>
      <c r="I7" s="184">
        <f>621150</f>
        <v>621150</v>
      </c>
      <c r="J7" s="180">
        <f>F7*I7</f>
        <v>109664032.49999999</v>
      </c>
    </row>
    <row r="8" spans="2:12" x14ac:dyDescent="0.25">
      <c r="B8" s="18">
        <v>25</v>
      </c>
      <c r="C8" s="7" t="s">
        <v>19</v>
      </c>
      <c r="D8" s="8" t="s">
        <v>18</v>
      </c>
      <c r="E8" s="13">
        <v>1</v>
      </c>
      <c r="F8" s="15">
        <v>1</v>
      </c>
      <c r="G8" s="19">
        <v>5471416.75</v>
      </c>
      <c r="H8" s="14">
        <f t="shared" ref="H8:H12" si="0">+G8*E8</f>
        <v>5471416.75</v>
      </c>
      <c r="I8" s="184">
        <f t="shared" ref="I8:I12" si="1">G8*1.0321</f>
        <v>5647049.2276750002</v>
      </c>
      <c r="J8" s="180">
        <f t="shared" ref="J8:J14" si="2">F8*I8</f>
        <v>5647049.2276750002</v>
      </c>
    </row>
    <row r="9" spans="2:12" ht="39" x14ac:dyDescent="0.25">
      <c r="B9" s="18">
        <v>26</v>
      </c>
      <c r="C9" s="7" t="s">
        <v>194</v>
      </c>
      <c r="D9" s="8" t="s">
        <v>18</v>
      </c>
      <c r="E9" s="31">
        <v>7.1999999999999993</v>
      </c>
      <c r="F9" s="161">
        <v>8</v>
      </c>
      <c r="G9" s="19">
        <v>1236700</v>
      </c>
      <c r="H9" s="14">
        <f t="shared" si="0"/>
        <v>8904240</v>
      </c>
      <c r="I9" s="184">
        <f>'parqueadero ELV'!I24</f>
        <v>1327453.9928000001</v>
      </c>
      <c r="J9" s="180">
        <f t="shared" si="2"/>
        <v>10619631.942400001</v>
      </c>
    </row>
    <row r="10" spans="2:12" x14ac:dyDescent="0.25">
      <c r="B10" s="18">
        <v>27</v>
      </c>
      <c r="C10" s="7" t="s">
        <v>44</v>
      </c>
      <c r="D10" s="8" t="s">
        <v>3</v>
      </c>
      <c r="E10" s="13">
        <v>10</v>
      </c>
      <c r="F10" s="15">
        <v>28</v>
      </c>
      <c r="G10" s="29">
        <v>576571</v>
      </c>
      <c r="H10" s="14">
        <f t="shared" si="0"/>
        <v>5765710</v>
      </c>
      <c r="I10" s="184">
        <f t="shared" si="1"/>
        <v>595078.92910000007</v>
      </c>
      <c r="J10" s="180">
        <f t="shared" si="2"/>
        <v>16662210.014800001</v>
      </c>
    </row>
    <row r="11" spans="2:12" x14ac:dyDescent="0.25">
      <c r="B11" s="18">
        <v>28</v>
      </c>
      <c r="C11" s="7" t="s">
        <v>46</v>
      </c>
      <c r="D11" s="8" t="s">
        <v>18</v>
      </c>
      <c r="E11" s="13">
        <v>1</v>
      </c>
      <c r="F11" s="15">
        <v>1</v>
      </c>
      <c r="G11" s="29">
        <f>'parqueadero ELV'!G27</f>
        <v>832000</v>
      </c>
      <c r="H11" s="14">
        <f t="shared" si="0"/>
        <v>832000</v>
      </c>
      <c r="I11" s="184">
        <f t="shared" si="1"/>
        <v>858707.20000000007</v>
      </c>
      <c r="J11" s="180">
        <f t="shared" si="2"/>
        <v>858707.20000000007</v>
      </c>
    </row>
    <row r="12" spans="2:12" x14ac:dyDescent="0.25">
      <c r="B12" s="18">
        <v>29</v>
      </c>
      <c r="C12" s="7" t="s">
        <v>48</v>
      </c>
      <c r="D12" s="8" t="s">
        <v>18</v>
      </c>
      <c r="E12" s="13">
        <v>10</v>
      </c>
      <c r="F12" s="15">
        <v>28</v>
      </c>
      <c r="G12" s="19">
        <v>54680</v>
      </c>
      <c r="H12" s="14">
        <f t="shared" si="0"/>
        <v>546800</v>
      </c>
      <c r="I12" s="184">
        <f t="shared" si="1"/>
        <v>56435.228000000003</v>
      </c>
      <c r="J12" s="180">
        <f t="shared" si="2"/>
        <v>1580186.3840000001</v>
      </c>
    </row>
    <row r="13" spans="2:12" x14ac:dyDescent="0.25">
      <c r="B13" s="18">
        <v>30</v>
      </c>
      <c r="C13" s="7" t="s">
        <v>204</v>
      </c>
      <c r="D13" s="8" t="s">
        <v>18</v>
      </c>
      <c r="E13" s="13"/>
      <c r="F13" s="15">
        <v>4</v>
      </c>
      <c r="G13" s="19"/>
      <c r="H13" s="14"/>
      <c r="I13" s="184">
        <v>1000000</v>
      </c>
      <c r="J13" s="180">
        <f t="shared" si="2"/>
        <v>4000000</v>
      </c>
      <c r="K13" s="124" t="e">
        <f>+#REF!+J13</f>
        <v>#REF!</v>
      </c>
    </row>
    <row r="14" spans="2:12" x14ac:dyDescent="0.25">
      <c r="B14" s="18"/>
      <c r="C14" s="7" t="s">
        <v>206</v>
      </c>
      <c r="D14" s="8" t="s">
        <v>24</v>
      </c>
      <c r="E14" s="13"/>
      <c r="F14" s="15">
        <v>8</v>
      </c>
      <c r="G14" s="19">
        <v>101374</v>
      </c>
      <c r="H14" s="14"/>
      <c r="I14" s="194">
        <v>101374</v>
      </c>
      <c r="J14" s="180">
        <f t="shared" si="2"/>
        <v>810992</v>
      </c>
      <c r="K14" s="124"/>
    </row>
    <row r="15" spans="2:12" x14ac:dyDescent="0.25">
      <c r="B15" s="18">
        <v>32</v>
      </c>
      <c r="C15" s="7" t="s">
        <v>195</v>
      </c>
      <c r="D15" s="8" t="s">
        <v>196</v>
      </c>
      <c r="E15" s="13">
        <v>1</v>
      </c>
      <c r="F15" s="15">
        <v>1</v>
      </c>
      <c r="G15" s="19"/>
      <c r="H15" s="14">
        <f t="shared" ref="H15" si="3">+G15*E15</f>
        <v>0</v>
      </c>
      <c r="I15" s="184">
        <v>2000000</v>
      </c>
      <c r="J15" s="180">
        <f t="shared" ref="J15" si="4">F15*I15</f>
        <v>2000000</v>
      </c>
    </row>
    <row r="16" spans="2:12" x14ac:dyDescent="0.25">
      <c r="B16" s="47"/>
      <c r="C16" s="48"/>
      <c r="D16" s="47"/>
      <c r="E16" s="49"/>
      <c r="F16" s="49"/>
      <c r="G16" s="49"/>
      <c r="H16" s="49"/>
    </row>
    <row r="17" spans="2:12" x14ac:dyDescent="0.25">
      <c r="B17" s="47"/>
      <c r="C17" s="48"/>
      <c r="D17" s="47"/>
      <c r="E17" s="49"/>
      <c r="F17" s="49"/>
      <c r="G17" s="49"/>
      <c r="H17" s="49"/>
      <c r="K17" t="s">
        <v>191</v>
      </c>
    </row>
    <row r="18" spans="2:12" x14ac:dyDescent="0.25">
      <c r="B18" s="47"/>
      <c r="C18" s="50" t="s">
        <v>59</v>
      </c>
      <c r="D18" s="51"/>
      <c r="E18" s="55"/>
      <c r="F18" s="55"/>
      <c r="G18" s="55"/>
      <c r="H18" s="56">
        <f>+SUM(H7:H16)</f>
        <v>187176566.75</v>
      </c>
      <c r="J18" s="184">
        <f>SUM(J5:J15)</f>
        <v>170724254.45037499</v>
      </c>
      <c r="K18" s="184">
        <f>+J18/1270</f>
        <v>134428.5468113189</v>
      </c>
      <c r="L18" s="124"/>
    </row>
    <row r="19" spans="2:12" x14ac:dyDescent="0.25">
      <c r="B19" s="73"/>
      <c r="C19" s="57" t="s">
        <v>60</v>
      </c>
      <c r="D19" s="58"/>
      <c r="E19" s="55"/>
      <c r="F19" s="55"/>
      <c r="G19" s="55"/>
      <c r="H19" s="62">
        <f>+SUM(H20:H23)</f>
        <v>49077695.801849999</v>
      </c>
      <c r="J19" s="180">
        <f>SUM(J20:J23)</f>
        <v>44763899.516888328</v>
      </c>
    </row>
    <row r="20" spans="2:12" x14ac:dyDescent="0.25">
      <c r="B20" s="73"/>
      <c r="C20" s="63" t="s">
        <v>61</v>
      </c>
      <c r="D20" s="64">
        <v>0.17269999999999999</v>
      </c>
      <c r="E20" s="55"/>
      <c r="F20" s="55"/>
      <c r="G20" s="55"/>
      <c r="H20" s="62">
        <f>+D20*H18</f>
        <v>32325393.077724997</v>
      </c>
      <c r="J20" s="180">
        <f>J18*D20</f>
        <v>29484078.74357976</v>
      </c>
    </row>
    <row r="21" spans="2:12" x14ac:dyDescent="0.25">
      <c r="B21" s="73"/>
      <c r="C21" s="63" t="s">
        <v>62</v>
      </c>
      <c r="D21" s="64">
        <v>0.03</v>
      </c>
      <c r="E21" s="55"/>
      <c r="F21" s="55"/>
      <c r="G21" s="55"/>
      <c r="H21" s="62">
        <f>+D21*H18</f>
        <v>5615297.0024999995</v>
      </c>
      <c r="J21" s="180">
        <f>J18*D21</f>
        <v>5121727.6335112499</v>
      </c>
    </row>
    <row r="22" spans="2:12" x14ac:dyDescent="0.25">
      <c r="B22" s="73"/>
      <c r="C22" s="63" t="s">
        <v>63</v>
      </c>
      <c r="D22" s="64">
        <v>0.05</v>
      </c>
      <c r="E22" s="55"/>
      <c r="F22" s="55"/>
      <c r="G22" s="55"/>
      <c r="H22" s="62">
        <f>+D22*H18</f>
        <v>9358828.3375000004</v>
      </c>
      <c r="J22" s="181">
        <f>D22*J18</f>
        <v>8536212.7225187495</v>
      </c>
    </row>
    <row r="23" spans="2:12" x14ac:dyDescent="0.25">
      <c r="B23" s="73"/>
      <c r="C23" s="65" t="s">
        <v>64</v>
      </c>
      <c r="D23" s="67">
        <v>0.19</v>
      </c>
      <c r="E23" s="55"/>
      <c r="F23" s="55"/>
      <c r="G23" s="55"/>
      <c r="H23" s="70">
        <f>+D23*H22</f>
        <v>1778177.3841250001</v>
      </c>
      <c r="J23" s="181">
        <f>J22*D23</f>
        <v>1621880.4172785624</v>
      </c>
    </row>
    <row r="24" spans="2:12" x14ac:dyDescent="0.25">
      <c r="B24" s="73"/>
      <c r="C24" s="73"/>
      <c r="D24" s="73"/>
      <c r="E24" s="73"/>
      <c r="F24" s="73"/>
      <c r="G24" s="73"/>
      <c r="H24" s="73"/>
    </row>
    <row r="25" spans="2:12" x14ac:dyDescent="0.25">
      <c r="B25" s="73"/>
      <c r="C25" s="73"/>
      <c r="D25" s="73"/>
      <c r="E25" s="76"/>
      <c r="F25" s="76"/>
      <c r="G25" s="76"/>
      <c r="H25" s="78">
        <f>+H19+H18</f>
        <v>236254262.55184999</v>
      </c>
      <c r="J25" s="179">
        <f>J18+J19</f>
        <v>215488153.96726331</v>
      </c>
    </row>
    <row r="26" spans="2:12" x14ac:dyDescent="0.25">
      <c r="B26" s="73"/>
      <c r="C26" s="73"/>
      <c r="D26" s="73"/>
      <c r="E26" s="73"/>
      <c r="F26" s="73"/>
      <c r="G26" s="73"/>
      <c r="H26" s="119"/>
    </row>
    <row r="27" spans="2:12" x14ac:dyDescent="0.25">
      <c r="B27" s="73"/>
      <c r="C27" s="73"/>
      <c r="D27" s="73"/>
      <c r="E27" s="73"/>
      <c r="F27" s="73"/>
      <c r="G27" s="73"/>
      <c r="H27" s="81"/>
    </row>
  </sheetData>
  <protectedRanges>
    <protectedRange sqref="D20:D22" name="Rango3_2_1_3"/>
  </protectedRanges>
  <mergeCells count="1">
    <mergeCell ref="B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B1:W49"/>
  <sheetViews>
    <sheetView topLeftCell="G25" zoomScale="90" zoomScaleNormal="90" workbookViewId="0">
      <selection activeCell="G7" sqref="G7"/>
    </sheetView>
  </sheetViews>
  <sheetFormatPr baseColWidth="10" defaultRowHeight="15" x14ac:dyDescent="0.25"/>
  <cols>
    <col min="1" max="1" width="5" customWidth="1"/>
    <col min="3" max="3" width="61" customWidth="1"/>
    <col min="5" max="5" width="16.7109375" customWidth="1"/>
    <col min="6" max="6" width="18" customWidth="1"/>
    <col min="7" max="7" width="16.28515625" customWidth="1"/>
    <col min="8" max="10" width="19.140625" customWidth="1"/>
    <col min="11" max="11" width="24.28515625" customWidth="1"/>
    <col min="12" max="12" width="15.85546875" customWidth="1"/>
    <col min="13" max="13" width="26.5703125" customWidth="1"/>
    <col min="14" max="14" width="20.5703125" customWidth="1"/>
    <col min="16" max="16" width="13.85546875" customWidth="1"/>
  </cols>
  <sheetData>
    <row r="1" spans="2:23" x14ac:dyDescent="0.25">
      <c r="E1" t="s">
        <v>165</v>
      </c>
      <c r="G1">
        <f>10.93+23.02+79.07</f>
        <v>113.02</v>
      </c>
      <c r="M1" s="149"/>
      <c r="N1" s="150">
        <v>198</v>
      </c>
      <c r="P1" s="254" t="s">
        <v>174</v>
      </c>
      <c r="Q1" s="255"/>
      <c r="R1" s="157">
        <v>42</v>
      </c>
      <c r="S1" s="157">
        <v>5.4</v>
      </c>
      <c r="T1" s="157" t="s">
        <v>170</v>
      </c>
      <c r="U1" s="157"/>
      <c r="V1" s="150">
        <f>+S1*R1</f>
        <v>226.8</v>
      </c>
    </row>
    <row r="2" spans="2:23" x14ac:dyDescent="0.25">
      <c r="E2" s="73" t="s">
        <v>162</v>
      </c>
      <c r="G2">
        <f>192.5+208+31.5+13.63+17.44+10.57</f>
        <v>473.64</v>
      </c>
      <c r="M2" s="151" t="s">
        <v>168</v>
      </c>
      <c r="N2" s="152">
        <f>62.5*2</f>
        <v>125</v>
      </c>
      <c r="P2" s="256"/>
      <c r="Q2" s="257"/>
      <c r="R2" s="158">
        <v>41</v>
      </c>
      <c r="S2" s="158">
        <v>2.5499999999999998</v>
      </c>
      <c r="T2" s="158" t="s">
        <v>171</v>
      </c>
      <c r="U2" s="158"/>
      <c r="V2" s="152">
        <f>+S2*R2</f>
        <v>104.55</v>
      </c>
    </row>
    <row r="3" spans="2:23" x14ac:dyDescent="0.25">
      <c r="E3" s="160" t="s">
        <v>161</v>
      </c>
      <c r="F3" s="136"/>
      <c r="G3" s="136">
        <f>339.6+235.8</f>
        <v>575.40000000000009</v>
      </c>
      <c r="M3" s="151"/>
      <c r="N3" s="152">
        <v>5.6</v>
      </c>
      <c r="P3" s="151"/>
      <c r="Q3" s="158"/>
      <c r="R3" s="158"/>
      <c r="S3" s="158"/>
      <c r="T3" s="158"/>
      <c r="U3" s="158"/>
      <c r="V3" s="152"/>
    </row>
    <row r="4" spans="2:23" ht="15.75" thickBot="1" x14ac:dyDescent="0.3">
      <c r="E4" s="160" t="s">
        <v>163</v>
      </c>
      <c r="F4" s="136"/>
      <c r="G4" s="136">
        <v>722.2</v>
      </c>
      <c r="M4" s="153"/>
      <c r="N4" s="154">
        <f>SUM(N1:N3)</f>
        <v>328.6</v>
      </c>
      <c r="P4" s="151" t="s">
        <v>172</v>
      </c>
      <c r="Q4" s="158"/>
      <c r="R4" s="158">
        <v>155.41</v>
      </c>
      <c r="S4" s="158"/>
      <c r="T4" s="158"/>
      <c r="U4" s="158"/>
      <c r="V4" s="152"/>
    </row>
    <row r="5" spans="2:23" ht="15.75" thickBot="1" x14ac:dyDescent="0.3">
      <c r="E5" s="160" t="s">
        <v>164</v>
      </c>
      <c r="F5" s="136"/>
      <c r="G5" s="136">
        <v>118.2</v>
      </c>
      <c r="P5" s="153" t="s">
        <v>173</v>
      </c>
      <c r="Q5" s="159"/>
      <c r="R5" s="159">
        <v>38.71</v>
      </c>
      <c r="S5" s="159"/>
      <c r="T5" s="159"/>
      <c r="U5" s="159"/>
      <c r="V5" s="154">
        <f>+V1+V2+R4+R5</f>
        <v>525.47</v>
      </c>
    </row>
    <row r="6" spans="2:23" ht="15.75" thickBot="1" x14ac:dyDescent="0.3">
      <c r="E6" s="73"/>
      <c r="G6">
        <f>+G3+G4+G5</f>
        <v>1415.8000000000002</v>
      </c>
      <c r="M6" s="155" t="s">
        <v>169</v>
      </c>
      <c r="N6" s="156">
        <f>8.1+6.4</f>
        <v>14.5</v>
      </c>
      <c r="P6" t="s">
        <v>175</v>
      </c>
    </row>
    <row r="7" spans="2:23" x14ac:dyDescent="0.25">
      <c r="E7" s="73" t="s">
        <v>207</v>
      </c>
    </row>
    <row r="8" spans="2:23" x14ac:dyDescent="0.25">
      <c r="E8" s="73"/>
    </row>
    <row r="10" spans="2:23" x14ac:dyDescent="0.25">
      <c r="B10" s="251" t="s">
        <v>122</v>
      </c>
      <c r="C10" s="252"/>
      <c r="D10" s="252"/>
      <c r="E10" s="252"/>
      <c r="F10" s="252"/>
      <c r="G10" s="252"/>
      <c r="H10" s="252"/>
      <c r="I10" s="252"/>
      <c r="J10" s="252"/>
      <c r="K10" s="252"/>
      <c r="L10" s="253"/>
      <c r="M10" s="143"/>
      <c r="P10" t="s">
        <v>110</v>
      </c>
    </row>
    <row r="11" spans="2:23" ht="75" x14ac:dyDescent="0.25">
      <c r="B11" s="1" t="s">
        <v>1</v>
      </c>
      <c r="C11" s="1" t="s">
        <v>2</v>
      </c>
      <c r="D11" s="1" t="s">
        <v>3</v>
      </c>
      <c r="E11" s="172" t="s">
        <v>185</v>
      </c>
      <c r="F11" s="148" t="s">
        <v>166</v>
      </c>
      <c r="G11" s="172" t="s">
        <v>183</v>
      </c>
      <c r="H11" s="172" t="s">
        <v>184</v>
      </c>
      <c r="I11" s="172" t="s">
        <v>178</v>
      </c>
      <c r="J11" s="172" t="s">
        <v>179</v>
      </c>
      <c r="K11" s="5" t="s">
        <v>10</v>
      </c>
      <c r="L11" s="5" t="s">
        <v>11</v>
      </c>
      <c r="M11" s="144"/>
      <c r="N11" s="145" t="s">
        <v>159</v>
      </c>
    </row>
    <row r="12" spans="2:23" x14ac:dyDescent="0.25">
      <c r="B12" s="6">
        <v>1</v>
      </c>
      <c r="C12" s="128" t="s">
        <v>121</v>
      </c>
      <c r="D12" s="35" t="s">
        <v>13</v>
      </c>
      <c r="E12" s="146">
        <v>1402</v>
      </c>
      <c r="F12" s="146">
        <v>1889.44</v>
      </c>
      <c r="G12" s="138">
        <f>'plazoleta ELV'!G5</f>
        <v>7695</v>
      </c>
      <c r="H12" s="130">
        <f>+G12*E12</f>
        <v>10788390</v>
      </c>
      <c r="I12" s="130">
        <f>G12*1.0321</f>
        <v>7942.0095000000001</v>
      </c>
      <c r="J12" s="130">
        <f>F12*I12</f>
        <v>15005950.429680001</v>
      </c>
      <c r="K12" s="71"/>
      <c r="L12" s="72" t="s">
        <v>32</v>
      </c>
      <c r="M12" s="140"/>
      <c r="N12" s="130">
        <v>4132</v>
      </c>
      <c r="O12" t="s">
        <v>115</v>
      </c>
      <c r="P12" s="124">
        <v>1350</v>
      </c>
      <c r="S12" t="s">
        <v>158</v>
      </c>
    </row>
    <row r="13" spans="2:23" ht="39" customHeight="1" x14ac:dyDescent="0.25">
      <c r="B13" s="6">
        <v>7</v>
      </c>
      <c r="C13" s="134" t="s">
        <v>145</v>
      </c>
      <c r="D13" s="35" t="s">
        <v>29</v>
      </c>
      <c r="E13" s="36">
        <v>1399</v>
      </c>
      <c r="F13" s="162">
        <f>+(G3+G4+G5)*0.5*1.3</f>
        <v>920.2700000000001</v>
      </c>
      <c r="G13" s="129">
        <f>+ROUND(50227*1.04,0)</f>
        <v>52236</v>
      </c>
      <c r="H13" s="130">
        <f>+G13*E13</f>
        <v>73078164</v>
      </c>
      <c r="I13" s="130">
        <v>22500</v>
      </c>
      <c r="J13" s="130">
        <f>F13*I13</f>
        <v>20706075.000000004</v>
      </c>
      <c r="K13" s="71"/>
      <c r="L13" s="72"/>
      <c r="M13" s="140"/>
      <c r="N13" s="130">
        <v>56257</v>
      </c>
      <c r="O13" s="141" t="s">
        <v>146</v>
      </c>
      <c r="P13" s="142">
        <v>43900</v>
      </c>
      <c r="T13" s="136" t="s">
        <v>125</v>
      </c>
      <c r="U13" s="136" t="s">
        <v>130</v>
      </c>
      <c r="V13" s="136"/>
    </row>
    <row r="14" spans="2:23" x14ac:dyDescent="0.25">
      <c r="B14" s="6">
        <v>8</v>
      </c>
      <c r="C14" s="128" t="s">
        <v>197</v>
      </c>
      <c r="D14" s="35" t="s">
        <v>29</v>
      </c>
      <c r="E14" s="36">
        <v>979</v>
      </c>
      <c r="F14" s="162">
        <f>+(G3+G4+G5)*0.35</f>
        <v>495.53000000000003</v>
      </c>
      <c r="G14" s="132">
        <f>+ROUND(84981*1.04,0)</f>
        <v>88380</v>
      </c>
      <c r="H14" s="132">
        <f>+G14*E14</f>
        <v>86524020</v>
      </c>
      <c r="I14" s="130">
        <v>82247</v>
      </c>
      <c r="J14" s="130">
        <f>F14*I14</f>
        <v>40755855.910000004</v>
      </c>
      <c r="K14" s="71"/>
      <c r="L14" s="72"/>
      <c r="M14" s="140"/>
      <c r="N14" s="130">
        <v>68883</v>
      </c>
      <c r="O14" t="s">
        <v>115</v>
      </c>
      <c r="P14" s="124">
        <v>79214</v>
      </c>
      <c r="Q14" t="s">
        <v>119</v>
      </c>
      <c r="W14" s="136" t="s">
        <v>129</v>
      </c>
    </row>
    <row r="15" spans="2:23" ht="39" x14ac:dyDescent="0.25">
      <c r="B15" s="6">
        <v>2</v>
      </c>
      <c r="C15" s="128" t="s">
        <v>147</v>
      </c>
      <c r="D15" s="35" t="s">
        <v>13</v>
      </c>
      <c r="E15" s="146">
        <v>525</v>
      </c>
      <c r="F15" s="146">
        <v>575.4</v>
      </c>
      <c r="G15" s="132">
        <f>ROUND(84115*1.04,0)</f>
        <v>87480</v>
      </c>
      <c r="H15" s="130">
        <f t="shared" ref="H15:H33" si="0">+G15*E15</f>
        <v>45927000</v>
      </c>
      <c r="I15" s="130">
        <f t="shared" ref="I15:I33" si="1">G15*1.0321</f>
        <v>90288.108000000007</v>
      </c>
      <c r="J15" s="130">
        <f t="shared" ref="J15:J33" si="2">F15*I15</f>
        <v>51951777.343200006</v>
      </c>
      <c r="K15" s="71" t="s">
        <v>14</v>
      </c>
      <c r="L15" s="72"/>
      <c r="M15" s="140"/>
      <c r="N15" s="130"/>
      <c r="O15" t="s">
        <v>123</v>
      </c>
      <c r="P15" s="124">
        <v>66360</v>
      </c>
      <c r="Q15" t="s">
        <v>113</v>
      </c>
      <c r="W15" s="141" t="s">
        <v>153</v>
      </c>
    </row>
    <row r="16" spans="2:23" ht="51" x14ac:dyDescent="0.25">
      <c r="B16" s="6">
        <v>3</v>
      </c>
      <c r="C16" s="128" t="s">
        <v>148</v>
      </c>
      <c r="D16" s="35" t="s">
        <v>13</v>
      </c>
      <c r="E16" s="146">
        <v>960</v>
      </c>
      <c r="F16" s="146">
        <v>722.2</v>
      </c>
      <c r="G16" s="132">
        <f>ROUND(95140*1.04,0)</f>
        <v>98946</v>
      </c>
      <c r="H16" s="130">
        <f>+G16*E16</f>
        <v>94988160</v>
      </c>
      <c r="I16" s="130">
        <f t="shared" si="1"/>
        <v>102122.1666</v>
      </c>
      <c r="J16" s="130">
        <f t="shared" si="2"/>
        <v>73752628.718520001</v>
      </c>
      <c r="K16" s="71"/>
      <c r="L16" s="72"/>
      <c r="M16" s="140"/>
      <c r="N16" s="130">
        <v>52528</v>
      </c>
      <c r="O16" t="s">
        <v>115</v>
      </c>
      <c r="P16" s="124">
        <v>90885</v>
      </c>
      <c r="Q16" t="s">
        <v>111</v>
      </c>
      <c r="W16" s="141" t="s">
        <v>154</v>
      </c>
    </row>
    <row r="17" spans="2:23" ht="25.5" x14ac:dyDescent="0.25">
      <c r="B17" s="6" t="s">
        <v>167</v>
      </c>
      <c r="C17" s="189" t="s">
        <v>198</v>
      </c>
      <c r="D17" s="35" t="s">
        <v>13</v>
      </c>
      <c r="E17" s="146"/>
      <c r="F17" s="146">
        <v>118.2</v>
      </c>
      <c r="G17" s="132"/>
      <c r="H17" s="130"/>
      <c r="I17" s="130">
        <f>'plazoleta ELV'!I7</f>
        <v>621150</v>
      </c>
      <c r="J17" s="130">
        <f t="shared" si="2"/>
        <v>73419930</v>
      </c>
      <c r="K17" s="71"/>
      <c r="L17" s="72"/>
      <c r="M17" s="140"/>
      <c r="N17" s="130"/>
      <c r="P17" s="124"/>
      <c r="W17" s="141"/>
    </row>
    <row r="18" spans="2:23" ht="76.5" x14ac:dyDescent="0.25">
      <c r="B18" s="6">
        <v>4</v>
      </c>
      <c r="C18" s="128" t="s">
        <v>128</v>
      </c>
      <c r="D18" s="35" t="s">
        <v>18</v>
      </c>
      <c r="E18" s="146">
        <v>2</v>
      </c>
      <c r="F18" s="146">
        <v>1</v>
      </c>
      <c r="G18" s="129">
        <v>5471416.75</v>
      </c>
      <c r="H18" s="130">
        <f t="shared" si="0"/>
        <v>10942833.5</v>
      </c>
      <c r="I18" s="130">
        <f t="shared" si="1"/>
        <v>5647049.2276750002</v>
      </c>
      <c r="J18" s="130">
        <f t="shared" si="2"/>
        <v>5647049.2276750002</v>
      </c>
      <c r="K18" s="71"/>
      <c r="L18" s="72"/>
      <c r="M18" s="140"/>
      <c r="N18" s="130"/>
      <c r="P18" s="124"/>
      <c r="Q18" t="s">
        <v>127</v>
      </c>
    </row>
    <row r="19" spans="2:23" ht="25.5" x14ac:dyDescent="0.25">
      <c r="B19" s="6">
        <v>5</v>
      </c>
      <c r="C19" s="128" t="s">
        <v>149</v>
      </c>
      <c r="D19" s="35" t="s">
        <v>24</v>
      </c>
      <c r="E19" s="36">
        <v>211</v>
      </c>
      <c r="F19" s="147">
        <f>176+21.7</f>
        <v>197.7</v>
      </c>
      <c r="G19" s="132">
        <f>+ROUND(120000*1.04,0)</f>
        <v>124800</v>
      </c>
      <c r="H19" s="130">
        <f t="shared" si="0"/>
        <v>26332800</v>
      </c>
      <c r="I19" s="130">
        <f t="shared" si="1"/>
        <v>128806.08</v>
      </c>
      <c r="J19" s="130">
        <f t="shared" si="2"/>
        <v>25464962.015999999</v>
      </c>
      <c r="K19" s="71"/>
      <c r="L19" s="72"/>
      <c r="M19" s="140"/>
      <c r="N19" s="130">
        <v>43504</v>
      </c>
      <c r="O19" t="s">
        <v>115</v>
      </c>
      <c r="P19" s="124">
        <v>100318</v>
      </c>
      <c r="Q19" s="141" t="s">
        <v>152</v>
      </c>
      <c r="R19" s="141"/>
      <c r="S19" s="141"/>
      <c r="T19" s="141" t="s">
        <v>151</v>
      </c>
      <c r="U19" s="141">
        <v>56000</v>
      </c>
    </row>
    <row r="20" spans="2:23" ht="39" x14ac:dyDescent="0.25">
      <c r="B20" s="6">
        <v>6</v>
      </c>
      <c r="C20" s="128" t="s">
        <v>150</v>
      </c>
      <c r="D20" s="35" t="s">
        <v>13</v>
      </c>
      <c r="E20" s="146">
        <v>525</v>
      </c>
      <c r="F20" s="146">
        <f>+F15</f>
        <v>575.4</v>
      </c>
      <c r="G20" s="133">
        <f>ROUND(11230*1.04,0)</f>
        <v>11679</v>
      </c>
      <c r="H20" s="130">
        <f t="shared" si="0"/>
        <v>6131475</v>
      </c>
      <c r="I20" s="130">
        <f t="shared" si="1"/>
        <v>12053.8959</v>
      </c>
      <c r="J20" s="130">
        <f t="shared" si="2"/>
        <v>6935811.7008599993</v>
      </c>
      <c r="K20" s="71" t="s">
        <v>14</v>
      </c>
      <c r="L20" s="72"/>
      <c r="M20" s="140"/>
      <c r="N20" s="130"/>
      <c r="O20" t="s">
        <v>115</v>
      </c>
      <c r="P20" s="124">
        <v>9938</v>
      </c>
      <c r="Q20" t="s">
        <v>124</v>
      </c>
    </row>
    <row r="21" spans="2:23" ht="25.5" x14ac:dyDescent="0.25">
      <c r="B21" s="6">
        <v>9</v>
      </c>
      <c r="C21" s="128" t="s">
        <v>131</v>
      </c>
      <c r="D21" s="35" t="s">
        <v>24</v>
      </c>
      <c r="E21" s="41">
        <v>334</v>
      </c>
      <c r="F21" s="146">
        <v>334</v>
      </c>
      <c r="G21" s="132">
        <f>+ROUND(46331*1.04,0)</f>
        <v>48184</v>
      </c>
      <c r="H21" s="130">
        <f t="shared" si="0"/>
        <v>16093456</v>
      </c>
      <c r="I21" s="130">
        <f t="shared" si="1"/>
        <v>49730.706400000003</v>
      </c>
      <c r="J21" s="130">
        <f t="shared" si="2"/>
        <v>16610055.937600002</v>
      </c>
      <c r="K21" s="71"/>
      <c r="L21" s="72"/>
      <c r="M21" s="140"/>
      <c r="N21" s="130"/>
      <c r="O21" s="141" t="s">
        <v>115</v>
      </c>
      <c r="P21" s="142">
        <v>46169</v>
      </c>
      <c r="R21" s="135" t="s">
        <v>151</v>
      </c>
      <c r="S21" s="135">
        <v>60100</v>
      </c>
    </row>
    <row r="22" spans="2:23" ht="38.25" x14ac:dyDescent="0.25">
      <c r="B22" s="6">
        <v>10</v>
      </c>
      <c r="C22" s="128" t="s">
        <v>134</v>
      </c>
      <c r="D22" s="35" t="s">
        <v>13</v>
      </c>
      <c r="E22" s="41">
        <v>126</v>
      </c>
      <c r="F22" s="163">
        <f>90+15</f>
        <v>105</v>
      </c>
      <c r="G22" s="137">
        <f>ROUND(136676*1.04,0)</f>
        <v>142143</v>
      </c>
      <c r="H22" s="130">
        <f t="shared" si="0"/>
        <v>17910018</v>
      </c>
      <c r="I22" s="130">
        <f t="shared" si="1"/>
        <v>146705.79029999999</v>
      </c>
      <c r="J22" s="130">
        <f t="shared" si="2"/>
        <v>15404107.9815</v>
      </c>
      <c r="K22" s="71"/>
      <c r="L22" s="72"/>
      <c r="M22" s="140"/>
      <c r="N22" s="130"/>
      <c r="O22" t="s">
        <v>132</v>
      </c>
      <c r="P22" s="124"/>
    </row>
    <row r="23" spans="2:23" ht="38.25" x14ac:dyDescent="0.25">
      <c r="B23" s="6">
        <v>11</v>
      </c>
      <c r="C23" s="128" t="s">
        <v>143</v>
      </c>
      <c r="D23" s="35" t="s">
        <v>13</v>
      </c>
      <c r="E23" s="146">
        <v>32</v>
      </c>
      <c r="F23" s="147">
        <v>15</v>
      </c>
      <c r="G23" s="137">
        <f>+ROUND(149868*1.04,0)</f>
        <v>155863</v>
      </c>
      <c r="H23" s="130">
        <f t="shared" si="0"/>
        <v>4987616</v>
      </c>
      <c r="I23" s="130">
        <f t="shared" si="1"/>
        <v>160866.2023</v>
      </c>
      <c r="J23" s="130">
        <f t="shared" si="2"/>
        <v>2412993.0345000001</v>
      </c>
      <c r="K23" s="71"/>
      <c r="L23" s="72"/>
      <c r="M23" s="140"/>
      <c r="N23" s="130"/>
      <c r="O23" t="s">
        <v>133</v>
      </c>
    </row>
    <row r="24" spans="2:23" ht="39" x14ac:dyDescent="0.25">
      <c r="B24" s="6">
        <v>12</v>
      </c>
      <c r="C24" s="128" t="s">
        <v>135</v>
      </c>
      <c r="D24" s="35" t="s">
        <v>18</v>
      </c>
      <c r="E24" s="36">
        <v>17</v>
      </c>
      <c r="F24" s="147">
        <v>17</v>
      </c>
      <c r="G24" s="138">
        <f>ROUND(1236700*1.04,0)</f>
        <v>1286168</v>
      </c>
      <c r="H24" s="130">
        <f>+G24*E24</f>
        <v>21864856</v>
      </c>
      <c r="I24" s="130">
        <f t="shared" si="1"/>
        <v>1327453.9928000001</v>
      </c>
      <c r="J24" s="130">
        <f t="shared" si="2"/>
        <v>22566717.877600003</v>
      </c>
      <c r="K24" s="71" t="s">
        <v>41</v>
      </c>
      <c r="L24" s="72"/>
      <c r="M24" s="140"/>
      <c r="N24" s="130"/>
      <c r="O24" t="s">
        <v>155</v>
      </c>
    </row>
    <row r="25" spans="2:23" x14ac:dyDescent="0.25">
      <c r="B25" s="6">
        <v>13</v>
      </c>
      <c r="C25" s="128" t="s">
        <v>126</v>
      </c>
      <c r="D25" s="35" t="s">
        <v>24</v>
      </c>
      <c r="E25" s="36">
        <v>50</v>
      </c>
      <c r="F25" s="146">
        <v>50</v>
      </c>
      <c r="G25" s="138">
        <f>ROUND(48580*1.04,0)</f>
        <v>50523</v>
      </c>
      <c r="H25" s="130">
        <f t="shared" si="0"/>
        <v>2526150</v>
      </c>
      <c r="I25" s="130">
        <f t="shared" si="1"/>
        <v>52144.7883</v>
      </c>
      <c r="J25" s="130">
        <f t="shared" si="2"/>
        <v>2607239.415</v>
      </c>
      <c r="K25" s="71"/>
      <c r="L25" s="72"/>
      <c r="M25" s="140"/>
      <c r="N25" s="130"/>
      <c r="O25" t="s">
        <v>155</v>
      </c>
    </row>
    <row r="26" spans="2:23" ht="25.5" x14ac:dyDescent="0.25">
      <c r="B26" s="6">
        <v>14</v>
      </c>
      <c r="C26" s="128" t="s">
        <v>157</v>
      </c>
      <c r="D26" s="35" t="s">
        <v>24</v>
      </c>
      <c r="E26" s="41">
        <v>23</v>
      </c>
      <c r="F26" s="41">
        <v>50</v>
      </c>
      <c r="G26" s="138">
        <f>+ROUND(93406*1.04,0)</f>
        <v>97142</v>
      </c>
      <c r="H26" s="130">
        <f t="shared" si="0"/>
        <v>2234266</v>
      </c>
      <c r="I26" s="130">
        <f t="shared" si="1"/>
        <v>100260.2582</v>
      </c>
      <c r="J26" s="130">
        <f t="shared" si="2"/>
        <v>5013012.91</v>
      </c>
      <c r="K26" s="71"/>
      <c r="L26" s="72"/>
      <c r="M26" s="140"/>
      <c r="N26" s="130">
        <v>93453</v>
      </c>
      <c r="O26" t="s">
        <v>136</v>
      </c>
      <c r="R26" s="141" t="s">
        <v>156</v>
      </c>
      <c r="S26" s="141"/>
      <c r="T26" s="141"/>
      <c r="U26" s="141"/>
      <c r="V26" s="141"/>
      <c r="W26" s="141"/>
    </row>
    <row r="27" spans="2:23" ht="38.25" x14ac:dyDescent="0.25">
      <c r="B27" s="6">
        <v>15</v>
      </c>
      <c r="C27" s="128" t="s">
        <v>160</v>
      </c>
      <c r="D27" s="35" t="s">
        <v>18</v>
      </c>
      <c r="E27" s="146">
        <v>1</v>
      </c>
      <c r="F27" s="146">
        <v>1</v>
      </c>
      <c r="G27" s="129">
        <f>+ROUND(800000*1.04,0)</f>
        <v>832000</v>
      </c>
      <c r="H27" s="130">
        <f t="shared" si="0"/>
        <v>832000</v>
      </c>
      <c r="I27" s="130">
        <f t="shared" si="1"/>
        <v>858707.20000000007</v>
      </c>
      <c r="J27" s="130">
        <f t="shared" si="2"/>
        <v>858707.20000000007</v>
      </c>
      <c r="K27" s="71"/>
      <c r="L27" s="72"/>
      <c r="M27" s="140"/>
      <c r="N27" s="130">
        <v>569500</v>
      </c>
      <c r="O27" t="s">
        <v>137</v>
      </c>
      <c r="R27" t="s">
        <v>110</v>
      </c>
      <c r="S27">
        <v>552000</v>
      </c>
    </row>
    <row r="28" spans="2:23" x14ac:dyDescent="0.25">
      <c r="B28" s="6">
        <v>16</v>
      </c>
      <c r="C28" s="128" t="s">
        <v>138</v>
      </c>
      <c r="D28" s="35" t="s">
        <v>29</v>
      </c>
      <c r="E28" s="36">
        <v>20</v>
      </c>
      <c r="F28" s="41">
        <v>4</v>
      </c>
      <c r="G28" s="129">
        <f>+ROUND(90000*1.04,0)</f>
        <v>93600</v>
      </c>
      <c r="H28" s="130">
        <f t="shared" si="0"/>
        <v>1872000</v>
      </c>
      <c r="I28" s="130">
        <f t="shared" si="1"/>
        <v>96604.56</v>
      </c>
      <c r="J28" s="130">
        <f t="shared" si="2"/>
        <v>386418.24</v>
      </c>
      <c r="K28" s="71"/>
      <c r="L28" s="72"/>
      <c r="M28" s="140"/>
      <c r="N28" s="130"/>
      <c r="O28" t="s">
        <v>139</v>
      </c>
    </row>
    <row r="29" spans="2:23" ht="38.25" x14ac:dyDescent="0.25">
      <c r="B29" s="6">
        <v>17</v>
      </c>
      <c r="C29" s="128" t="s">
        <v>176</v>
      </c>
      <c r="D29" s="35" t="s">
        <v>24</v>
      </c>
      <c r="E29" s="36">
        <v>40</v>
      </c>
      <c r="F29" s="41">
        <v>200</v>
      </c>
      <c r="G29" s="129">
        <v>310000</v>
      </c>
      <c r="H29" s="130">
        <f t="shared" si="0"/>
        <v>12400000</v>
      </c>
      <c r="I29" s="130">
        <f t="shared" si="1"/>
        <v>319951</v>
      </c>
      <c r="J29" s="130">
        <f t="shared" si="2"/>
        <v>63990200</v>
      </c>
      <c r="K29" s="71"/>
      <c r="L29" s="72"/>
      <c r="M29" s="140"/>
      <c r="N29" s="130"/>
      <c r="O29" t="s">
        <v>140</v>
      </c>
    </row>
    <row r="30" spans="2:23" x14ac:dyDescent="0.25">
      <c r="B30" s="6">
        <v>18</v>
      </c>
      <c r="C30" s="128" t="s">
        <v>141</v>
      </c>
      <c r="D30" s="35" t="s">
        <v>18</v>
      </c>
      <c r="E30" s="146">
        <v>82</v>
      </c>
      <c r="F30" s="146">
        <v>82</v>
      </c>
      <c r="G30" s="129">
        <f>+ROUND(46000*1.04,0)</f>
        <v>47840</v>
      </c>
      <c r="H30" s="130">
        <f t="shared" si="0"/>
        <v>3922880</v>
      </c>
      <c r="I30" s="130">
        <f t="shared" si="1"/>
        <v>49375.664000000004</v>
      </c>
      <c r="J30" s="130">
        <f t="shared" si="2"/>
        <v>4048804.4480000003</v>
      </c>
      <c r="K30" s="71"/>
      <c r="L30" s="72"/>
      <c r="M30" s="140"/>
      <c r="N30" s="130"/>
    </row>
    <row r="31" spans="2:23" ht="25.5" x14ac:dyDescent="0.25">
      <c r="B31" s="6">
        <v>19</v>
      </c>
      <c r="C31" s="128" t="s">
        <v>142</v>
      </c>
      <c r="D31" s="35" t="s">
        <v>24</v>
      </c>
      <c r="E31" s="146">
        <v>118</v>
      </c>
      <c r="F31" s="146">
        <v>118</v>
      </c>
      <c r="G31" s="131">
        <f>+ROUND(481700*1.04,0)</f>
        <v>500968</v>
      </c>
      <c r="H31" s="130">
        <f t="shared" si="0"/>
        <v>59114224</v>
      </c>
      <c r="I31" s="130">
        <f t="shared" si="1"/>
        <v>517049.07280000002</v>
      </c>
      <c r="J31" s="130">
        <f t="shared" si="2"/>
        <v>61011790.590400003</v>
      </c>
      <c r="K31" s="71"/>
      <c r="L31" s="72">
        <v>121</v>
      </c>
      <c r="M31" s="140"/>
      <c r="N31" s="130"/>
    </row>
    <row r="32" spans="2:23" x14ac:dyDescent="0.25">
      <c r="B32" s="6"/>
      <c r="C32" s="192" t="s">
        <v>199</v>
      </c>
      <c r="D32" s="35"/>
      <c r="E32" s="146"/>
      <c r="F32" s="146">
        <v>118</v>
      </c>
      <c r="G32" s="131"/>
      <c r="H32" s="130"/>
      <c r="I32" s="130">
        <v>425000</v>
      </c>
      <c r="J32" s="130">
        <f t="shared" si="2"/>
        <v>50150000</v>
      </c>
      <c r="K32" s="139"/>
      <c r="L32" s="140"/>
      <c r="M32" s="140"/>
      <c r="N32" s="130"/>
    </row>
    <row r="33" spans="2:14" x14ac:dyDescent="0.25">
      <c r="B33" s="6">
        <v>20</v>
      </c>
      <c r="C33" s="128" t="s">
        <v>144</v>
      </c>
      <c r="D33" s="35" t="s">
        <v>24</v>
      </c>
      <c r="E33" s="147">
        <f>259+120</f>
        <v>379</v>
      </c>
      <c r="F33" s="147">
        <v>526</v>
      </c>
      <c r="G33" s="131">
        <f>+ROUND(37240*1.04,0)</f>
        <v>38730</v>
      </c>
      <c r="H33" s="130">
        <f t="shared" si="0"/>
        <v>14678670</v>
      </c>
      <c r="I33" s="130">
        <f t="shared" si="1"/>
        <v>39973.233</v>
      </c>
      <c r="J33" s="130">
        <f t="shared" si="2"/>
        <v>21025920.557999998</v>
      </c>
      <c r="K33" s="139"/>
      <c r="L33" s="140"/>
      <c r="M33" s="140"/>
      <c r="N33" s="130"/>
    </row>
    <row r="34" spans="2:14" x14ac:dyDescent="0.25">
      <c r="B34" s="164">
        <v>22</v>
      </c>
      <c r="C34" s="187" t="s">
        <v>177</v>
      </c>
      <c r="D34" s="165" t="s">
        <v>13</v>
      </c>
      <c r="E34" s="166"/>
      <c r="F34" s="167">
        <v>480</v>
      </c>
      <c r="G34" s="168">
        <v>11935.37</v>
      </c>
      <c r="H34" s="169">
        <f>F34*G34</f>
        <v>5728977.6000000006</v>
      </c>
      <c r="I34" s="169">
        <f>G34</f>
        <v>11935.37</v>
      </c>
      <c r="J34" s="130"/>
      <c r="K34" s="73"/>
      <c r="L34" s="73"/>
      <c r="M34" s="73"/>
      <c r="N34" s="169"/>
    </row>
    <row r="35" spans="2:14" x14ac:dyDescent="0.25">
      <c r="B35" s="47"/>
      <c r="C35" s="48"/>
      <c r="D35" s="47"/>
      <c r="E35" s="47"/>
      <c r="F35" s="47"/>
      <c r="G35" s="49"/>
      <c r="H35" s="49"/>
      <c r="I35" s="49"/>
      <c r="J35" s="49"/>
      <c r="K35" s="73"/>
      <c r="L35" s="73"/>
      <c r="M35" s="73"/>
    </row>
    <row r="36" spans="2:14" x14ac:dyDescent="0.25">
      <c r="B36" s="47"/>
      <c r="C36" s="50" t="s">
        <v>59</v>
      </c>
      <c r="D36" s="51"/>
      <c r="E36" s="52"/>
      <c r="F36" s="52"/>
      <c r="G36" s="53"/>
      <c r="H36" s="174">
        <f>SUM(H12:H35)</f>
        <v>518877956.10000002</v>
      </c>
      <c r="I36" s="54"/>
      <c r="J36" s="174">
        <f>SUM(J12:J34)</f>
        <v>579726008.538535</v>
      </c>
      <c r="K36" s="191">
        <f>J36/G6</f>
        <v>409468.85756359296</v>
      </c>
      <c r="L36" s="73"/>
      <c r="M36" s="73"/>
    </row>
    <row r="37" spans="2:14" x14ac:dyDescent="0.25">
      <c r="B37" s="73"/>
      <c r="C37" s="57" t="s">
        <v>60</v>
      </c>
      <c r="D37" s="58"/>
      <c r="E37" s="59"/>
      <c r="F37" s="59"/>
      <c r="G37" s="60"/>
      <c r="H37" s="176">
        <f>+SUM(H38:H41)</f>
        <v>136049800.08942002</v>
      </c>
      <c r="I37" s="55"/>
      <c r="J37" s="175">
        <f>SUM(J38:J41)</f>
        <v>152004159.43880388</v>
      </c>
      <c r="K37" s="73"/>
      <c r="L37" s="73"/>
      <c r="M37" s="73"/>
    </row>
    <row r="38" spans="2:14" x14ac:dyDescent="0.25">
      <c r="B38" s="73"/>
      <c r="C38" s="63" t="s">
        <v>61</v>
      </c>
      <c r="D38" s="58"/>
      <c r="E38" s="64">
        <v>0.17269999999999999</v>
      </c>
      <c r="F38" s="64"/>
      <c r="G38" s="60"/>
      <c r="H38" s="176">
        <f>+E38*H36</f>
        <v>89610223.018470004</v>
      </c>
      <c r="I38" s="55"/>
      <c r="J38" s="175">
        <f>J36*E38</f>
        <v>100118681.674605</v>
      </c>
      <c r="K38" s="73"/>
      <c r="L38" s="73"/>
      <c r="M38" s="73"/>
    </row>
    <row r="39" spans="2:14" x14ac:dyDescent="0.25">
      <c r="B39" s="73"/>
      <c r="C39" s="63" t="s">
        <v>62</v>
      </c>
      <c r="D39" s="58"/>
      <c r="E39" s="64">
        <v>0.03</v>
      </c>
      <c r="F39" s="64"/>
      <c r="G39" s="60"/>
      <c r="H39" s="176">
        <f>+E39*H36</f>
        <v>15566338.683</v>
      </c>
      <c r="I39" s="55"/>
      <c r="J39" s="175">
        <f>J36*E39</f>
        <v>17391780.25615605</v>
      </c>
      <c r="K39" s="73"/>
      <c r="L39" s="73"/>
      <c r="M39" s="73"/>
    </row>
    <row r="40" spans="2:14" x14ac:dyDescent="0.25">
      <c r="B40" s="73"/>
      <c r="C40" s="63" t="s">
        <v>63</v>
      </c>
      <c r="D40" s="58"/>
      <c r="E40" s="64">
        <v>0.05</v>
      </c>
      <c r="F40" s="64"/>
      <c r="G40" s="60"/>
      <c r="H40" s="176">
        <f>+E40*H36</f>
        <v>25943897.805000003</v>
      </c>
      <c r="I40" s="55"/>
      <c r="J40" s="175">
        <f>J36*E40</f>
        <v>28986300.426926751</v>
      </c>
      <c r="K40" s="73"/>
      <c r="L40" s="73"/>
      <c r="M40" s="73"/>
    </row>
    <row r="41" spans="2:14" x14ac:dyDescent="0.25">
      <c r="B41" s="73"/>
      <c r="C41" s="65" t="s">
        <v>64</v>
      </c>
      <c r="D41" s="66"/>
      <c r="E41" s="67">
        <v>0.19</v>
      </c>
      <c r="F41" s="67"/>
      <c r="G41" s="68"/>
      <c r="H41" s="177">
        <f>+E41*H40</f>
        <v>4929340.5829500007</v>
      </c>
      <c r="I41" s="55"/>
      <c r="J41" s="175">
        <f>J40*E41</f>
        <v>5507397.0811160831</v>
      </c>
      <c r="K41" s="73"/>
      <c r="L41" s="73"/>
      <c r="M41" s="73"/>
    </row>
    <row r="42" spans="2:14" x14ac:dyDescent="0.25">
      <c r="B42" s="73"/>
      <c r="C42" s="73"/>
      <c r="D42" s="73"/>
      <c r="E42" s="73"/>
      <c r="F42" s="73"/>
      <c r="G42" s="73"/>
      <c r="H42" s="73"/>
      <c r="I42" s="73"/>
      <c r="J42" s="73"/>
      <c r="K42" s="73"/>
      <c r="L42" s="73"/>
      <c r="M42" s="73"/>
    </row>
    <row r="43" spans="2:14" x14ac:dyDescent="0.25">
      <c r="B43" s="73"/>
      <c r="C43" s="73"/>
      <c r="D43" s="73"/>
      <c r="E43" s="73"/>
      <c r="F43" s="73"/>
      <c r="G43" s="74"/>
      <c r="H43" s="173">
        <f>+H36+H37</f>
        <v>654927756.18941998</v>
      </c>
      <c r="I43" s="76"/>
      <c r="J43" s="178">
        <f>J36+J37</f>
        <v>731730167.97733891</v>
      </c>
      <c r="K43" s="73"/>
      <c r="L43" s="73"/>
      <c r="M43" s="73"/>
    </row>
    <row r="44" spans="2:14" x14ac:dyDescent="0.25">
      <c r="B44" s="73"/>
      <c r="C44" s="73"/>
      <c r="D44" s="73"/>
      <c r="E44" s="73"/>
      <c r="F44" s="73"/>
      <c r="G44" s="73"/>
      <c r="H44" s="73"/>
      <c r="I44" s="73"/>
      <c r="J44" s="73"/>
      <c r="K44" s="73"/>
      <c r="L44" s="73"/>
      <c r="M44" s="73"/>
    </row>
    <row r="45" spans="2:14" x14ac:dyDescent="0.25">
      <c r="B45" s="73"/>
      <c r="C45" s="73"/>
      <c r="D45" s="73"/>
      <c r="E45" s="73"/>
      <c r="F45" s="73"/>
      <c r="G45" s="73"/>
      <c r="H45" s="73"/>
      <c r="I45" s="73"/>
      <c r="J45" s="73"/>
      <c r="K45" s="73"/>
      <c r="L45" s="73"/>
      <c r="M45" s="73"/>
    </row>
    <row r="48" spans="2:14" x14ac:dyDescent="0.25">
      <c r="F48" s="185">
        <f>+J36/1416</f>
        <v>409411.02297919139</v>
      </c>
      <c r="H48" s="190">
        <f>I48*F31</f>
        <v>44840000</v>
      </c>
      <c r="I48" s="185">
        <v>380000</v>
      </c>
    </row>
    <row r="49" spans="8:9" x14ac:dyDescent="0.25">
      <c r="H49" s="190">
        <f>+I49*E31</f>
        <v>50150000</v>
      </c>
      <c r="I49" s="185">
        <v>425000</v>
      </c>
    </row>
  </sheetData>
  <protectedRanges>
    <protectedRange sqref="E38:F40" name="Rango3_2_1_3"/>
  </protectedRanges>
  <mergeCells count="2">
    <mergeCell ref="B10:L10"/>
    <mergeCell ref="P1:Q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B2:S59"/>
  <sheetViews>
    <sheetView zoomScale="90" zoomScaleNormal="90" workbookViewId="0">
      <selection activeCell="G47" sqref="G47"/>
    </sheetView>
  </sheetViews>
  <sheetFormatPr baseColWidth="10" defaultRowHeight="15" x14ac:dyDescent="0.25"/>
  <cols>
    <col min="1" max="1" width="5" customWidth="1"/>
    <col min="3" max="3" width="35.85546875" customWidth="1"/>
    <col min="6" max="6" width="16.28515625" customWidth="1"/>
    <col min="7" max="7" width="19.140625" customWidth="1"/>
    <col min="8" max="8" width="15.140625" hidden="1" customWidth="1"/>
    <col min="9" max="9" width="21" hidden="1" customWidth="1"/>
    <col min="10" max="10" width="15.7109375" hidden="1" customWidth="1"/>
    <col min="11" max="11" width="18.140625" hidden="1" customWidth="1"/>
    <col min="12" max="12" width="15.5703125" hidden="1" customWidth="1"/>
    <col min="13" max="13" width="18" hidden="1" customWidth="1"/>
    <col min="14" max="14" width="16.7109375" hidden="1" customWidth="1"/>
    <col min="15" max="15" width="15.85546875" hidden="1" customWidth="1"/>
    <col min="18" max="18" width="13.85546875" customWidth="1"/>
  </cols>
  <sheetData>
    <row r="2" spans="2:19" x14ac:dyDescent="0.25">
      <c r="B2" s="251" t="s">
        <v>0</v>
      </c>
      <c r="C2" s="252"/>
      <c r="D2" s="252"/>
      <c r="E2" s="252"/>
      <c r="F2" s="252"/>
      <c r="G2" s="252"/>
      <c r="H2" s="252"/>
      <c r="I2" s="252"/>
      <c r="J2" s="252"/>
      <c r="K2" s="252"/>
      <c r="L2" s="252"/>
      <c r="M2" s="252"/>
      <c r="N2" s="252"/>
      <c r="O2" s="253"/>
      <c r="R2" t="s">
        <v>110</v>
      </c>
    </row>
    <row r="3" spans="2:19" ht="25.5" x14ac:dyDescent="0.25">
      <c r="B3" s="1" t="s">
        <v>1</v>
      </c>
      <c r="C3" s="1" t="s">
        <v>2</v>
      </c>
      <c r="D3" s="1" t="s">
        <v>3</v>
      </c>
      <c r="E3" s="1" t="s">
        <v>4</v>
      </c>
      <c r="F3" s="1" t="s">
        <v>5</v>
      </c>
      <c r="G3" s="1" t="s">
        <v>6</v>
      </c>
      <c r="H3" s="116" t="s">
        <v>7</v>
      </c>
      <c r="I3" s="116" t="s">
        <v>6</v>
      </c>
      <c r="J3" s="117" t="s">
        <v>8</v>
      </c>
      <c r="K3" s="2" t="s">
        <v>6</v>
      </c>
      <c r="L3" s="118" t="s">
        <v>9</v>
      </c>
      <c r="M3" s="3" t="s">
        <v>6</v>
      </c>
      <c r="N3" s="4" t="s">
        <v>10</v>
      </c>
      <c r="O3" s="5" t="s">
        <v>11</v>
      </c>
    </row>
    <row r="4" spans="2:19" ht="64.5" hidden="1" x14ac:dyDescent="0.25">
      <c r="B4" s="6">
        <v>1</v>
      </c>
      <c r="C4" s="7" t="s">
        <v>12</v>
      </c>
      <c r="D4" s="8" t="s">
        <v>13</v>
      </c>
      <c r="E4" s="9">
        <v>525</v>
      </c>
      <c r="F4" s="10">
        <v>84115</v>
      </c>
      <c r="G4" s="10">
        <v>44160375</v>
      </c>
      <c r="H4" s="11">
        <v>525</v>
      </c>
      <c r="I4" s="12">
        <v>44160375</v>
      </c>
      <c r="J4" s="13"/>
      <c r="K4" s="14">
        <v>0</v>
      </c>
      <c r="L4" s="15"/>
      <c r="M4" s="16">
        <v>0</v>
      </c>
      <c r="N4" s="71" t="s">
        <v>14</v>
      </c>
      <c r="O4" s="72"/>
      <c r="Q4" t="s">
        <v>116</v>
      </c>
      <c r="R4" s="124">
        <v>66360</v>
      </c>
      <c r="S4" t="s">
        <v>113</v>
      </c>
    </row>
    <row r="5" spans="2:19" ht="26.25" hidden="1" x14ac:dyDescent="0.25">
      <c r="B5" s="6">
        <v>2</v>
      </c>
      <c r="C5" s="7" t="s">
        <v>112</v>
      </c>
      <c r="D5" s="8" t="s">
        <v>13</v>
      </c>
      <c r="E5" s="9">
        <v>960</v>
      </c>
      <c r="F5" s="10">
        <v>95140</v>
      </c>
      <c r="G5" s="10">
        <v>91334400</v>
      </c>
      <c r="H5" s="125">
        <v>960</v>
      </c>
      <c r="I5" s="126">
        <v>91334400</v>
      </c>
      <c r="J5" s="13"/>
      <c r="K5" s="14">
        <v>0</v>
      </c>
      <c r="L5" s="15"/>
      <c r="M5" s="16">
        <v>0</v>
      </c>
      <c r="N5" s="71"/>
      <c r="O5" s="72"/>
      <c r="Q5" t="s">
        <v>115</v>
      </c>
      <c r="R5" s="124">
        <v>90885</v>
      </c>
      <c r="S5" t="s">
        <v>111</v>
      </c>
    </row>
    <row r="6" spans="2:19" ht="26.25" hidden="1" x14ac:dyDescent="0.25">
      <c r="B6" s="18">
        <v>3</v>
      </c>
      <c r="C6" s="7" t="s">
        <v>16</v>
      </c>
      <c r="D6" s="8" t="s">
        <v>13</v>
      </c>
      <c r="E6" s="9">
        <v>1722</v>
      </c>
      <c r="F6" s="10">
        <v>96200</v>
      </c>
      <c r="G6" s="10">
        <v>165656400</v>
      </c>
      <c r="H6" s="11"/>
      <c r="I6" s="17">
        <v>0</v>
      </c>
      <c r="J6" s="13">
        <v>1722</v>
      </c>
      <c r="K6" s="14">
        <v>165656400</v>
      </c>
      <c r="L6" s="15"/>
      <c r="M6" s="16">
        <v>0</v>
      </c>
      <c r="N6" s="71"/>
      <c r="O6" s="72"/>
      <c r="R6" s="124"/>
    </row>
    <row r="7" spans="2:19" hidden="1" x14ac:dyDescent="0.25">
      <c r="B7" s="6">
        <v>4</v>
      </c>
      <c r="C7" s="7" t="s">
        <v>17</v>
      </c>
      <c r="D7" s="8" t="s">
        <v>18</v>
      </c>
      <c r="E7" s="9">
        <v>2</v>
      </c>
      <c r="F7" s="19">
        <v>5471416.75</v>
      </c>
      <c r="G7" s="10">
        <v>10942833.5</v>
      </c>
      <c r="H7" s="11">
        <v>2</v>
      </c>
      <c r="I7" s="20">
        <v>10942833.5</v>
      </c>
      <c r="J7" s="13"/>
      <c r="K7" s="21">
        <v>0</v>
      </c>
      <c r="L7" s="15"/>
      <c r="M7" s="22">
        <v>0</v>
      </c>
      <c r="N7" s="71"/>
      <c r="O7" s="72"/>
      <c r="R7" s="124"/>
    </row>
    <row r="8" spans="2:19" hidden="1" x14ac:dyDescent="0.25">
      <c r="B8" s="18">
        <v>5</v>
      </c>
      <c r="C8" s="7" t="s">
        <v>19</v>
      </c>
      <c r="D8" s="8" t="s">
        <v>18</v>
      </c>
      <c r="E8" s="9">
        <v>1</v>
      </c>
      <c r="F8" s="19">
        <v>5471416.75</v>
      </c>
      <c r="G8" s="10">
        <v>5471416.75</v>
      </c>
      <c r="H8" s="11"/>
      <c r="I8" s="20">
        <v>0</v>
      </c>
      <c r="J8" s="13">
        <v>1</v>
      </c>
      <c r="K8" s="21">
        <v>5471416.75</v>
      </c>
      <c r="L8" s="15"/>
      <c r="M8" s="22">
        <v>0</v>
      </c>
      <c r="N8" s="71"/>
      <c r="O8" s="72"/>
      <c r="R8" s="124"/>
    </row>
    <row r="9" spans="2:19" ht="26.25" hidden="1" x14ac:dyDescent="0.25">
      <c r="B9" s="23">
        <v>6</v>
      </c>
      <c r="C9" s="24" t="s">
        <v>20</v>
      </c>
      <c r="D9" s="25" t="s">
        <v>18</v>
      </c>
      <c r="E9" s="26">
        <v>0</v>
      </c>
      <c r="F9" s="27">
        <v>2430250</v>
      </c>
      <c r="G9" s="27">
        <v>0</v>
      </c>
      <c r="H9" s="11"/>
      <c r="I9" s="17">
        <v>0</v>
      </c>
      <c r="J9" s="13"/>
      <c r="K9" s="14">
        <v>0</v>
      </c>
      <c r="L9" s="15"/>
      <c r="M9" s="16">
        <v>0</v>
      </c>
      <c r="N9" s="71"/>
      <c r="O9" s="72"/>
      <c r="R9" s="124"/>
    </row>
    <row r="10" spans="2:19" ht="26.25" hidden="1" x14ac:dyDescent="0.25">
      <c r="B10" s="23">
        <v>7</v>
      </c>
      <c r="C10" s="24" t="s">
        <v>21</v>
      </c>
      <c r="D10" s="25" t="s">
        <v>13</v>
      </c>
      <c r="E10" s="26">
        <v>0</v>
      </c>
      <c r="F10" s="27">
        <v>356908</v>
      </c>
      <c r="G10" s="27">
        <v>0</v>
      </c>
      <c r="H10" s="11"/>
      <c r="I10" s="17">
        <v>0</v>
      </c>
      <c r="J10" s="13"/>
      <c r="K10" s="14">
        <v>0</v>
      </c>
      <c r="L10" s="15"/>
      <c r="M10" s="16">
        <v>0</v>
      </c>
      <c r="N10" s="71"/>
      <c r="O10" s="72"/>
      <c r="R10" s="124"/>
    </row>
    <row r="11" spans="2:19" ht="26.25" hidden="1" x14ac:dyDescent="0.25">
      <c r="B11" s="23">
        <v>8</v>
      </c>
      <c r="C11" s="24" t="s">
        <v>22</v>
      </c>
      <c r="D11" s="25" t="s">
        <v>18</v>
      </c>
      <c r="E11" s="26">
        <v>0</v>
      </c>
      <c r="F11" s="27">
        <v>47000</v>
      </c>
      <c r="G11" s="27">
        <v>0</v>
      </c>
      <c r="H11" s="11"/>
      <c r="I11" s="17">
        <v>0</v>
      </c>
      <c r="J11" s="13"/>
      <c r="K11" s="14">
        <v>0</v>
      </c>
      <c r="L11" s="15"/>
      <c r="M11" s="16">
        <v>0</v>
      </c>
      <c r="N11" s="71"/>
      <c r="O11" s="72"/>
      <c r="R11" s="124"/>
    </row>
    <row r="12" spans="2:19" ht="26.25" hidden="1" x14ac:dyDescent="0.25">
      <c r="B12" s="23">
        <v>9</v>
      </c>
      <c r="C12" s="24" t="s">
        <v>23</v>
      </c>
      <c r="D12" s="25" t="s">
        <v>24</v>
      </c>
      <c r="E12" s="26">
        <v>0</v>
      </c>
      <c r="F12" s="27">
        <v>111676</v>
      </c>
      <c r="G12" s="27">
        <v>0</v>
      </c>
      <c r="H12" s="11"/>
      <c r="I12" s="17">
        <v>0</v>
      </c>
      <c r="J12" s="13"/>
      <c r="K12" s="14">
        <v>0</v>
      </c>
      <c r="L12" s="15"/>
      <c r="M12" s="16">
        <v>0</v>
      </c>
      <c r="N12" s="71"/>
      <c r="O12" s="72"/>
      <c r="R12" s="124"/>
    </row>
    <row r="13" spans="2:19" ht="26.25" hidden="1" x14ac:dyDescent="0.25">
      <c r="B13" s="23">
        <v>10</v>
      </c>
      <c r="C13" s="24" t="s">
        <v>25</v>
      </c>
      <c r="D13" s="25" t="s">
        <v>13</v>
      </c>
      <c r="E13" s="26">
        <v>0</v>
      </c>
      <c r="F13" s="27">
        <v>420012</v>
      </c>
      <c r="G13" s="27">
        <v>0</v>
      </c>
      <c r="H13" s="11"/>
      <c r="I13" s="17">
        <v>0</v>
      </c>
      <c r="J13" s="13"/>
      <c r="K13" s="14">
        <v>0</v>
      </c>
      <c r="L13" s="15"/>
      <c r="M13" s="16">
        <v>0</v>
      </c>
      <c r="N13" s="71"/>
      <c r="O13" s="72"/>
      <c r="R13" s="124"/>
    </row>
    <row r="14" spans="2:19" hidden="1" x14ac:dyDescent="0.25">
      <c r="B14" s="6">
        <v>11</v>
      </c>
      <c r="C14" s="7" t="s">
        <v>26</v>
      </c>
      <c r="D14" s="8" t="s">
        <v>24</v>
      </c>
      <c r="E14" s="28">
        <v>211</v>
      </c>
      <c r="F14" s="29">
        <v>120000</v>
      </c>
      <c r="G14" s="10">
        <v>25320000</v>
      </c>
      <c r="H14" s="11">
        <v>211</v>
      </c>
      <c r="I14" s="17">
        <v>25320000</v>
      </c>
      <c r="J14" s="13"/>
      <c r="K14" s="14">
        <v>0</v>
      </c>
      <c r="L14" s="15"/>
      <c r="M14" s="16">
        <v>0</v>
      </c>
      <c r="N14" s="71"/>
      <c r="O14" s="72"/>
      <c r="Q14" t="s">
        <v>115</v>
      </c>
      <c r="R14" s="124">
        <v>100318</v>
      </c>
      <c r="S14" t="s">
        <v>114</v>
      </c>
    </row>
    <row r="15" spans="2:19" ht="64.5" hidden="1" x14ac:dyDescent="0.25">
      <c r="B15" s="6">
        <v>12</v>
      </c>
      <c r="C15" s="7" t="s">
        <v>27</v>
      </c>
      <c r="D15" s="8" t="s">
        <v>13</v>
      </c>
      <c r="E15" s="9">
        <v>525</v>
      </c>
      <c r="F15" s="127">
        <v>11230</v>
      </c>
      <c r="G15" s="10">
        <v>5895750</v>
      </c>
      <c r="H15" s="11">
        <v>525</v>
      </c>
      <c r="I15" s="17">
        <v>5895750</v>
      </c>
      <c r="J15" s="13"/>
      <c r="K15" s="14">
        <v>0</v>
      </c>
      <c r="L15" s="15"/>
      <c r="M15" s="16">
        <v>0</v>
      </c>
      <c r="N15" s="71" t="s">
        <v>14</v>
      </c>
      <c r="O15" s="72"/>
      <c r="R15" s="124">
        <v>0</v>
      </c>
      <c r="S15" t="s">
        <v>117</v>
      </c>
    </row>
    <row r="16" spans="2:19" ht="26.25" hidden="1" x14ac:dyDescent="0.25">
      <c r="B16" s="6">
        <v>13</v>
      </c>
      <c r="C16" s="7" t="s">
        <v>28</v>
      </c>
      <c r="D16" s="8" t="s">
        <v>29</v>
      </c>
      <c r="E16" s="9">
        <v>1398.75</v>
      </c>
      <c r="F16" s="29">
        <v>50227</v>
      </c>
      <c r="G16" s="10">
        <v>70255016.25</v>
      </c>
      <c r="H16" s="11">
        <v>1398.75</v>
      </c>
      <c r="I16" s="17">
        <v>70255016.25</v>
      </c>
      <c r="J16" s="13"/>
      <c r="K16" s="14">
        <v>0</v>
      </c>
      <c r="L16" s="15"/>
      <c r="M16" s="16">
        <v>0</v>
      </c>
      <c r="N16" s="71"/>
      <c r="O16" s="72"/>
      <c r="Q16" t="s">
        <v>115</v>
      </c>
      <c r="R16" s="124">
        <v>10900</v>
      </c>
      <c r="S16" t="s">
        <v>118</v>
      </c>
    </row>
    <row r="17" spans="2:19" ht="26.25" hidden="1" x14ac:dyDescent="0.25">
      <c r="B17" s="6">
        <v>14</v>
      </c>
      <c r="C17" s="7" t="s">
        <v>30</v>
      </c>
      <c r="D17" s="8" t="s">
        <v>29</v>
      </c>
      <c r="E17" s="9">
        <v>979.13</v>
      </c>
      <c r="F17" s="29">
        <v>84981</v>
      </c>
      <c r="G17" s="10">
        <v>83207446.530000001</v>
      </c>
      <c r="H17" s="11">
        <v>979.13</v>
      </c>
      <c r="I17" s="17">
        <v>83207446.530000001</v>
      </c>
      <c r="J17" s="13"/>
      <c r="K17" s="14">
        <v>0</v>
      </c>
      <c r="L17" s="15"/>
      <c r="M17" s="16">
        <v>0</v>
      </c>
      <c r="N17" s="71"/>
      <c r="O17" s="72"/>
      <c r="Q17" t="s">
        <v>115</v>
      </c>
      <c r="R17" s="124">
        <v>79214</v>
      </c>
      <c r="S17" t="s">
        <v>119</v>
      </c>
    </row>
    <row r="18" spans="2:19" ht="26.25" hidden="1" x14ac:dyDescent="0.25">
      <c r="B18" s="6">
        <v>15</v>
      </c>
      <c r="C18" s="7" t="s">
        <v>31</v>
      </c>
      <c r="D18" s="8" t="s">
        <v>13</v>
      </c>
      <c r="E18" s="9">
        <v>3047.5</v>
      </c>
      <c r="F18" s="29">
        <v>7695</v>
      </c>
      <c r="G18" s="10">
        <v>23450512.5</v>
      </c>
      <c r="H18" s="11">
        <v>1401.85</v>
      </c>
      <c r="I18" s="17">
        <v>10787235.75</v>
      </c>
      <c r="J18" s="13">
        <v>1645.65</v>
      </c>
      <c r="K18" s="14">
        <v>12663276.75</v>
      </c>
      <c r="L18" s="15"/>
      <c r="M18" s="16">
        <v>0</v>
      </c>
      <c r="N18" s="71"/>
      <c r="O18" s="72" t="s">
        <v>32</v>
      </c>
      <c r="Q18" t="s">
        <v>115</v>
      </c>
      <c r="R18" s="124">
        <v>1350</v>
      </c>
    </row>
    <row r="19" spans="2:19" hidden="1" x14ac:dyDescent="0.25">
      <c r="B19" s="6">
        <v>16</v>
      </c>
      <c r="C19" s="7" t="s">
        <v>33</v>
      </c>
      <c r="D19" s="8" t="s">
        <v>24</v>
      </c>
      <c r="E19" s="9">
        <v>334</v>
      </c>
      <c r="F19" s="29">
        <v>46331</v>
      </c>
      <c r="G19" s="10">
        <v>15474554</v>
      </c>
      <c r="H19" s="11">
        <v>334</v>
      </c>
      <c r="I19" s="17">
        <v>15474554</v>
      </c>
      <c r="J19" s="13"/>
      <c r="K19" s="14">
        <v>0</v>
      </c>
      <c r="L19" s="15"/>
      <c r="M19" s="16">
        <v>0</v>
      </c>
      <c r="N19" s="71"/>
      <c r="O19" s="72"/>
      <c r="Q19" t="s">
        <v>115</v>
      </c>
      <c r="R19" s="124">
        <v>46169</v>
      </c>
      <c r="S19" t="s">
        <v>120</v>
      </c>
    </row>
    <row r="20" spans="2:19" ht="26.25" hidden="1" x14ac:dyDescent="0.25">
      <c r="B20" s="18">
        <v>17</v>
      </c>
      <c r="C20" s="7" t="s">
        <v>34</v>
      </c>
      <c r="D20" s="8" t="s">
        <v>24</v>
      </c>
      <c r="E20" s="9">
        <v>1147</v>
      </c>
      <c r="F20" s="29">
        <v>37240</v>
      </c>
      <c r="G20" s="10">
        <v>42714280</v>
      </c>
      <c r="H20" s="11"/>
      <c r="I20" s="17">
        <v>0</v>
      </c>
      <c r="J20" s="13">
        <v>1147</v>
      </c>
      <c r="K20" s="14">
        <v>42714280</v>
      </c>
      <c r="L20" s="15"/>
      <c r="M20" s="16">
        <v>0</v>
      </c>
      <c r="N20" s="71"/>
      <c r="O20" s="72"/>
      <c r="R20" s="124"/>
    </row>
    <row r="21" spans="2:19" hidden="1" x14ac:dyDescent="0.25">
      <c r="B21" s="18">
        <v>18</v>
      </c>
      <c r="C21" s="7" t="s">
        <v>35</v>
      </c>
      <c r="D21" s="8" t="s">
        <v>13</v>
      </c>
      <c r="E21" s="9">
        <v>126</v>
      </c>
      <c r="F21" s="29">
        <v>136676</v>
      </c>
      <c r="G21" s="10">
        <v>17221176</v>
      </c>
      <c r="H21" s="11">
        <v>126</v>
      </c>
      <c r="I21" s="17">
        <v>17221176</v>
      </c>
      <c r="J21" s="13"/>
      <c r="K21" s="14">
        <v>0</v>
      </c>
      <c r="L21" s="15"/>
      <c r="M21" s="16">
        <v>0</v>
      </c>
      <c r="N21" s="71"/>
      <c r="O21" s="72"/>
    </row>
    <row r="22" spans="2:19" ht="26.25" hidden="1" x14ac:dyDescent="0.25">
      <c r="B22" s="6">
        <v>19</v>
      </c>
      <c r="C22" s="7" t="s">
        <v>36</v>
      </c>
      <c r="D22" s="8" t="s">
        <v>13</v>
      </c>
      <c r="E22" s="9">
        <v>32</v>
      </c>
      <c r="F22" s="29">
        <v>149868</v>
      </c>
      <c r="G22" s="10">
        <v>4795776</v>
      </c>
      <c r="H22" s="11">
        <v>32</v>
      </c>
      <c r="I22" s="17">
        <v>4795776</v>
      </c>
      <c r="J22" s="13"/>
      <c r="K22" s="14">
        <v>0</v>
      </c>
      <c r="L22" s="15"/>
      <c r="M22" s="16">
        <v>0</v>
      </c>
      <c r="N22" s="71"/>
      <c r="O22" s="72"/>
    </row>
    <row r="23" spans="2:19" ht="26.25" hidden="1" x14ac:dyDescent="0.25">
      <c r="B23" s="23">
        <v>20</v>
      </c>
      <c r="C23" s="24" t="s">
        <v>37</v>
      </c>
      <c r="D23" s="25" t="s">
        <v>38</v>
      </c>
      <c r="E23" s="26">
        <v>0</v>
      </c>
      <c r="F23" s="27">
        <v>2380000</v>
      </c>
      <c r="G23" s="27">
        <v>0</v>
      </c>
      <c r="H23" s="30"/>
      <c r="I23" s="17">
        <v>0</v>
      </c>
      <c r="J23" s="31"/>
      <c r="K23" s="14">
        <v>0</v>
      </c>
      <c r="L23" s="32"/>
      <c r="M23" s="16">
        <v>0</v>
      </c>
      <c r="N23" s="71"/>
      <c r="O23" s="72"/>
    </row>
    <row r="24" spans="2:19" ht="26.25" hidden="1" x14ac:dyDescent="0.25">
      <c r="B24" s="23">
        <v>21</v>
      </c>
      <c r="C24" s="24" t="s">
        <v>39</v>
      </c>
      <c r="D24" s="25" t="s">
        <v>38</v>
      </c>
      <c r="E24" s="26">
        <v>0</v>
      </c>
      <c r="F24" s="27">
        <v>4165000</v>
      </c>
      <c r="G24" s="27">
        <v>0</v>
      </c>
      <c r="H24" s="30"/>
      <c r="I24" s="17">
        <v>0</v>
      </c>
      <c r="J24" s="31"/>
      <c r="K24" s="14">
        <v>0</v>
      </c>
      <c r="L24" s="32"/>
      <c r="M24" s="16">
        <v>0</v>
      </c>
      <c r="N24" s="71"/>
      <c r="O24" s="72"/>
    </row>
    <row r="25" spans="2:19" ht="64.5" hidden="1" x14ac:dyDescent="0.25">
      <c r="B25" s="6">
        <v>22</v>
      </c>
      <c r="C25" s="7" t="s">
        <v>40</v>
      </c>
      <c r="D25" s="8" t="s">
        <v>18</v>
      </c>
      <c r="E25" s="9">
        <v>24</v>
      </c>
      <c r="F25" s="19">
        <v>1236700</v>
      </c>
      <c r="G25" s="10">
        <v>29680800</v>
      </c>
      <c r="H25" s="120">
        <v>16.799999999999997</v>
      </c>
      <c r="I25" s="20">
        <v>20776559.999999996</v>
      </c>
      <c r="J25" s="123">
        <v>7.1999999999999993</v>
      </c>
      <c r="K25" s="21">
        <v>8904240</v>
      </c>
      <c r="L25" s="32"/>
      <c r="M25" s="22">
        <v>0</v>
      </c>
      <c r="N25" s="71" t="s">
        <v>41</v>
      </c>
      <c r="O25" s="72"/>
    </row>
    <row r="26" spans="2:19" ht="26.25" hidden="1" x14ac:dyDescent="0.25">
      <c r="B26" s="6">
        <v>23</v>
      </c>
      <c r="C26" s="7" t="s">
        <v>42</v>
      </c>
      <c r="D26" s="8" t="s">
        <v>24</v>
      </c>
      <c r="E26" s="9">
        <v>50</v>
      </c>
      <c r="F26" s="29">
        <v>48580</v>
      </c>
      <c r="G26" s="10">
        <v>2429000</v>
      </c>
      <c r="H26" s="11">
        <v>50</v>
      </c>
      <c r="I26" s="17">
        <v>2429000</v>
      </c>
      <c r="J26" s="13"/>
      <c r="K26" s="14">
        <v>0</v>
      </c>
      <c r="L26" s="15"/>
      <c r="M26" s="16">
        <v>0</v>
      </c>
      <c r="N26" s="71"/>
      <c r="O26" s="72"/>
    </row>
    <row r="27" spans="2:19" ht="26.25" hidden="1" x14ac:dyDescent="0.25">
      <c r="B27" s="6">
        <v>24</v>
      </c>
      <c r="C27" s="7" t="s">
        <v>43</v>
      </c>
      <c r="D27" s="8" t="s">
        <v>24</v>
      </c>
      <c r="E27" s="9">
        <v>23</v>
      </c>
      <c r="F27" s="29">
        <v>93406</v>
      </c>
      <c r="G27" s="10">
        <v>2148338</v>
      </c>
      <c r="H27" s="11">
        <v>23</v>
      </c>
      <c r="I27" s="17">
        <v>2148338</v>
      </c>
      <c r="J27" s="13"/>
      <c r="K27" s="14">
        <v>0</v>
      </c>
      <c r="L27" s="15"/>
      <c r="M27" s="16">
        <v>0</v>
      </c>
      <c r="N27" s="71"/>
      <c r="O27" s="72"/>
    </row>
    <row r="28" spans="2:19" hidden="1" x14ac:dyDescent="0.25">
      <c r="B28" s="18">
        <v>25</v>
      </c>
      <c r="C28" s="7" t="s">
        <v>44</v>
      </c>
      <c r="D28" s="8" t="s">
        <v>3</v>
      </c>
      <c r="E28" s="9">
        <v>10</v>
      </c>
      <c r="F28" s="29">
        <v>576571</v>
      </c>
      <c r="G28" s="10">
        <v>5765710</v>
      </c>
      <c r="H28" s="11"/>
      <c r="I28" s="17">
        <v>0</v>
      </c>
      <c r="J28" s="13">
        <v>10</v>
      </c>
      <c r="K28" s="14">
        <v>5765710</v>
      </c>
      <c r="L28" s="15"/>
      <c r="M28" s="16">
        <v>0</v>
      </c>
      <c r="N28" s="71"/>
      <c r="O28" s="72"/>
    </row>
    <row r="29" spans="2:19" hidden="1" x14ac:dyDescent="0.25">
      <c r="B29" s="23">
        <v>26</v>
      </c>
      <c r="C29" s="24" t="s">
        <v>45</v>
      </c>
      <c r="D29" s="25" t="s">
        <v>38</v>
      </c>
      <c r="E29" s="26">
        <v>0</v>
      </c>
      <c r="F29" s="27">
        <v>3500000</v>
      </c>
      <c r="G29" s="27">
        <v>0</v>
      </c>
      <c r="H29" s="11">
        <v>0</v>
      </c>
      <c r="I29" s="17">
        <v>0</v>
      </c>
      <c r="J29" s="13"/>
      <c r="K29" s="14">
        <v>0</v>
      </c>
      <c r="L29" s="15"/>
      <c r="M29" s="16">
        <v>0</v>
      </c>
      <c r="N29" s="71"/>
      <c r="O29" s="72"/>
    </row>
    <row r="30" spans="2:19" hidden="1" x14ac:dyDescent="0.25">
      <c r="B30" s="18">
        <v>27</v>
      </c>
      <c r="C30" s="7" t="s">
        <v>46</v>
      </c>
      <c r="D30" s="8" t="s">
        <v>18</v>
      </c>
      <c r="E30" s="9">
        <v>2</v>
      </c>
      <c r="F30" s="29">
        <v>800000</v>
      </c>
      <c r="G30" s="10">
        <v>1600000</v>
      </c>
      <c r="H30" s="11">
        <v>1</v>
      </c>
      <c r="I30" s="17">
        <v>800000</v>
      </c>
      <c r="J30" s="13">
        <v>1</v>
      </c>
      <c r="K30" s="14">
        <v>800000</v>
      </c>
      <c r="L30" s="15"/>
      <c r="M30" s="16">
        <v>0</v>
      </c>
      <c r="N30" s="71"/>
      <c r="O30" s="72"/>
    </row>
    <row r="31" spans="2:19" hidden="1" x14ac:dyDescent="0.25">
      <c r="B31" s="18">
        <v>28</v>
      </c>
      <c r="C31" s="7" t="s">
        <v>47</v>
      </c>
      <c r="D31" s="8" t="s">
        <v>29</v>
      </c>
      <c r="E31" s="9">
        <v>20</v>
      </c>
      <c r="F31" s="29">
        <v>90000</v>
      </c>
      <c r="G31" s="10">
        <v>1800000</v>
      </c>
      <c r="H31" s="11">
        <v>20</v>
      </c>
      <c r="I31" s="17">
        <v>1800000</v>
      </c>
      <c r="J31" s="13"/>
      <c r="K31" s="14">
        <v>0</v>
      </c>
      <c r="L31" s="15"/>
      <c r="M31" s="16">
        <v>0</v>
      </c>
      <c r="N31" s="71"/>
      <c r="O31" s="72"/>
    </row>
    <row r="32" spans="2:19" hidden="1" x14ac:dyDescent="0.25">
      <c r="B32" s="18">
        <v>29</v>
      </c>
      <c r="C32" s="7" t="s">
        <v>48</v>
      </c>
      <c r="D32" s="8" t="s">
        <v>18</v>
      </c>
      <c r="E32" s="9">
        <v>10</v>
      </c>
      <c r="F32" s="19">
        <v>54680</v>
      </c>
      <c r="G32" s="10">
        <v>546800</v>
      </c>
      <c r="H32" s="11"/>
      <c r="I32" s="20">
        <v>0</v>
      </c>
      <c r="J32" s="13">
        <v>10</v>
      </c>
      <c r="K32" s="21">
        <v>546800</v>
      </c>
      <c r="L32" s="15"/>
      <c r="M32" s="22">
        <v>0</v>
      </c>
      <c r="N32" s="71"/>
      <c r="O32" s="72"/>
    </row>
    <row r="33" spans="2:15" hidden="1" x14ac:dyDescent="0.25">
      <c r="B33" s="6">
        <v>30</v>
      </c>
      <c r="C33" s="7" t="s">
        <v>49</v>
      </c>
      <c r="D33" s="8" t="s">
        <v>24</v>
      </c>
      <c r="E33" s="9">
        <v>40</v>
      </c>
      <c r="F33" s="29">
        <v>310000</v>
      </c>
      <c r="G33" s="10">
        <v>12400000</v>
      </c>
      <c r="H33" s="11">
        <v>40</v>
      </c>
      <c r="I33" s="17">
        <v>12400000</v>
      </c>
      <c r="J33" s="13"/>
      <c r="K33" s="14">
        <v>0</v>
      </c>
      <c r="L33" s="15"/>
      <c r="M33" s="16">
        <v>0</v>
      </c>
      <c r="N33" s="71"/>
      <c r="O33" s="72"/>
    </row>
    <row r="34" spans="2:15" hidden="1" x14ac:dyDescent="0.25">
      <c r="B34" s="6">
        <v>31</v>
      </c>
      <c r="C34" s="7" t="s">
        <v>50</v>
      </c>
      <c r="D34" s="8" t="s">
        <v>18</v>
      </c>
      <c r="E34" s="9">
        <v>82</v>
      </c>
      <c r="F34" s="29">
        <v>46000</v>
      </c>
      <c r="G34" s="10">
        <v>3772000</v>
      </c>
      <c r="H34" s="11">
        <v>82</v>
      </c>
      <c r="I34" s="17">
        <v>3772000</v>
      </c>
      <c r="J34" s="13"/>
      <c r="K34" s="14">
        <v>0</v>
      </c>
      <c r="L34" s="15"/>
      <c r="M34" s="16">
        <v>0</v>
      </c>
      <c r="N34" s="71"/>
      <c r="O34" s="72"/>
    </row>
    <row r="35" spans="2:15" ht="102.75" hidden="1" x14ac:dyDescent="0.25">
      <c r="B35" s="33">
        <v>32</v>
      </c>
      <c r="C35" s="34" t="s">
        <v>51</v>
      </c>
      <c r="D35" s="35" t="s">
        <v>13</v>
      </c>
      <c r="E35" s="36">
        <v>12021.653</v>
      </c>
      <c r="F35" s="37">
        <v>12644.32</v>
      </c>
      <c r="G35" s="37">
        <v>152005627.46096</v>
      </c>
      <c r="H35" s="11"/>
      <c r="I35" s="38">
        <v>0</v>
      </c>
      <c r="J35" s="13"/>
      <c r="K35" s="39">
        <v>0</v>
      </c>
      <c r="L35" s="121">
        <v>12021.653</v>
      </c>
      <c r="M35" s="45">
        <v>152005627.46096</v>
      </c>
      <c r="N35" s="71" t="s">
        <v>52</v>
      </c>
      <c r="O35" s="72"/>
    </row>
    <row r="36" spans="2:15" ht="102.75" hidden="1" x14ac:dyDescent="0.25">
      <c r="B36" s="33">
        <v>33</v>
      </c>
      <c r="C36" s="34" t="s">
        <v>53</v>
      </c>
      <c r="D36" s="35" t="s">
        <v>13</v>
      </c>
      <c r="E36" s="36">
        <v>5152.1369999999997</v>
      </c>
      <c r="F36" s="37">
        <v>16683.396213681317</v>
      </c>
      <c r="G36" s="37">
        <v>85955142.918167412</v>
      </c>
      <c r="H36" s="11"/>
      <c r="I36" s="38">
        <v>0</v>
      </c>
      <c r="J36" s="13"/>
      <c r="K36" s="39">
        <v>0</v>
      </c>
      <c r="L36" s="121">
        <v>5152.1369999999997</v>
      </c>
      <c r="M36" s="45">
        <v>85955142.918167412</v>
      </c>
      <c r="N36" s="71" t="s">
        <v>52</v>
      </c>
      <c r="O36" s="72"/>
    </row>
    <row r="37" spans="2:15" hidden="1" x14ac:dyDescent="0.25">
      <c r="B37" s="6">
        <v>34</v>
      </c>
      <c r="C37" s="34" t="s">
        <v>54</v>
      </c>
      <c r="D37" s="35" t="s">
        <v>24</v>
      </c>
      <c r="E37" s="41">
        <v>117.5</v>
      </c>
      <c r="F37" s="42">
        <v>415530</v>
      </c>
      <c r="G37" s="37">
        <v>48824775</v>
      </c>
      <c r="H37" s="11">
        <v>117.5</v>
      </c>
      <c r="I37" s="43">
        <v>48824775</v>
      </c>
      <c r="J37" s="13"/>
      <c r="K37" s="44">
        <v>0</v>
      </c>
      <c r="L37" s="15"/>
      <c r="M37" s="45">
        <v>0</v>
      </c>
      <c r="N37" s="71"/>
      <c r="O37" s="72">
        <v>121</v>
      </c>
    </row>
    <row r="38" spans="2:15" hidden="1" x14ac:dyDescent="0.25">
      <c r="B38" s="33">
        <v>35</v>
      </c>
      <c r="C38" s="7" t="s">
        <v>55</v>
      </c>
      <c r="D38" s="8" t="s">
        <v>38</v>
      </c>
      <c r="E38" s="9">
        <v>1</v>
      </c>
      <c r="F38" s="29">
        <v>1700750</v>
      </c>
      <c r="G38" s="29">
        <v>1700750</v>
      </c>
      <c r="H38" s="11"/>
      <c r="I38" s="17">
        <v>0</v>
      </c>
      <c r="J38" s="13"/>
      <c r="K38" s="14">
        <v>0</v>
      </c>
      <c r="L38" s="121">
        <v>1</v>
      </c>
      <c r="M38" s="122">
        <v>1700750</v>
      </c>
      <c r="N38" s="71"/>
      <c r="O38" s="72"/>
    </row>
    <row r="39" spans="2:15" hidden="1" x14ac:dyDescent="0.25">
      <c r="B39" s="23">
        <v>36</v>
      </c>
      <c r="C39" s="24" t="s">
        <v>56</v>
      </c>
      <c r="D39" s="25" t="s">
        <v>13</v>
      </c>
      <c r="E39" s="26">
        <v>0</v>
      </c>
      <c r="F39" s="27">
        <v>84115</v>
      </c>
      <c r="G39" s="27">
        <v>0</v>
      </c>
      <c r="H39" s="11"/>
      <c r="I39" s="17">
        <v>0</v>
      </c>
      <c r="J39" s="13"/>
      <c r="K39" s="14">
        <v>0</v>
      </c>
      <c r="L39" s="121"/>
      <c r="M39" s="122">
        <v>0</v>
      </c>
      <c r="N39" s="71"/>
      <c r="O39" s="72"/>
    </row>
    <row r="40" spans="2:15" ht="25.5" x14ac:dyDescent="0.25">
      <c r="B40" s="33">
        <v>1</v>
      </c>
      <c r="C40" s="34" t="s">
        <v>189</v>
      </c>
      <c r="D40" s="35" t="s">
        <v>13</v>
      </c>
      <c r="E40" s="188">
        <v>60</v>
      </c>
      <c r="F40" s="46">
        <v>7610</v>
      </c>
      <c r="G40" s="37">
        <f>+E40*F40</f>
        <v>456600</v>
      </c>
      <c r="H40" s="11"/>
      <c r="I40" s="38">
        <v>0</v>
      </c>
      <c r="J40" s="13"/>
      <c r="K40" s="39">
        <v>0</v>
      </c>
      <c r="L40" s="121">
        <v>6</v>
      </c>
      <c r="M40" s="45">
        <v>1499220</v>
      </c>
      <c r="N40" s="71"/>
      <c r="O40" s="72"/>
    </row>
    <row r="41" spans="2:15" x14ac:dyDescent="0.25">
      <c r="B41" s="33"/>
      <c r="C41" s="34" t="s">
        <v>203</v>
      </c>
      <c r="D41" s="35" t="s">
        <v>18</v>
      </c>
      <c r="E41" s="188">
        <v>6</v>
      </c>
      <c r="F41" s="46">
        <v>45560</v>
      </c>
      <c r="G41" s="37">
        <f>+E41*F41</f>
        <v>273360</v>
      </c>
      <c r="H41" s="11"/>
      <c r="I41" s="38"/>
      <c r="J41" s="13"/>
      <c r="K41" s="39"/>
      <c r="L41" s="121"/>
      <c r="M41" s="45"/>
      <c r="N41" s="71"/>
      <c r="O41" s="72"/>
    </row>
    <row r="42" spans="2:15" ht="25.5" x14ac:dyDescent="0.25">
      <c r="B42" s="33">
        <v>2</v>
      </c>
      <c r="C42" s="34" t="s">
        <v>190</v>
      </c>
      <c r="D42" s="35" t="s">
        <v>13</v>
      </c>
      <c r="E42" s="35">
        <v>60</v>
      </c>
      <c r="F42" s="46">
        <v>40710</v>
      </c>
      <c r="G42" s="37">
        <f t="shared" ref="G42:G47" si="0">+E42*F42</f>
        <v>2442600</v>
      </c>
      <c r="H42" s="11"/>
      <c r="I42" s="38">
        <v>0</v>
      </c>
      <c r="J42" s="13"/>
      <c r="K42" s="39">
        <v>0</v>
      </c>
      <c r="L42" s="121">
        <v>6</v>
      </c>
      <c r="M42" s="45">
        <v>1858824</v>
      </c>
      <c r="N42" s="71"/>
      <c r="O42" s="72"/>
    </row>
    <row r="43" spans="2:15" x14ac:dyDescent="0.25">
      <c r="B43" s="33">
        <v>3</v>
      </c>
      <c r="C43" s="34" t="s">
        <v>200</v>
      </c>
      <c r="D43" s="35" t="s">
        <v>13</v>
      </c>
      <c r="E43" s="35">
        <v>60</v>
      </c>
      <c r="F43" s="46">
        <v>15000</v>
      </c>
      <c r="G43" s="37">
        <f t="shared" si="0"/>
        <v>900000</v>
      </c>
      <c r="H43" s="11"/>
      <c r="I43" s="38"/>
      <c r="J43" s="13"/>
      <c r="K43" s="39"/>
      <c r="L43" s="121"/>
      <c r="M43" s="45"/>
      <c r="N43" s="71"/>
      <c r="O43" s="72"/>
    </row>
    <row r="44" spans="2:15" x14ac:dyDescent="0.25">
      <c r="B44" s="33">
        <v>4</v>
      </c>
      <c r="C44" s="34" t="s">
        <v>201</v>
      </c>
      <c r="D44" s="35" t="s">
        <v>13</v>
      </c>
      <c r="E44" s="35">
        <v>60</v>
      </c>
      <c r="F44" s="46">
        <v>21000</v>
      </c>
      <c r="G44" s="37">
        <f t="shared" si="0"/>
        <v>1260000</v>
      </c>
      <c r="H44" s="11"/>
      <c r="I44" s="38"/>
      <c r="J44" s="13"/>
      <c r="K44" s="39"/>
      <c r="L44" s="121"/>
      <c r="M44" s="45"/>
      <c r="N44" s="71"/>
      <c r="O44" s="72"/>
    </row>
    <row r="45" spans="2:15" x14ac:dyDescent="0.25">
      <c r="B45" s="33">
        <v>5</v>
      </c>
      <c r="C45" s="34" t="s">
        <v>202</v>
      </c>
      <c r="D45" s="35" t="s">
        <v>24</v>
      </c>
      <c r="E45" s="35">
        <v>20.34</v>
      </c>
      <c r="F45" s="46">
        <v>9500</v>
      </c>
      <c r="G45" s="37">
        <f t="shared" si="0"/>
        <v>193230</v>
      </c>
      <c r="H45" s="11"/>
      <c r="I45" s="38"/>
      <c r="J45" s="13"/>
      <c r="K45" s="39"/>
      <c r="L45" s="121"/>
      <c r="M45" s="45"/>
      <c r="N45" s="71"/>
      <c r="O45" s="72"/>
    </row>
    <row r="46" spans="2:15" x14ac:dyDescent="0.25">
      <c r="B46" s="33"/>
      <c r="C46" s="34" t="s">
        <v>205</v>
      </c>
      <c r="D46" s="35" t="s">
        <v>18</v>
      </c>
      <c r="E46" s="188">
        <v>6</v>
      </c>
      <c r="F46" s="46">
        <v>45560</v>
      </c>
      <c r="G46" s="37">
        <f>+E46*F46</f>
        <v>273360</v>
      </c>
      <c r="H46" s="11"/>
      <c r="I46" s="38"/>
      <c r="J46" s="13"/>
      <c r="K46" s="39"/>
      <c r="L46" s="121"/>
      <c r="M46" s="45"/>
      <c r="N46" s="71"/>
      <c r="O46" s="72"/>
    </row>
    <row r="47" spans="2:15" ht="25.5" x14ac:dyDescent="0.25">
      <c r="B47" s="33">
        <v>6</v>
      </c>
      <c r="C47" s="34" t="s">
        <v>58</v>
      </c>
      <c r="D47" s="35" t="s">
        <v>24</v>
      </c>
      <c r="E47" s="41">
        <v>34</v>
      </c>
      <c r="F47" s="46">
        <v>111676</v>
      </c>
      <c r="G47" s="37">
        <f t="shared" si="0"/>
        <v>3796984</v>
      </c>
      <c r="H47" s="11"/>
      <c r="I47" s="38">
        <v>0</v>
      </c>
      <c r="J47" s="13"/>
      <c r="K47" s="39">
        <v>0</v>
      </c>
      <c r="L47" s="121">
        <v>15</v>
      </c>
      <c r="M47" s="45">
        <v>1675140</v>
      </c>
      <c r="N47" s="71"/>
      <c r="O47" s="72"/>
    </row>
    <row r="48" spans="2:15" x14ac:dyDescent="0.25">
      <c r="B48" s="47"/>
      <c r="C48" s="193"/>
      <c r="D48" s="47"/>
      <c r="E48" s="47"/>
      <c r="F48" s="49"/>
      <c r="G48" s="49"/>
      <c r="H48" s="49"/>
      <c r="I48" s="49"/>
      <c r="J48" s="49"/>
      <c r="K48" s="49"/>
      <c r="L48" s="49"/>
      <c r="M48" s="49"/>
      <c r="N48" s="73"/>
      <c r="O48" s="73"/>
    </row>
    <row r="49" spans="2:15" x14ac:dyDescent="0.25">
      <c r="B49" s="47"/>
      <c r="C49" s="48"/>
      <c r="D49" s="47"/>
      <c r="E49" s="47"/>
      <c r="F49" s="49"/>
      <c r="G49" s="49"/>
      <c r="H49" s="49"/>
      <c r="I49" s="49"/>
      <c r="J49" s="49"/>
      <c r="K49" s="49"/>
      <c r="L49" s="49"/>
      <c r="M49" s="49"/>
      <c r="N49" s="73"/>
      <c r="O49" s="73"/>
    </row>
    <row r="50" spans="2:15" hidden="1" x14ac:dyDescent="0.25">
      <c r="B50" s="47"/>
      <c r="C50" s="50" t="s">
        <v>59</v>
      </c>
      <c r="D50" s="51"/>
      <c r="E50" s="52"/>
      <c r="F50" s="53"/>
      <c r="G50" s="54">
        <v>959562063.90912747</v>
      </c>
      <c r="H50" s="55"/>
      <c r="I50" s="56">
        <v>472345236.02999997</v>
      </c>
      <c r="J50" s="55"/>
      <c r="K50" s="56">
        <v>242522123.5</v>
      </c>
      <c r="L50" s="55"/>
      <c r="M50" s="56">
        <v>244694704.37912741</v>
      </c>
      <c r="N50" s="73"/>
      <c r="O50" s="73"/>
    </row>
    <row r="51" spans="2:15" hidden="1" x14ac:dyDescent="0.25">
      <c r="B51" s="73"/>
      <c r="C51" s="57" t="s">
        <v>60</v>
      </c>
      <c r="D51" s="58"/>
      <c r="E51" s="59"/>
      <c r="F51" s="60"/>
      <c r="G51" s="61">
        <v>251597173</v>
      </c>
      <c r="H51" s="55"/>
      <c r="I51" s="62">
        <v>123848921</v>
      </c>
      <c r="J51" s="55"/>
      <c r="K51" s="62">
        <v>63589301</v>
      </c>
      <c r="L51" s="55"/>
      <c r="M51" s="62">
        <v>64158951</v>
      </c>
      <c r="N51" s="73"/>
      <c r="O51" s="73"/>
    </row>
    <row r="52" spans="2:15" hidden="1" x14ac:dyDescent="0.25">
      <c r="B52" s="73"/>
      <c r="C52" s="63" t="s">
        <v>61</v>
      </c>
      <c r="D52" s="58"/>
      <c r="E52" s="64">
        <v>0.17269999999999999</v>
      </c>
      <c r="F52" s="60"/>
      <c r="G52" s="61">
        <v>165716368</v>
      </c>
      <c r="H52" s="55"/>
      <c r="I52" s="62">
        <v>81574022</v>
      </c>
      <c r="J52" s="55"/>
      <c r="K52" s="62">
        <v>41883571</v>
      </c>
      <c r="L52" s="55"/>
      <c r="M52" s="62">
        <v>42258775</v>
      </c>
      <c r="N52" s="73"/>
      <c r="O52" s="73"/>
    </row>
    <row r="53" spans="2:15" hidden="1" x14ac:dyDescent="0.25">
      <c r="B53" s="73"/>
      <c r="C53" s="63" t="s">
        <v>62</v>
      </c>
      <c r="D53" s="58"/>
      <c r="E53" s="64">
        <v>0.03</v>
      </c>
      <c r="F53" s="60"/>
      <c r="G53" s="61">
        <v>28786862</v>
      </c>
      <c r="H53" s="55"/>
      <c r="I53" s="62">
        <v>14170357</v>
      </c>
      <c r="J53" s="55"/>
      <c r="K53" s="62">
        <v>7275664</v>
      </c>
      <c r="L53" s="55"/>
      <c r="M53" s="62">
        <v>7340841</v>
      </c>
      <c r="N53" s="73"/>
      <c r="O53" s="73"/>
    </row>
    <row r="54" spans="2:15" hidden="1" x14ac:dyDescent="0.25">
      <c r="B54" s="73"/>
      <c r="C54" s="63" t="s">
        <v>63</v>
      </c>
      <c r="D54" s="58"/>
      <c r="E54" s="64">
        <v>0.05</v>
      </c>
      <c r="F54" s="60"/>
      <c r="G54" s="61">
        <v>47978103</v>
      </c>
      <c r="H54" s="55"/>
      <c r="I54" s="62">
        <v>23617262</v>
      </c>
      <c r="J54" s="55"/>
      <c r="K54" s="62">
        <v>12126106</v>
      </c>
      <c r="L54" s="55"/>
      <c r="M54" s="62">
        <v>12234735</v>
      </c>
      <c r="N54" s="73"/>
      <c r="O54" s="73"/>
    </row>
    <row r="55" spans="2:15" hidden="1" x14ac:dyDescent="0.25">
      <c r="B55" s="73"/>
      <c r="C55" s="65" t="s">
        <v>64</v>
      </c>
      <c r="D55" s="66"/>
      <c r="E55" s="67">
        <v>0.19</v>
      </c>
      <c r="F55" s="68"/>
      <c r="G55" s="69">
        <v>9115840</v>
      </c>
      <c r="H55" s="55"/>
      <c r="I55" s="70">
        <v>4487280</v>
      </c>
      <c r="J55" s="55"/>
      <c r="K55" s="70">
        <v>2303960</v>
      </c>
      <c r="L55" s="55"/>
      <c r="M55" s="70">
        <v>2324600</v>
      </c>
      <c r="N55" s="73"/>
      <c r="O55" s="73"/>
    </row>
    <row r="56" spans="2:15" x14ac:dyDescent="0.25">
      <c r="B56" s="73"/>
      <c r="C56" s="73"/>
      <c r="D56" s="73"/>
      <c r="E56" s="73"/>
      <c r="F56" s="73"/>
      <c r="G56" s="73"/>
      <c r="H56" s="73"/>
      <c r="I56" s="73"/>
      <c r="J56" s="73"/>
      <c r="K56" s="73"/>
      <c r="L56" s="73"/>
      <c r="M56" s="73"/>
      <c r="N56" s="73"/>
      <c r="O56" s="73"/>
    </row>
    <row r="57" spans="2:15" x14ac:dyDescent="0.25">
      <c r="B57" s="73"/>
      <c r="C57" s="73"/>
      <c r="D57" s="73"/>
      <c r="E57" s="73"/>
      <c r="F57" s="74"/>
      <c r="G57" s="75">
        <f>SUM(G40:O47)</f>
        <v>14629345</v>
      </c>
      <c r="H57" s="76"/>
      <c r="I57" s="77">
        <v>596194157.02999997</v>
      </c>
      <c r="J57" s="76"/>
      <c r="K57" s="78">
        <v>306111424.5</v>
      </c>
      <c r="L57" s="76"/>
      <c r="M57" s="79">
        <v>308853655.37912738</v>
      </c>
      <c r="N57" s="73"/>
      <c r="O57" s="73"/>
    </row>
    <row r="58" spans="2:15" x14ac:dyDescent="0.25">
      <c r="B58" s="73"/>
      <c r="C58" s="73"/>
      <c r="D58" s="73"/>
      <c r="E58" s="73"/>
      <c r="F58" s="73"/>
      <c r="G58" s="73"/>
      <c r="H58" s="80" t="s">
        <v>107</v>
      </c>
      <c r="I58" s="119">
        <v>1548</v>
      </c>
      <c r="J58" s="73"/>
      <c r="K58" s="119">
        <v>2017</v>
      </c>
      <c r="L58" s="73"/>
      <c r="M58" s="119">
        <v>1</v>
      </c>
      <c r="N58" s="73"/>
      <c r="O58" s="73"/>
    </row>
    <row r="59" spans="2:15" x14ac:dyDescent="0.25">
      <c r="B59" s="73"/>
      <c r="C59" s="73"/>
      <c r="D59" s="73"/>
      <c r="E59" s="73"/>
      <c r="F59" s="73"/>
      <c r="G59" s="73"/>
      <c r="H59" s="80" t="s">
        <v>65</v>
      </c>
      <c r="I59" s="81">
        <v>385138.344334625</v>
      </c>
      <c r="J59" s="73"/>
      <c r="K59" s="81">
        <v>151765.70376797224</v>
      </c>
      <c r="L59" s="73"/>
      <c r="M59" s="81">
        <v>308853655.37912738</v>
      </c>
      <c r="N59" s="73"/>
      <c r="O59" s="73"/>
    </row>
  </sheetData>
  <protectedRanges>
    <protectedRange sqref="E52:E54" name="Rango3_2_1_3"/>
  </protectedRanges>
  <mergeCells count="1">
    <mergeCell ref="B2:O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B2:O54"/>
  <sheetViews>
    <sheetView topLeftCell="B37" zoomScale="90" zoomScaleNormal="90" workbookViewId="0">
      <selection activeCell="G45" sqref="G45"/>
    </sheetView>
  </sheetViews>
  <sheetFormatPr baseColWidth="10" defaultRowHeight="15" x14ac:dyDescent="0.25"/>
  <cols>
    <col min="1" max="1" width="5" customWidth="1"/>
    <col min="3" max="3" width="34.28515625" customWidth="1"/>
    <col min="6" max="6" width="16.28515625" customWidth="1"/>
    <col min="7" max="7" width="19.140625" customWidth="1"/>
    <col min="8" max="8" width="15.140625" customWidth="1"/>
    <col min="9" max="9" width="21" customWidth="1"/>
    <col min="10" max="10" width="15.7109375" customWidth="1"/>
    <col min="11" max="11" width="18.140625" customWidth="1"/>
    <col min="12" max="12" width="15.5703125" customWidth="1"/>
    <col min="13" max="13" width="18" customWidth="1"/>
    <col min="14" max="14" width="16.7109375" customWidth="1"/>
    <col min="15" max="15" width="15.85546875" customWidth="1"/>
  </cols>
  <sheetData>
    <row r="2" spans="2:15" x14ac:dyDescent="0.25">
      <c r="B2" s="251" t="s">
        <v>0</v>
      </c>
      <c r="C2" s="252"/>
      <c r="D2" s="252"/>
      <c r="E2" s="252"/>
      <c r="F2" s="252"/>
      <c r="G2" s="252"/>
      <c r="H2" s="252"/>
      <c r="I2" s="252"/>
      <c r="J2" s="252"/>
      <c r="K2" s="252"/>
      <c r="L2" s="252"/>
      <c r="M2" s="252"/>
      <c r="N2" s="252"/>
      <c r="O2" s="253"/>
    </row>
    <row r="3" spans="2:15" ht="25.5" x14ac:dyDescent="0.25">
      <c r="B3" s="1" t="s">
        <v>1</v>
      </c>
      <c r="C3" s="1" t="s">
        <v>2</v>
      </c>
      <c r="D3" s="1" t="s">
        <v>3</v>
      </c>
      <c r="E3" s="1" t="s">
        <v>4</v>
      </c>
      <c r="F3" s="1" t="s">
        <v>5</v>
      </c>
      <c r="G3" s="1" t="s">
        <v>6</v>
      </c>
      <c r="H3" s="116" t="s">
        <v>7</v>
      </c>
      <c r="I3" s="116" t="s">
        <v>6</v>
      </c>
      <c r="J3" s="117" t="s">
        <v>8</v>
      </c>
      <c r="K3" s="2" t="s">
        <v>6</v>
      </c>
      <c r="L3" s="118" t="s">
        <v>9</v>
      </c>
      <c r="M3" s="3" t="s">
        <v>6</v>
      </c>
      <c r="N3" s="4" t="s">
        <v>10</v>
      </c>
      <c r="O3" s="5" t="s">
        <v>11</v>
      </c>
    </row>
    <row r="4" spans="2:15" ht="64.5" x14ac:dyDescent="0.25">
      <c r="B4" s="6">
        <v>1</v>
      </c>
      <c r="C4" s="7" t="s">
        <v>12</v>
      </c>
      <c r="D4" s="8" t="s">
        <v>13</v>
      </c>
      <c r="E4" s="9">
        <v>525</v>
      </c>
      <c r="F4" s="10">
        <v>84115</v>
      </c>
      <c r="G4" s="10">
        <v>44160375</v>
      </c>
      <c r="H4" s="11">
        <v>525</v>
      </c>
      <c r="I4" s="12">
        <v>44160375</v>
      </c>
      <c r="J4" s="13"/>
      <c r="K4" s="14">
        <v>0</v>
      </c>
      <c r="L4" s="15"/>
      <c r="M4" s="16">
        <v>0</v>
      </c>
      <c r="N4" s="71" t="s">
        <v>14</v>
      </c>
      <c r="O4" s="72"/>
    </row>
    <row r="5" spans="2:15" ht="26.25" x14ac:dyDescent="0.25">
      <c r="B5" s="6">
        <v>2</v>
      </c>
      <c r="C5" s="7" t="s">
        <v>15</v>
      </c>
      <c r="D5" s="8" t="s">
        <v>13</v>
      </c>
      <c r="E5" s="9">
        <v>960</v>
      </c>
      <c r="F5" s="10">
        <v>95140</v>
      </c>
      <c r="G5" s="10">
        <v>91334400</v>
      </c>
      <c r="H5" s="11">
        <v>960</v>
      </c>
      <c r="I5" s="17">
        <v>91334400</v>
      </c>
      <c r="J5" s="13"/>
      <c r="K5" s="14">
        <v>0</v>
      </c>
      <c r="L5" s="15"/>
      <c r="M5" s="16">
        <v>0</v>
      </c>
      <c r="N5" s="71"/>
      <c r="O5" s="72"/>
    </row>
    <row r="6" spans="2:15" ht="26.25" x14ac:dyDescent="0.25">
      <c r="B6" s="18">
        <v>3</v>
      </c>
      <c r="C6" s="7" t="s">
        <v>16</v>
      </c>
      <c r="D6" s="8" t="s">
        <v>13</v>
      </c>
      <c r="E6" s="9">
        <v>1722</v>
      </c>
      <c r="F6" s="10">
        <v>96200</v>
      </c>
      <c r="G6" s="10">
        <v>165656400</v>
      </c>
      <c r="H6" s="11"/>
      <c r="I6" s="17">
        <v>0</v>
      </c>
      <c r="J6" s="13">
        <v>1722</v>
      </c>
      <c r="K6" s="14">
        <v>165656400</v>
      </c>
      <c r="L6" s="15"/>
      <c r="M6" s="16">
        <v>0</v>
      </c>
      <c r="N6" s="71"/>
      <c r="O6" s="72"/>
    </row>
    <row r="7" spans="2:15" x14ac:dyDescent="0.25">
      <c r="B7" s="6">
        <v>4</v>
      </c>
      <c r="C7" s="7" t="s">
        <v>17</v>
      </c>
      <c r="D7" s="8" t="s">
        <v>18</v>
      </c>
      <c r="E7" s="9">
        <v>2</v>
      </c>
      <c r="F7" s="19">
        <v>5471416.75</v>
      </c>
      <c r="G7" s="10">
        <v>10942833.5</v>
      </c>
      <c r="H7" s="11">
        <v>2</v>
      </c>
      <c r="I7" s="20">
        <v>10942833.5</v>
      </c>
      <c r="J7" s="13"/>
      <c r="K7" s="21">
        <v>0</v>
      </c>
      <c r="L7" s="15"/>
      <c r="M7" s="22">
        <v>0</v>
      </c>
      <c r="N7" s="71"/>
      <c r="O7" s="72"/>
    </row>
    <row r="8" spans="2:15" x14ac:dyDescent="0.25">
      <c r="B8" s="18">
        <v>5</v>
      </c>
      <c r="C8" s="7" t="s">
        <v>19</v>
      </c>
      <c r="D8" s="8" t="s">
        <v>18</v>
      </c>
      <c r="E8" s="9">
        <v>1</v>
      </c>
      <c r="F8" s="19">
        <v>5471416.75</v>
      </c>
      <c r="G8" s="10">
        <v>5471416.75</v>
      </c>
      <c r="H8" s="11"/>
      <c r="I8" s="20">
        <v>0</v>
      </c>
      <c r="J8" s="13">
        <v>1</v>
      </c>
      <c r="K8" s="21">
        <v>5471416.75</v>
      </c>
      <c r="L8" s="15"/>
      <c r="M8" s="22">
        <v>0</v>
      </c>
      <c r="N8" s="71"/>
      <c r="O8" s="72"/>
    </row>
    <row r="9" spans="2:15" ht="26.25" x14ac:dyDescent="0.25">
      <c r="B9" s="23">
        <v>6</v>
      </c>
      <c r="C9" s="24" t="s">
        <v>20</v>
      </c>
      <c r="D9" s="25" t="s">
        <v>18</v>
      </c>
      <c r="E9" s="26">
        <v>0</v>
      </c>
      <c r="F9" s="27">
        <v>2430250</v>
      </c>
      <c r="G9" s="27">
        <v>0</v>
      </c>
      <c r="H9" s="11"/>
      <c r="I9" s="17">
        <v>0</v>
      </c>
      <c r="J9" s="13"/>
      <c r="K9" s="14">
        <v>0</v>
      </c>
      <c r="L9" s="15"/>
      <c r="M9" s="16">
        <v>0</v>
      </c>
      <c r="N9" s="71"/>
      <c r="O9" s="72"/>
    </row>
    <row r="10" spans="2:15" ht="26.25" x14ac:dyDescent="0.25">
      <c r="B10" s="23">
        <v>7</v>
      </c>
      <c r="C10" s="24" t="s">
        <v>21</v>
      </c>
      <c r="D10" s="25" t="s">
        <v>13</v>
      </c>
      <c r="E10" s="26">
        <v>0</v>
      </c>
      <c r="F10" s="27">
        <v>356908</v>
      </c>
      <c r="G10" s="27">
        <v>0</v>
      </c>
      <c r="H10" s="11"/>
      <c r="I10" s="17">
        <v>0</v>
      </c>
      <c r="J10" s="13"/>
      <c r="K10" s="14">
        <v>0</v>
      </c>
      <c r="L10" s="15"/>
      <c r="M10" s="16">
        <v>0</v>
      </c>
      <c r="N10" s="71"/>
      <c r="O10" s="72"/>
    </row>
    <row r="11" spans="2:15" ht="26.25" x14ac:dyDescent="0.25">
      <c r="B11" s="23">
        <v>8</v>
      </c>
      <c r="C11" s="24" t="s">
        <v>22</v>
      </c>
      <c r="D11" s="25" t="s">
        <v>18</v>
      </c>
      <c r="E11" s="26">
        <v>0</v>
      </c>
      <c r="F11" s="27">
        <v>47000</v>
      </c>
      <c r="G11" s="27">
        <v>0</v>
      </c>
      <c r="H11" s="11"/>
      <c r="I11" s="17">
        <v>0</v>
      </c>
      <c r="J11" s="13"/>
      <c r="K11" s="14">
        <v>0</v>
      </c>
      <c r="L11" s="15"/>
      <c r="M11" s="16">
        <v>0</v>
      </c>
      <c r="N11" s="71"/>
      <c r="O11" s="72"/>
    </row>
    <row r="12" spans="2:15" ht="26.25" x14ac:dyDescent="0.25">
      <c r="B12" s="23">
        <v>9</v>
      </c>
      <c r="C12" s="24" t="s">
        <v>23</v>
      </c>
      <c r="D12" s="25" t="s">
        <v>24</v>
      </c>
      <c r="E12" s="26">
        <v>0</v>
      </c>
      <c r="F12" s="27">
        <v>111676</v>
      </c>
      <c r="G12" s="27">
        <v>0</v>
      </c>
      <c r="H12" s="11"/>
      <c r="I12" s="17">
        <v>0</v>
      </c>
      <c r="J12" s="13"/>
      <c r="K12" s="14">
        <v>0</v>
      </c>
      <c r="L12" s="15"/>
      <c r="M12" s="16">
        <v>0</v>
      </c>
      <c r="N12" s="71"/>
      <c r="O12" s="72"/>
    </row>
    <row r="13" spans="2:15" ht="26.25" x14ac:dyDescent="0.25">
      <c r="B13" s="23">
        <v>10</v>
      </c>
      <c r="C13" s="24" t="s">
        <v>25</v>
      </c>
      <c r="D13" s="25" t="s">
        <v>13</v>
      </c>
      <c r="E13" s="26">
        <v>0</v>
      </c>
      <c r="F13" s="27">
        <v>420012</v>
      </c>
      <c r="G13" s="27">
        <v>0</v>
      </c>
      <c r="H13" s="11"/>
      <c r="I13" s="17">
        <v>0</v>
      </c>
      <c r="J13" s="13"/>
      <c r="K13" s="14">
        <v>0</v>
      </c>
      <c r="L13" s="15"/>
      <c r="M13" s="16">
        <v>0</v>
      </c>
      <c r="N13" s="71"/>
      <c r="O13" s="72"/>
    </row>
    <row r="14" spans="2:15" x14ac:dyDescent="0.25">
      <c r="B14" s="6">
        <v>11</v>
      </c>
      <c r="C14" s="7" t="s">
        <v>26</v>
      </c>
      <c r="D14" s="8" t="s">
        <v>24</v>
      </c>
      <c r="E14" s="28">
        <v>211</v>
      </c>
      <c r="F14" s="29">
        <v>120000</v>
      </c>
      <c r="G14" s="10">
        <v>25320000</v>
      </c>
      <c r="H14" s="11">
        <v>211</v>
      </c>
      <c r="I14" s="17">
        <v>25320000</v>
      </c>
      <c r="J14" s="13"/>
      <c r="K14" s="14">
        <v>0</v>
      </c>
      <c r="L14" s="15"/>
      <c r="M14" s="16">
        <v>0</v>
      </c>
      <c r="N14" s="71"/>
      <c r="O14" s="72"/>
    </row>
    <row r="15" spans="2:15" ht="64.5" x14ac:dyDescent="0.25">
      <c r="B15" s="6">
        <v>12</v>
      </c>
      <c r="C15" s="7" t="s">
        <v>27</v>
      </c>
      <c r="D15" s="8" t="s">
        <v>13</v>
      </c>
      <c r="E15" s="9">
        <v>525</v>
      </c>
      <c r="F15" s="29">
        <v>11230</v>
      </c>
      <c r="G15" s="10">
        <v>5895750</v>
      </c>
      <c r="H15" s="11">
        <v>525</v>
      </c>
      <c r="I15" s="17">
        <v>5895750</v>
      </c>
      <c r="J15" s="13"/>
      <c r="K15" s="14">
        <v>0</v>
      </c>
      <c r="L15" s="15"/>
      <c r="M15" s="16">
        <v>0</v>
      </c>
      <c r="N15" s="71" t="s">
        <v>14</v>
      </c>
      <c r="O15" s="72"/>
    </row>
    <row r="16" spans="2:15" ht="26.25" x14ac:dyDescent="0.25">
      <c r="B16" s="6">
        <v>13</v>
      </c>
      <c r="C16" s="7" t="s">
        <v>28</v>
      </c>
      <c r="D16" s="8" t="s">
        <v>29</v>
      </c>
      <c r="E16" s="9">
        <v>1398.75</v>
      </c>
      <c r="F16" s="29">
        <v>50227</v>
      </c>
      <c r="G16" s="10">
        <v>70255016.25</v>
      </c>
      <c r="H16" s="11">
        <v>1398.75</v>
      </c>
      <c r="I16" s="17">
        <v>70255016.25</v>
      </c>
      <c r="J16" s="13"/>
      <c r="K16" s="14">
        <v>0</v>
      </c>
      <c r="L16" s="15"/>
      <c r="M16" s="16">
        <v>0</v>
      </c>
      <c r="N16" s="71"/>
      <c r="O16" s="72"/>
    </row>
    <row r="17" spans="2:15" ht="26.25" x14ac:dyDescent="0.25">
      <c r="B17" s="6">
        <v>14</v>
      </c>
      <c r="C17" s="7" t="s">
        <v>30</v>
      </c>
      <c r="D17" s="8" t="s">
        <v>29</v>
      </c>
      <c r="E17" s="9">
        <v>979.13</v>
      </c>
      <c r="F17" s="29">
        <v>84981</v>
      </c>
      <c r="G17" s="10">
        <v>83207446.530000001</v>
      </c>
      <c r="H17" s="11">
        <v>979.13</v>
      </c>
      <c r="I17" s="17">
        <v>83207446.530000001</v>
      </c>
      <c r="J17" s="13"/>
      <c r="K17" s="14">
        <v>0</v>
      </c>
      <c r="L17" s="15"/>
      <c r="M17" s="16">
        <v>0</v>
      </c>
      <c r="N17" s="71"/>
      <c r="O17" s="72"/>
    </row>
    <row r="18" spans="2:15" ht="26.25" x14ac:dyDescent="0.25">
      <c r="B18" s="6">
        <v>15</v>
      </c>
      <c r="C18" s="7" t="s">
        <v>31</v>
      </c>
      <c r="D18" s="8" t="s">
        <v>13</v>
      </c>
      <c r="E18" s="9">
        <v>3047.5</v>
      </c>
      <c r="F18" s="29">
        <v>7695</v>
      </c>
      <c r="G18" s="10">
        <v>23450512.5</v>
      </c>
      <c r="H18" s="11">
        <v>1401.85</v>
      </c>
      <c r="I18" s="17">
        <v>10787235.75</v>
      </c>
      <c r="J18" s="13">
        <v>1645.65</v>
      </c>
      <c r="K18" s="14">
        <v>12663276.75</v>
      </c>
      <c r="L18" s="15"/>
      <c r="M18" s="16">
        <v>0</v>
      </c>
      <c r="N18" s="71"/>
      <c r="O18" s="72" t="s">
        <v>32</v>
      </c>
    </row>
    <row r="19" spans="2:15" x14ac:dyDescent="0.25">
      <c r="B19" s="6">
        <v>16</v>
      </c>
      <c r="C19" s="7" t="s">
        <v>33</v>
      </c>
      <c r="D19" s="8" t="s">
        <v>24</v>
      </c>
      <c r="E19" s="9">
        <v>334</v>
      </c>
      <c r="F19" s="29">
        <v>46331</v>
      </c>
      <c r="G19" s="10">
        <v>15474554</v>
      </c>
      <c r="H19" s="11">
        <v>334</v>
      </c>
      <c r="I19" s="17">
        <v>15474554</v>
      </c>
      <c r="J19" s="13"/>
      <c r="K19" s="14">
        <v>0</v>
      </c>
      <c r="L19" s="15"/>
      <c r="M19" s="16">
        <v>0</v>
      </c>
      <c r="N19" s="71"/>
      <c r="O19" s="72"/>
    </row>
    <row r="20" spans="2:15" ht="26.25" x14ac:dyDescent="0.25">
      <c r="B20" s="18">
        <v>17</v>
      </c>
      <c r="C20" s="7" t="s">
        <v>34</v>
      </c>
      <c r="D20" s="8" t="s">
        <v>24</v>
      </c>
      <c r="E20" s="9">
        <v>1147</v>
      </c>
      <c r="F20" s="29">
        <v>37240</v>
      </c>
      <c r="G20" s="10">
        <v>42714280</v>
      </c>
      <c r="H20" s="11"/>
      <c r="I20" s="17">
        <v>0</v>
      </c>
      <c r="J20" s="13">
        <v>1147</v>
      </c>
      <c r="K20" s="14">
        <v>42714280</v>
      </c>
      <c r="L20" s="15"/>
      <c r="M20" s="16">
        <v>0</v>
      </c>
      <c r="N20" s="71"/>
      <c r="O20" s="72"/>
    </row>
    <row r="21" spans="2:15" ht="26.25" x14ac:dyDescent="0.25">
      <c r="B21" s="18">
        <v>18</v>
      </c>
      <c r="C21" s="7" t="s">
        <v>35</v>
      </c>
      <c r="D21" s="8" t="s">
        <v>13</v>
      </c>
      <c r="E21" s="9">
        <v>126</v>
      </c>
      <c r="F21" s="29">
        <v>136676</v>
      </c>
      <c r="G21" s="10">
        <v>17221176</v>
      </c>
      <c r="H21" s="11">
        <v>126</v>
      </c>
      <c r="I21" s="17">
        <v>17221176</v>
      </c>
      <c r="J21" s="13"/>
      <c r="K21" s="14">
        <v>0</v>
      </c>
      <c r="L21" s="15"/>
      <c r="M21" s="16">
        <v>0</v>
      </c>
      <c r="N21" s="71"/>
      <c r="O21" s="72"/>
    </row>
    <row r="22" spans="2:15" ht="26.25" x14ac:dyDescent="0.25">
      <c r="B22" s="6">
        <v>19</v>
      </c>
      <c r="C22" s="7" t="s">
        <v>36</v>
      </c>
      <c r="D22" s="8" t="s">
        <v>13</v>
      </c>
      <c r="E22" s="9">
        <v>32</v>
      </c>
      <c r="F22" s="29">
        <v>149868</v>
      </c>
      <c r="G22" s="10">
        <v>4795776</v>
      </c>
      <c r="H22" s="11">
        <v>32</v>
      </c>
      <c r="I22" s="17">
        <v>4795776</v>
      </c>
      <c r="J22" s="13"/>
      <c r="K22" s="14">
        <v>0</v>
      </c>
      <c r="L22" s="15"/>
      <c r="M22" s="16">
        <v>0</v>
      </c>
      <c r="N22" s="71"/>
      <c r="O22" s="72"/>
    </row>
    <row r="23" spans="2:15" ht="26.25" x14ac:dyDescent="0.25">
      <c r="B23" s="23">
        <v>20</v>
      </c>
      <c r="C23" s="24" t="s">
        <v>37</v>
      </c>
      <c r="D23" s="25" t="s">
        <v>38</v>
      </c>
      <c r="E23" s="26">
        <v>0</v>
      </c>
      <c r="F23" s="27">
        <v>2380000</v>
      </c>
      <c r="G23" s="27">
        <v>0</v>
      </c>
      <c r="H23" s="30"/>
      <c r="I23" s="17">
        <v>0</v>
      </c>
      <c r="J23" s="31"/>
      <c r="K23" s="14">
        <v>0</v>
      </c>
      <c r="L23" s="32"/>
      <c r="M23" s="16">
        <v>0</v>
      </c>
      <c r="N23" s="71"/>
      <c r="O23" s="72"/>
    </row>
    <row r="24" spans="2:15" ht="26.25" x14ac:dyDescent="0.25">
      <c r="B24" s="23">
        <v>21</v>
      </c>
      <c r="C24" s="24" t="s">
        <v>39</v>
      </c>
      <c r="D24" s="25" t="s">
        <v>38</v>
      </c>
      <c r="E24" s="26">
        <v>0</v>
      </c>
      <c r="F24" s="27">
        <v>4165000</v>
      </c>
      <c r="G24" s="27">
        <v>0</v>
      </c>
      <c r="H24" s="30"/>
      <c r="I24" s="17">
        <v>0</v>
      </c>
      <c r="J24" s="31"/>
      <c r="K24" s="14">
        <v>0</v>
      </c>
      <c r="L24" s="32"/>
      <c r="M24" s="16">
        <v>0</v>
      </c>
      <c r="N24" s="71"/>
      <c r="O24" s="72"/>
    </row>
    <row r="25" spans="2:15" ht="64.5" x14ac:dyDescent="0.25">
      <c r="B25" s="6">
        <v>22</v>
      </c>
      <c r="C25" s="7" t="s">
        <v>40</v>
      </c>
      <c r="D25" s="8" t="s">
        <v>18</v>
      </c>
      <c r="E25" s="9">
        <v>24</v>
      </c>
      <c r="F25" s="19">
        <v>1236700</v>
      </c>
      <c r="G25" s="10">
        <v>29680800</v>
      </c>
      <c r="H25" s="30">
        <v>16.799999999999997</v>
      </c>
      <c r="I25" s="20">
        <v>20776559.999999996</v>
      </c>
      <c r="J25" s="31">
        <v>7.1999999999999993</v>
      </c>
      <c r="K25" s="21">
        <v>8904240</v>
      </c>
      <c r="L25" s="32"/>
      <c r="M25" s="22">
        <v>0</v>
      </c>
      <c r="N25" s="71" t="s">
        <v>41</v>
      </c>
      <c r="O25" s="72"/>
    </row>
    <row r="26" spans="2:15" ht="26.25" x14ac:dyDescent="0.25">
      <c r="B26" s="6">
        <v>23</v>
      </c>
      <c r="C26" s="7" t="s">
        <v>42</v>
      </c>
      <c r="D26" s="8" t="s">
        <v>24</v>
      </c>
      <c r="E26" s="9">
        <v>50</v>
      </c>
      <c r="F26" s="29">
        <v>48580</v>
      </c>
      <c r="G26" s="10">
        <v>2429000</v>
      </c>
      <c r="H26" s="11">
        <v>50</v>
      </c>
      <c r="I26" s="17">
        <v>2429000</v>
      </c>
      <c r="J26" s="13"/>
      <c r="K26" s="14">
        <v>0</v>
      </c>
      <c r="L26" s="15"/>
      <c r="M26" s="16">
        <v>0</v>
      </c>
      <c r="N26" s="71"/>
      <c r="O26" s="72"/>
    </row>
    <row r="27" spans="2:15" ht="26.25" x14ac:dyDescent="0.25">
      <c r="B27" s="6">
        <v>24</v>
      </c>
      <c r="C27" s="7" t="s">
        <v>43</v>
      </c>
      <c r="D27" s="8" t="s">
        <v>24</v>
      </c>
      <c r="E27" s="9">
        <v>23</v>
      </c>
      <c r="F27" s="29">
        <v>93406</v>
      </c>
      <c r="G27" s="10">
        <v>2148338</v>
      </c>
      <c r="H27" s="11">
        <v>23</v>
      </c>
      <c r="I27" s="17">
        <v>2148338</v>
      </c>
      <c r="J27" s="13"/>
      <c r="K27" s="14">
        <v>0</v>
      </c>
      <c r="L27" s="15"/>
      <c r="M27" s="16">
        <v>0</v>
      </c>
      <c r="N27" s="71"/>
      <c r="O27" s="72"/>
    </row>
    <row r="28" spans="2:15" x14ac:dyDescent="0.25">
      <c r="B28" s="18">
        <v>25</v>
      </c>
      <c r="C28" s="7" t="s">
        <v>44</v>
      </c>
      <c r="D28" s="8" t="s">
        <v>3</v>
      </c>
      <c r="E28" s="9">
        <v>10</v>
      </c>
      <c r="F28" s="29">
        <v>576571</v>
      </c>
      <c r="G28" s="10">
        <v>5765710</v>
      </c>
      <c r="H28" s="11"/>
      <c r="I28" s="17">
        <v>0</v>
      </c>
      <c r="J28" s="13">
        <v>10</v>
      </c>
      <c r="K28" s="14">
        <v>5765710</v>
      </c>
      <c r="L28" s="15"/>
      <c r="M28" s="16">
        <v>0</v>
      </c>
      <c r="N28" s="71"/>
      <c r="O28" s="72"/>
    </row>
    <row r="29" spans="2:15" x14ac:dyDescent="0.25">
      <c r="B29" s="23">
        <v>26</v>
      </c>
      <c r="C29" s="24" t="s">
        <v>45</v>
      </c>
      <c r="D29" s="25" t="s">
        <v>38</v>
      </c>
      <c r="E29" s="26">
        <v>0</v>
      </c>
      <c r="F29" s="27">
        <v>3500000</v>
      </c>
      <c r="G29" s="27">
        <v>0</v>
      </c>
      <c r="H29" s="11">
        <v>0</v>
      </c>
      <c r="I29" s="17">
        <v>0</v>
      </c>
      <c r="J29" s="13"/>
      <c r="K29" s="14">
        <v>0</v>
      </c>
      <c r="L29" s="15"/>
      <c r="M29" s="16">
        <v>0</v>
      </c>
      <c r="N29" s="71"/>
      <c r="O29" s="72"/>
    </row>
    <row r="30" spans="2:15" x14ac:dyDescent="0.25">
      <c r="B30" s="18">
        <v>27</v>
      </c>
      <c r="C30" s="7" t="s">
        <v>46</v>
      </c>
      <c r="D30" s="8" t="s">
        <v>18</v>
      </c>
      <c r="E30" s="9">
        <v>2</v>
      </c>
      <c r="F30" s="29">
        <v>800000</v>
      </c>
      <c r="G30" s="10">
        <v>1600000</v>
      </c>
      <c r="H30" s="11">
        <v>1</v>
      </c>
      <c r="I30" s="17">
        <v>800000</v>
      </c>
      <c r="J30" s="13">
        <v>1</v>
      </c>
      <c r="K30" s="14">
        <v>800000</v>
      </c>
      <c r="L30" s="15"/>
      <c r="M30" s="16">
        <v>0</v>
      </c>
      <c r="N30" s="71"/>
      <c r="O30" s="72"/>
    </row>
    <row r="31" spans="2:15" x14ac:dyDescent="0.25">
      <c r="B31" s="18">
        <v>28</v>
      </c>
      <c r="C31" s="7" t="s">
        <v>47</v>
      </c>
      <c r="D31" s="8" t="s">
        <v>29</v>
      </c>
      <c r="E31" s="9">
        <v>20</v>
      </c>
      <c r="F31" s="29">
        <v>90000</v>
      </c>
      <c r="G31" s="10">
        <v>1800000</v>
      </c>
      <c r="H31" s="11">
        <v>20</v>
      </c>
      <c r="I31" s="17">
        <v>1800000</v>
      </c>
      <c r="J31" s="13"/>
      <c r="K31" s="14">
        <v>0</v>
      </c>
      <c r="L31" s="15"/>
      <c r="M31" s="16">
        <v>0</v>
      </c>
      <c r="N31" s="71"/>
      <c r="O31" s="72"/>
    </row>
    <row r="32" spans="2:15" x14ac:dyDescent="0.25">
      <c r="B32" s="18">
        <v>29</v>
      </c>
      <c r="C32" s="7" t="s">
        <v>48</v>
      </c>
      <c r="D32" s="8" t="s">
        <v>18</v>
      </c>
      <c r="E32" s="9">
        <v>10</v>
      </c>
      <c r="F32" s="19">
        <v>54680</v>
      </c>
      <c r="G32" s="10">
        <v>546800</v>
      </c>
      <c r="H32" s="11"/>
      <c r="I32" s="20">
        <v>0</v>
      </c>
      <c r="J32" s="13">
        <v>10</v>
      </c>
      <c r="K32" s="21">
        <v>546800</v>
      </c>
      <c r="L32" s="15"/>
      <c r="M32" s="22">
        <v>0</v>
      </c>
      <c r="N32" s="71"/>
      <c r="O32" s="72"/>
    </row>
    <row r="33" spans="2:15" x14ac:dyDescent="0.25">
      <c r="B33" s="6">
        <v>30</v>
      </c>
      <c r="C33" s="7" t="s">
        <v>49</v>
      </c>
      <c r="D33" s="8" t="s">
        <v>24</v>
      </c>
      <c r="E33" s="9">
        <v>40</v>
      </c>
      <c r="F33" s="29">
        <v>310000</v>
      </c>
      <c r="G33" s="10">
        <v>12400000</v>
      </c>
      <c r="H33" s="11">
        <v>40</v>
      </c>
      <c r="I33" s="17">
        <v>12400000</v>
      </c>
      <c r="J33" s="13"/>
      <c r="K33" s="14">
        <v>0</v>
      </c>
      <c r="L33" s="15"/>
      <c r="M33" s="16">
        <v>0</v>
      </c>
      <c r="N33" s="71"/>
      <c r="O33" s="72"/>
    </row>
    <row r="34" spans="2:15" x14ac:dyDescent="0.25">
      <c r="B34" s="6">
        <v>31</v>
      </c>
      <c r="C34" s="7" t="s">
        <v>50</v>
      </c>
      <c r="D34" s="8" t="s">
        <v>18</v>
      </c>
      <c r="E34" s="9">
        <v>82</v>
      </c>
      <c r="F34" s="29">
        <v>46000</v>
      </c>
      <c r="G34" s="10">
        <v>3772000</v>
      </c>
      <c r="H34" s="11">
        <v>82</v>
      </c>
      <c r="I34" s="17">
        <v>3772000</v>
      </c>
      <c r="J34" s="13"/>
      <c r="K34" s="14">
        <v>0</v>
      </c>
      <c r="L34" s="15"/>
      <c r="M34" s="16">
        <v>0</v>
      </c>
      <c r="N34" s="71"/>
      <c r="O34" s="72"/>
    </row>
    <row r="35" spans="2:15" ht="102.75" x14ac:dyDescent="0.25">
      <c r="B35" s="33">
        <v>32</v>
      </c>
      <c r="C35" s="34" t="s">
        <v>51</v>
      </c>
      <c r="D35" s="35" t="s">
        <v>13</v>
      </c>
      <c r="E35" s="36">
        <v>12021.653</v>
      </c>
      <c r="F35" s="37">
        <v>12644.32</v>
      </c>
      <c r="G35" s="37">
        <v>152005627.46096</v>
      </c>
      <c r="H35" s="11"/>
      <c r="I35" s="38">
        <v>0</v>
      </c>
      <c r="J35" s="13"/>
      <c r="K35" s="39">
        <v>0</v>
      </c>
      <c r="L35" s="15">
        <v>12021.653</v>
      </c>
      <c r="M35" s="40">
        <v>152005627.46096</v>
      </c>
      <c r="N35" s="71" t="s">
        <v>52</v>
      </c>
      <c r="O35" s="72"/>
    </row>
    <row r="36" spans="2:15" ht="102.75" x14ac:dyDescent="0.25">
      <c r="B36" s="33">
        <v>33</v>
      </c>
      <c r="C36" s="34" t="s">
        <v>53</v>
      </c>
      <c r="D36" s="35" t="s">
        <v>13</v>
      </c>
      <c r="E36" s="36">
        <v>5152.1369999999997</v>
      </c>
      <c r="F36" s="37">
        <v>16683.396213681317</v>
      </c>
      <c r="G36" s="37">
        <v>85955142.918167412</v>
      </c>
      <c r="H36" s="11"/>
      <c r="I36" s="38">
        <v>0</v>
      </c>
      <c r="J36" s="13"/>
      <c r="K36" s="39">
        <v>0</v>
      </c>
      <c r="L36" s="15">
        <v>5152.1369999999997</v>
      </c>
      <c r="M36" s="40">
        <v>85955142.918167412</v>
      </c>
      <c r="N36" s="71" t="s">
        <v>52</v>
      </c>
      <c r="O36" s="72"/>
    </row>
    <row r="37" spans="2:15" x14ac:dyDescent="0.25">
      <c r="B37" s="6">
        <v>34</v>
      </c>
      <c r="C37" s="34" t="s">
        <v>54</v>
      </c>
      <c r="D37" s="35" t="s">
        <v>24</v>
      </c>
      <c r="E37" s="41">
        <v>117.5</v>
      </c>
      <c r="F37" s="42">
        <v>415530</v>
      </c>
      <c r="G37" s="37">
        <v>48824775</v>
      </c>
      <c r="H37" s="11">
        <v>117.5</v>
      </c>
      <c r="I37" s="43">
        <v>48824775</v>
      </c>
      <c r="J37" s="13"/>
      <c r="K37" s="44">
        <v>0</v>
      </c>
      <c r="L37" s="15"/>
      <c r="M37" s="45">
        <v>0</v>
      </c>
      <c r="N37" s="71"/>
      <c r="O37" s="72">
        <v>121</v>
      </c>
    </row>
    <row r="38" spans="2:15" x14ac:dyDescent="0.25">
      <c r="B38" s="33">
        <v>35</v>
      </c>
      <c r="C38" s="182" t="s">
        <v>55</v>
      </c>
      <c r="D38" s="8" t="s">
        <v>38</v>
      </c>
      <c r="E38" s="9">
        <v>1</v>
      </c>
      <c r="F38" s="29">
        <v>1700750</v>
      </c>
      <c r="G38" s="29">
        <v>1700750</v>
      </c>
      <c r="H38" s="11"/>
      <c r="I38" s="17">
        <v>0</v>
      </c>
      <c r="J38" s="13"/>
      <c r="K38" s="14">
        <v>0</v>
      </c>
      <c r="L38" s="15">
        <v>1</v>
      </c>
      <c r="M38" s="16">
        <v>1700750</v>
      </c>
      <c r="N38" s="71"/>
      <c r="O38" s="72"/>
    </row>
    <row r="39" spans="2:15" x14ac:dyDescent="0.25">
      <c r="B39" s="23">
        <v>36</v>
      </c>
      <c r="C39" s="24" t="s">
        <v>56</v>
      </c>
      <c r="D39" s="25" t="s">
        <v>13</v>
      </c>
      <c r="E39" s="26">
        <v>0</v>
      </c>
      <c r="F39" s="27">
        <v>84115</v>
      </c>
      <c r="G39" s="27">
        <v>0</v>
      </c>
      <c r="H39" s="11"/>
      <c r="I39" s="17">
        <v>0</v>
      </c>
      <c r="J39" s="13"/>
      <c r="K39" s="14">
        <v>0</v>
      </c>
      <c r="L39" s="15"/>
      <c r="M39" s="16">
        <v>0</v>
      </c>
      <c r="N39" s="71"/>
      <c r="O39" s="72"/>
    </row>
    <row r="40" spans="2:15" ht="38.25" x14ac:dyDescent="0.25">
      <c r="B40" s="33">
        <v>37</v>
      </c>
      <c r="C40" s="186" t="s">
        <v>57</v>
      </c>
      <c r="D40" s="35" t="s">
        <v>18</v>
      </c>
      <c r="E40" s="35">
        <v>6</v>
      </c>
      <c r="F40" s="46">
        <v>249870</v>
      </c>
      <c r="G40" s="37">
        <v>1499220</v>
      </c>
      <c r="H40" s="11"/>
      <c r="I40" s="38">
        <v>0</v>
      </c>
      <c r="J40" s="13"/>
      <c r="K40" s="39">
        <v>0</v>
      </c>
      <c r="L40" s="15">
        <v>6</v>
      </c>
      <c r="M40" s="40">
        <v>1499220</v>
      </c>
      <c r="N40" s="71"/>
      <c r="O40" s="72"/>
    </row>
    <row r="41" spans="2:15" ht="25.5" x14ac:dyDescent="0.25">
      <c r="B41" s="33">
        <v>38</v>
      </c>
      <c r="C41" s="186" t="s">
        <v>186</v>
      </c>
      <c r="D41" s="35" t="s">
        <v>18</v>
      </c>
      <c r="E41" s="35">
        <v>6</v>
      </c>
      <c r="F41" s="46">
        <v>309804</v>
      </c>
      <c r="G41" s="37">
        <v>1858824</v>
      </c>
      <c r="H41" s="11"/>
      <c r="I41" s="38">
        <v>0</v>
      </c>
      <c r="J41" s="13"/>
      <c r="K41" s="39">
        <v>0</v>
      </c>
      <c r="L41" s="15">
        <v>6</v>
      </c>
      <c r="M41" s="40">
        <v>1858824</v>
      </c>
      <c r="N41" s="71"/>
      <c r="O41" s="72"/>
    </row>
    <row r="42" spans="2:15" ht="25.5" x14ac:dyDescent="0.25">
      <c r="B42" s="33">
        <v>39</v>
      </c>
      <c r="C42" s="186" t="s">
        <v>58</v>
      </c>
      <c r="D42" s="35" t="s">
        <v>24</v>
      </c>
      <c r="E42" s="41">
        <v>15</v>
      </c>
      <c r="F42" s="46">
        <v>111676</v>
      </c>
      <c r="G42" s="37">
        <v>1675140</v>
      </c>
      <c r="H42" s="11"/>
      <c r="I42" s="38">
        <v>0</v>
      </c>
      <c r="J42" s="13"/>
      <c r="K42" s="39">
        <v>0</v>
      </c>
      <c r="L42" s="15">
        <v>15</v>
      </c>
      <c r="M42" s="40">
        <v>1675140</v>
      </c>
      <c r="N42" s="71"/>
      <c r="O42" s="72"/>
    </row>
    <row r="43" spans="2:15" x14ac:dyDescent="0.25">
      <c r="B43" s="47"/>
      <c r="C43" s="48"/>
      <c r="D43" s="47"/>
      <c r="E43" s="47"/>
      <c r="F43" s="49"/>
      <c r="G43" s="49"/>
      <c r="H43" s="49"/>
      <c r="I43" s="49"/>
      <c r="J43" s="49"/>
      <c r="K43" s="49"/>
      <c r="L43" s="49"/>
      <c r="M43" s="49"/>
      <c r="N43" s="73"/>
      <c r="O43" s="73"/>
    </row>
    <row r="44" spans="2:15" x14ac:dyDescent="0.25">
      <c r="B44" s="47"/>
      <c r="C44" s="48"/>
      <c r="D44" s="47"/>
      <c r="E44" s="47"/>
      <c r="F44" s="49"/>
      <c r="G44" s="49">
        <f>+G40+G41</f>
        <v>3358044</v>
      </c>
      <c r="H44" s="49"/>
      <c r="I44" s="49"/>
      <c r="J44" s="49"/>
      <c r="K44" s="49"/>
      <c r="L44" s="49"/>
      <c r="M44" s="49"/>
      <c r="N44" s="73"/>
      <c r="O44" s="73"/>
    </row>
    <row r="45" spans="2:15" x14ac:dyDescent="0.25">
      <c r="B45" s="47"/>
      <c r="C45" s="50" t="s">
        <v>59</v>
      </c>
      <c r="D45" s="51"/>
      <c r="E45" s="52"/>
      <c r="F45" s="53"/>
      <c r="G45" s="54">
        <v>959562063.90912747</v>
      </c>
      <c r="H45" s="55"/>
      <c r="I45" s="56">
        <v>472345236.02999997</v>
      </c>
      <c r="J45" s="55"/>
      <c r="K45" s="56">
        <v>242522123.5</v>
      </c>
      <c r="L45" s="55"/>
      <c r="M45" s="56">
        <v>244694704.37912741</v>
      </c>
      <c r="N45" s="73"/>
      <c r="O45" s="73"/>
    </row>
    <row r="46" spans="2:15" x14ac:dyDescent="0.25">
      <c r="B46" s="73"/>
      <c r="C46" s="57" t="s">
        <v>60</v>
      </c>
      <c r="D46" s="58"/>
      <c r="E46" s="59"/>
      <c r="F46" s="60"/>
      <c r="G46" s="61">
        <v>251597173</v>
      </c>
      <c r="H46" s="55"/>
      <c r="I46" s="62">
        <v>123848921</v>
      </c>
      <c r="J46" s="55"/>
      <c r="K46" s="62">
        <v>63589301</v>
      </c>
      <c r="L46" s="55"/>
      <c r="M46" s="62">
        <v>64158951</v>
      </c>
      <c r="N46" s="73"/>
      <c r="O46" s="73"/>
    </row>
    <row r="47" spans="2:15" x14ac:dyDescent="0.25">
      <c r="B47" s="73"/>
      <c r="C47" s="63" t="s">
        <v>61</v>
      </c>
      <c r="D47" s="58"/>
      <c r="E47" s="64">
        <v>0.17269999999999999</v>
      </c>
      <c r="F47" s="60"/>
      <c r="G47" s="61">
        <v>165716368</v>
      </c>
      <c r="H47" s="55"/>
      <c r="I47" s="62">
        <v>81574022</v>
      </c>
      <c r="J47" s="55"/>
      <c r="K47" s="62">
        <v>41883571</v>
      </c>
      <c r="L47" s="55"/>
      <c r="M47" s="62">
        <v>42258775</v>
      </c>
      <c r="N47" s="73"/>
      <c r="O47" s="73"/>
    </row>
    <row r="48" spans="2:15" x14ac:dyDescent="0.25">
      <c r="B48" s="73"/>
      <c r="C48" s="63" t="s">
        <v>62</v>
      </c>
      <c r="D48" s="58"/>
      <c r="E48" s="64">
        <v>0.03</v>
      </c>
      <c r="F48" s="60"/>
      <c r="G48" s="61">
        <v>28786862</v>
      </c>
      <c r="H48" s="55"/>
      <c r="I48" s="62">
        <v>14170357</v>
      </c>
      <c r="J48" s="55"/>
      <c r="K48" s="62">
        <v>7275664</v>
      </c>
      <c r="L48" s="55"/>
      <c r="M48" s="62">
        <v>7340841</v>
      </c>
      <c r="N48" s="73"/>
      <c r="O48" s="73"/>
    </row>
    <row r="49" spans="2:15" x14ac:dyDescent="0.25">
      <c r="B49" s="73"/>
      <c r="C49" s="63" t="s">
        <v>63</v>
      </c>
      <c r="D49" s="58"/>
      <c r="E49" s="64">
        <v>0.05</v>
      </c>
      <c r="F49" s="60"/>
      <c r="G49" s="61">
        <v>47978103</v>
      </c>
      <c r="H49" s="55"/>
      <c r="I49" s="62">
        <v>23617262</v>
      </c>
      <c r="J49" s="55"/>
      <c r="K49" s="62">
        <v>12126106</v>
      </c>
      <c r="L49" s="55"/>
      <c r="M49" s="62">
        <v>12234735</v>
      </c>
      <c r="N49" s="73"/>
      <c r="O49" s="73"/>
    </row>
    <row r="50" spans="2:15" x14ac:dyDescent="0.25">
      <c r="B50" s="73"/>
      <c r="C50" s="65" t="s">
        <v>64</v>
      </c>
      <c r="D50" s="66"/>
      <c r="E50" s="67">
        <v>0.19</v>
      </c>
      <c r="F50" s="68"/>
      <c r="G50" s="69">
        <v>9115840</v>
      </c>
      <c r="H50" s="55"/>
      <c r="I50" s="70">
        <v>4487280</v>
      </c>
      <c r="J50" s="55"/>
      <c r="K50" s="70">
        <v>2303960</v>
      </c>
      <c r="L50" s="55"/>
      <c r="M50" s="70">
        <v>2324600</v>
      </c>
      <c r="N50" s="73"/>
      <c r="O50" s="73"/>
    </row>
    <row r="51" spans="2:15" x14ac:dyDescent="0.25">
      <c r="B51" s="73"/>
      <c r="C51" s="73"/>
      <c r="D51" s="73"/>
      <c r="E51" s="73"/>
      <c r="F51" s="73"/>
      <c r="G51" s="73"/>
      <c r="H51" s="73"/>
      <c r="I51" s="73"/>
      <c r="J51" s="73"/>
      <c r="K51" s="73"/>
      <c r="L51" s="73"/>
      <c r="M51" s="73"/>
      <c r="N51" s="73"/>
      <c r="O51" s="73"/>
    </row>
    <row r="52" spans="2:15" x14ac:dyDescent="0.25">
      <c r="B52" s="73"/>
      <c r="C52" s="73"/>
      <c r="D52" s="73"/>
      <c r="E52" s="73"/>
      <c r="F52" s="74"/>
      <c r="G52" s="75">
        <v>1211159236.9091275</v>
      </c>
      <c r="H52" s="76"/>
      <c r="I52" s="77">
        <v>596194157.02999997</v>
      </c>
      <c r="J52" s="76"/>
      <c r="K52" s="78">
        <v>306111424.5</v>
      </c>
      <c r="L52" s="76"/>
      <c r="M52" s="79">
        <v>308853655.37912738</v>
      </c>
      <c r="N52" s="73"/>
      <c r="O52" s="73"/>
    </row>
    <row r="53" spans="2:15" x14ac:dyDescent="0.25">
      <c r="B53" s="73"/>
      <c r="C53" s="73"/>
      <c r="D53" s="73"/>
      <c r="E53" s="73"/>
      <c r="F53" s="73"/>
      <c r="G53" s="73"/>
      <c r="H53" s="80" t="s">
        <v>107</v>
      </c>
      <c r="I53" s="119">
        <v>1548</v>
      </c>
      <c r="J53" s="73"/>
      <c r="K53" s="119">
        <v>2017</v>
      </c>
      <c r="L53" s="73"/>
      <c r="M53" s="119">
        <v>1</v>
      </c>
      <c r="N53" s="73"/>
      <c r="O53" s="73"/>
    </row>
    <row r="54" spans="2:15" x14ac:dyDescent="0.25">
      <c r="B54" s="73"/>
      <c r="C54" s="73"/>
      <c r="D54" s="73"/>
      <c r="E54" s="73"/>
      <c r="F54" s="73"/>
      <c r="G54" s="73"/>
      <c r="H54" s="80" t="s">
        <v>65</v>
      </c>
      <c r="I54" s="81">
        <v>385138.344334625</v>
      </c>
      <c r="J54" s="73"/>
      <c r="K54" s="81">
        <v>151765.70376797224</v>
      </c>
      <c r="L54" s="73"/>
      <c r="M54" s="81">
        <v>308853655.37912738</v>
      </c>
      <c r="N54" s="73"/>
      <c r="O54" s="73"/>
    </row>
  </sheetData>
  <protectedRanges>
    <protectedRange sqref="E47:E49" name="Rango3_2_1_3"/>
  </protectedRanges>
  <mergeCells count="1">
    <mergeCell ref="B2:O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B1:M31"/>
  <sheetViews>
    <sheetView view="pageBreakPreview" topLeftCell="C1" zoomScaleNormal="100" zoomScaleSheetLayoutView="100" workbookViewId="0">
      <selection activeCell="G3" sqref="G3"/>
    </sheetView>
  </sheetViews>
  <sheetFormatPr baseColWidth="10" defaultRowHeight="15" x14ac:dyDescent="0.25"/>
  <cols>
    <col min="1" max="1" width="2.7109375" customWidth="1"/>
    <col min="2" max="2" width="9.28515625" customWidth="1"/>
    <col min="3" max="3" width="30.28515625" customWidth="1"/>
    <col min="6" max="6" width="17.28515625" customWidth="1"/>
    <col min="7" max="7" width="20.140625" customWidth="1"/>
    <col min="8" max="8" width="2.5703125" customWidth="1"/>
    <col min="9" max="9" width="3.7109375" customWidth="1"/>
    <col min="10" max="10" width="19.28515625" customWidth="1"/>
    <col min="11" max="11" width="4.85546875" customWidth="1"/>
    <col min="12" max="12" width="24.5703125" customWidth="1"/>
    <col min="13" max="13" width="20.7109375" customWidth="1"/>
  </cols>
  <sheetData>
    <row r="1" spans="2:8" ht="19.5" customHeight="1" x14ac:dyDescent="0.25">
      <c r="B1" s="270" t="s">
        <v>66</v>
      </c>
      <c r="C1" s="270"/>
      <c r="D1" s="270"/>
      <c r="E1" s="270"/>
      <c r="F1" s="270"/>
      <c r="G1" s="270"/>
    </row>
    <row r="2" spans="2:8" ht="29.25" customHeight="1" x14ac:dyDescent="0.25">
      <c r="B2" s="270"/>
      <c r="C2" s="270"/>
      <c r="D2" s="270"/>
      <c r="E2" s="270"/>
      <c r="F2" s="270"/>
      <c r="G2" s="270"/>
    </row>
    <row r="3" spans="2:8" ht="38.25" x14ac:dyDescent="0.25">
      <c r="B3" s="82" t="s">
        <v>1</v>
      </c>
      <c r="C3" s="83" t="s">
        <v>67</v>
      </c>
      <c r="D3" s="83" t="s">
        <v>68</v>
      </c>
      <c r="E3" s="83" t="s">
        <v>4</v>
      </c>
      <c r="F3" s="83"/>
      <c r="G3" s="83" t="s">
        <v>6</v>
      </c>
    </row>
    <row r="4" spans="2:8" x14ac:dyDescent="0.25">
      <c r="B4" s="84" t="s">
        <v>69</v>
      </c>
      <c r="C4" s="271" t="s">
        <v>70</v>
      </c>
      <c r="D4" s="271"/>
      <c r="E4" s="271"/>
      <c r="F4" s="271"/>
      <c r="G4" s="85"/>
    </row>
    <row r="5" spans="2:8" ht="38.25" x14ac:dyDescent="0.25">
      <c r="B5" s="86">
        <v>1</v>
      </c>
      <c r="C5" s="87" t="s">
        <v>71</v>
      </c>
      <c r="D5" s="88" t="s">
        <v>38</v>
      </c>
      <c r="E5" s="89">
        <v>1</v>
      </c>
      <c r="F5" s="90"/>
      <c r="G5" s="91">
        <v>39955380</v>
      </c>
    </row>
    <row r="7" spans="2:8" x14ac:dyDescent="0.25">
      <c r="B7" s="270" t="s">
        <v>72</v>
      </c>
      <c r="C7" s="270"/>
      <c r="D7" s="270"/>
      <c r="E7" s="270"/>
      <c r="F7" s="270"/>
      <c r="G7" s="270"/>
      <c r="H7" s="92"/>
    </row>
    <row r="8" spans="2:8" ht="28.5" customHeight="1" x14ac:dyDescent="0.25">
      <c r="B8" s="270"/>
      <c r="C8" s="270"/>
      <c r="D8" s="270"/>
      <c r="E8" s="270"/>
      <c r="F8" s="270"/>
      <c r="G8" s="270"/>
      <c r="H8" s="92"/>
    </row>
    <row r="9" spans="2:8" ht="25.5" x14ac:dyDescent="0.25">
      <c r="B9" s="93" t="s">
        <v>1</v>
      </c>
      <c r="C9" s="93" t="s">
        <v>2</v>
      </c>
      <c r="D9" s="93" t="s">
        <v>3</v>
      </c>
      <c r="E9" s="93" t="s">
        <v>4</v>
      </c>
      <c r="F9" s="93" t="s">
        <v>73</v>
      </c>
      <c r="G9" s="93" t="s">
        <v>74</v>
      </c>
      <c r="H9" s="92"/>
    </row>
    <row r="10" spans="2:8" x14ac:dyDescent="0.25">
      <c r="B10" s="84" t="s">
        <v>69</v>
      </c>
      <c r="C10" s="271" t="s">
        <v>75</v>
      </c>
      <c r="D10" s="271"/>
      <c r="E10" s="271"/>
      <c r="F10" s="271"/>
      <c r="G10" s="85">
        <f>SUM(G11:G13)</f>
        <v>959562063.90912735</v>
      </c>
      <c r="H10" s="92"/>
    </row>
    <row r="11" spans="2:8" ht="38.25" x14ac:dyDescent="0.25">
      <c r="B11" s="94">
        <v>1</v>
      </c>
      <c r="C11" s="95" t="s">
        <v>76</v>
      </c>
      <c r="D11" s="94" t="s">
        <v>77</v>
      </c>
      <c r="E11" s="96">
        <v>2017</v>
      </c>
      <c r="F11" s="97">
        <f>'Hoja1 luz'!K45/'Hoja1 luz'!K53</f>
        <v>120239.02999504215</v>
      </c>
      <c r="G11" s="98">
        <f>E11*F11</f>
        <v>242522123.5</v>
      </c>
      <c r="H11" s="92"/>
    </row>
    <row r="12" spans="2:8" ht="51.75" customHeight="1" x14ac:dyDescent="0.25">
      <c r="B12" s="94">
        <v>2</v>
      </c>
      <c r="C12" s="95" t="s">
        <v>78</v>
      </c>
      <c r="D12" s="94" t="s">
        <v>77</v>
      </c>
      <c r="E12" s="96">
        <v>1548</v>
      </c>
      <c r="F12" s="97">
        <f>'Hoja1 luz'!I45/'Hoja1 luz'!I53</f>
        <v>305132.58141472866</v>
      </c>
      <c r="G12" s="98">
        <f t="shared" ref="G12:G13" si="0">E12*F12</f>
        <v>472345236.02999997</v>
      </c>
      <c r="H12" s="92"/>
    </row>
    <row r="13" spans="2:8" ht="44.25" customHeight="1" x14ac:dyDescent="0.25">
      <c r="B13" s="94">
        <v>3</v>
      </c>
      <c r="C13" s="95" t="s">
        <v>79</v>
      </c>
      <c r="D13" s="94" t="s">
        <v>38</v>
      </c>
      <c r="E13" s="96">
        <v>1</v>
      </c>
      <c r="F13" s="97">
        <f>'Hoja1 luz'!M45</f>
        <v>244694704.37912741</v>
      </c>
      <c r="G13" s="98">
        <f t="shared" si="0"/>
        <v>244694704.37912741</v>
      </c>
      <c r="H13" s="92"/>
    </row>
    <row r="14" spans="2:8" x14ac:dyDescent="0.25">
      <c r="B14" s="94"/>
      <c r="C14" s="95"/>
      <c r="D14" s="94"/>
      <c r="E14" s="96"/>
      <c r="F14" s="97"/>
      <c r="G14" s="98"/>
      <c r="H14" s="92"/>
    </row>
    <row r="15" spans="2:8" x14ac:dyDescent="0.25">
      <c r="B15" s="84" t="s">
        <v>80</v>
      </c>
      <c r="C15" s="271" t="s">
        <v>81</v>
      </c>
      <c r="D15" s="271"/>
      <c r="E15" s="271"/>
      <c r="F15" s="271"/>
      <c r="G15" s="99">
        <f>SUM(G16:G19)</f>
        <v>351618170.10566616</v>
      </c>
      <c r="H15" s="92"/>
    </row>
    <row r="16" spans="2:8" x14ac:dyDescent="0.25">
      <c r="B16" s="94"/>
      <c r="C16" s="100" t="s">
        <v>82</v>
      </c>
      <c r="D16" s="101">
        <v>0.27693608926474311</v>
      </c>
      <c r="E16" s="263"/>
      <c r="F16" s="263"/>
      <c r="G16" s="102">
        <f>$G$10*D16</f>
        <v>265737365.38579923</v>
      </c>
      <c r="H16" s="92"/>
    </row>
    <row r="17" spans="2:13" x14ac:dyDescent="0.25">
      <c r="B17" s="94"/>
      <c r="C17" s="100" t="s">
        <v>83</v>
      </c>
      <c r="D17" s="103">
        <v>0.03</v>
      </c>
      <c r="E17" s="263"/>
      <c r="F17" s="263"/>
      <c r="G17" s="102">
        <f>$G$10*D17</f>
        <v>28786861.917273819</v>
      </c>
      <c r="H17" s="92"/>
    </row>
    <row r="18" spans="2:13" x14ac:dyDescent="0.25">
      <c r="B18" s="94"/>
      <c r="C18" s="100" t="s">
        <v>84</v>
      </c>
      <c r="D18" s="103">
        <v>0.05</v>
      </c>
      <c r="E18" s="263"/>
      <c r="F18" s="263"/>
      <c r="G18" s="102">
        <f>$G$10*D18</f>
        <v>47978103.195456371</v>
      </c>
      <c r="H18" s="92"/>
    </row>
    <row r="19" spans="2:13" x14ac:dyDescent="0.25">
      <c r="B19" s="94"/>
      <c r="C19" s="100" t="s">
        <v>85</v>
      </c>
      <c r="D19" s="103">
        <v>0.19</v>
      </c>
      <c r="E19" s="263"/>
      <c r="F19" s="263"/>
      <c r="G19" s="102">
        <f>G18*D19</f>
        <v>9115839.6071367096</v>
      </c>
      <c r="H19" s="92"/>
    </row>
    <row r="20" spans="2:13" x14ac:dyDescent="0.25">
      <c r="B20" s="264" t="s">
        <v>86</v>
      </c>
      <c r="C20" s="264"/>
      <c r="D20" s="264"/>
      <c r="E20" s="264"/>
      <c r="F20" s="264"/>
      <c r="G20" s="104">
        <f>G10+G15</f>
        <v>1311180234.0147934</v>
      </c>
      <c r="H20" s="92"/>
    </row>
    <row r="22" spans="2:13" ht="32.25" customHeight="1" x14ac:dyDescent="0.25">
      <c r="B22" s="258" t="s">
        <v>87</v>
      </c>
      <c r="C22" s="258"/>
      <c r="D22" s="105" t="s">
        <v>88</v>
      </c>
      <c r="E22" s="258" t="s">
        <v>89</v>
      </c>
      <c r="F22" s="258"/>
      <c r="G22" s="105" t="s">
        <v>90</v>
      </c>
      <c r="J22" s="105" t="s">
        <v>91</v>
      </c>
      <c r="L22" s="106" t="s">
        <v>92</v>
      </c>
      <c r="M22" s="106" t="s">
        <v>93</v>
      </c>
    </row>
    <row r="23" spans="2:13" ht="50.25" customHeight="1" x14ac:dyDescent="0.25">
      <c r="B23" s="265" t="s">
        <v>94</v>
      </c>
      <c r="C23" s="266"/>
      <c r="D23" s="107">
        <v>1</v>
      </c>
      <c r="E23" s="269" t="s">
        <v>95</v>
      </c>
      <c r="F23" s="269"/>
      <c r="G23" s="108">
        <f>G5</f>
        <v>39955380</v>
      </c>
      <c r="J23" s="109">
        <v>35818410</v>
      </c>
      <c r="L23" s="37">
        <v>893893675.20000005</v>
      </c>
      <c r="M23" s="37">
        <v>0</v>
      </c>
    </row>
    <row r="24" spans="2:13" ht="45.75" customHeight="1" x14ac:dyDescent="0.25">
      <c r="B24" s="267"/>
      <c r="C24" s="268"/>
      <c r="D24" s="107">
        <v>2</v>
      </c>
      <c r="E24" s="269" t="s">
        <v>96</v>
      </c>
      <c r="F24" s="269"/>
      <c r="G24" s="110">
        <v>1311180234</v>
      </c>
      <c r="J24" s="109">
        <v>177984850</v>
      </c>
      <c r="L24" s="37">
        <f>865245621-240226876</f>
        <v>625018745</v>
      </c>
      <c r="M24" s="37">
        <v>234694428</v>
      </c>
    </row>
    <row r="25" spans="2:13" ht="24.75" customHeight="1" x14ac:dyDescent="0.25">
      <c r="B25" s="258" t="s">
        <v>97</v>
      </c>
      <c r="C25" s="258"/>
      <c r="D25" s="105">
        <v>3</v>
      </c>
      <c r="E25" s="258" t="s">
        <v>98</v>
      </c>
      <c r="F25" s="258"/>
      <c r="G25" s="111">
        <f>SUM(G23:G24)</f>
        <v>1351135614</v>
      </c>
      <c r="J25" s="112">
        <f>SUM(J23:J24)</f>
        <v>213803260</v>
      </c>
      <c r="L25" s="73"/>
      <c r="M25" s="73"/>
    </row>
    <row r="26" spans="2:13" x14ac:dyDescent="0.25">
      <c r="J26" s="113">
        <f>J25/G25</f>
        <v>0.15823967467413674</v>
      </c>
      <c r="K26" s="114"/>
      <c r="L26" s="37">
        <f>SUM(L23:L25)</f>
        <v>1518912420.2</v>
      </c>
      <c r="M26" s="37">
        <f>SUM(M23:M25)</f>
        <v>234694428</v>
      </c>
    </row>
    <row r="27" spans="2:13" ht="25.5" x14ac:dyDescent="0.25">
      <c r="B27" s="258" t="s">
        <v>89</v>
      </c>
      <c r="C27" s="258"/>
      <c r="D27" s="258" t="s">
        <v>99</v>
      </c>
      <c r="E27" s="258"/>
      <c r="F27" s="258" t="s">
        <v>100</v>
      </c>
      <c r="G27" s="258"/>
      <c r="J27" s="105" t="s">
        <v>101</v>
      </c>
    </row>
    <row r="28" spans="2:13" ht="32.25" customHeight="1" x14ac:dyDescent="0.25">
      <c r="B28" s="260" t="s">
        <v>102</v>
      </c>
      <c r="C28" s="260"/>
      <c r="D28" s="261">
        <f>ROUND(G23*0.9,0)</f>
        <v>35959842</v>
      </c>
      <c r="E28" s="261"/>
      <c r="F28" s="262" t="s">
        <v>103</v>
      </c>
      <c r="G28" s="262"/>
      <c r="J28" s="109">
        <f>G25+J25</f>
        <v>1564938874</v>
      </c>
      <c r="L28" s="115">
        <f>L26-J28</f>
        <v>-46026453.799999952</v>
      </c>
    </row>
    <row r="29" spans="2:13" ht="32.25" customHeight="1" x14ac:dyDescent="0.25">
      <c r="B29" s="260" t="s">
        <v>104</v>
      </c>
      <c r="C29" s="260"/>
      <c r="D29" s="261">
        <f>ROUND(G24*0.9,0)</f>
        <v>1180062211</v>
      </c>
      <c r="E29" s="261"/>
      <c r="F29" s="262" t="s">
        <v>108</v>
      </c>
      <c r="G29" s="262"/>
    </row>
    <row r="30" spans="2:13" x14ac:dyDescent="0.25">
      <c r="B30" s="258" t="s">
        <v>105</v>
      </c>
      <c r="C30" s="258"/>
      <c r="D30" s="259">
        <f>SUM(D28:E29)</f>
        <v>1216022053</v>
      </c>
      <c r="E30" s="259"/>
      <c r="F30" s="258" t="s">
        <v>109</v>
      </c>
      <c r="G30" s="258"/>
    </row>
    <row r="31" spans="2:13" x14ac:dyDescent="0.25">
      <c r="B31" s="258" t="s">
        <v>106</v>
      </c>
      <c r="C31" s="258"/>
      <c r="D31" s="259"/>
      <c r="E31" s="259"/>
      <c r="F31" s="258"/>
      <c r="G31" s="258"/>
    </row>
  </sheetData>
  <mergeCells count="30">
    <mergeCell ref="E16:F16"/>
    <mergeCell ref="B1:G2"/>
    <mergeCell ref="C4:F4"/>
    <mergeCell ref="B7:G8"/>
    <mergeCell ref="C10:F10"/>
    <mergeCell ref="C15:F15"/>
    <mergeCell ref="B27:C27"/>
    <mergeCell ref="D27:E27"/>
    <mergeCell ref="F27:G27"/>
    <mergeCell ref="E17:F17"/>
    <mergeCell ref="E18:F18"/>
    <mergeCell ref="E19:F19"/>
    <mergeCell ref="B20:F20"/>
    <mergeCell ref="B22:C22"/>
    <mergeCell ref="E22:F22"/>
    <mergeCell ref="B23:C24"/>
    <mergeCell ref="E23:F23"/>
    <mergeCell ref="E24:F24"/>
    <mergeCell ref="B25:C25"/>
    <mergeCell ref="E25:F25"/>
    <mergeCell ref="B30:C30"/>
    <mergeCell ref="D30:E31"/>
    <mergeCell ref="F30:G31"/>
    <mergeCell ref="B31:C31"/>
    <mergeCell ref="B28:C28"/>
    <mergeCell ref="D28:E28"/>
    <mergeCell ref="F28:G28"/>
    <mergeCell ref="B29:C29"/>
    <mergeCell ref="D29:E29"/>
    <mergeCell ref="F29:G29"/>
  </mergeCells>
  <pageMargins left="0.7" right="0.7" top="0.75" bottom="0.75" header="0.3" footer="0.3"/>
  <pageSetup scale="88" orientation="portrait" r:id="rId1"/>
  <colBreaks count="1" manualBreakCount="1">
    <brk id="7"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Q130"/>
  <sheetViews>
    <sheetView tabSelected="1" view="pageBreakPreview" zoomScale="85" zoomScaleNormal="85" zoomScaleSheetLayoutView="85" workbookViewId="0">
      <selection activeCell="A109" sqref="A109:H110"/>
    </sheetView>
  </sheetViews>
  <sheetFormatPr baseColWidth="10" defaultColWidth="11.42578125" defaultRowHeight="12.75" x14ac:dyDescent="0.25"/>
  <cols>
    <col min="1" max="1" width="5.42578125" style="196" customWidth="1"/>
    <col min="2" max="2" width="5.140625" style="196" customWidth="1"/>
    <col min="3" max="3" width="34.140625" style="196" customWidth="1"/>
    <col min="4" max="4" width="8.7109375" style="196" customWidth="1"/>
    <col min="5" max="5" width="11.140625" style="196" customWidth="1"/>
    <col min="6" max="6" width="13.7109375" style="196" customWidth="1"/>
    <col min="7" max="7" width="18.5703125" style="196" customWidth="1"/>
    <col min="8" max="8" width="17.42578125" style="195" customWidth="1"/>
    <col min="9" max="9" width="14.42578125" style="195" customWidth="1"/>
    <col min="10" max="10" width="13.5703125" style="195" customWidth="1"/>
    <col min="11" max="11" width="13.7109375" style="195" customWidth="1"/>
    <col min="12" max="12" width="14" style="196" customWidth="1"/>
    <col min="13" max="13" width="13.42578125" style="196" customWidth="1"/>
    <col min="14" max="14" width="11.85546875" style="196" customWidth="1"/>
    <col min="15" max="15" width="11.42578125" style="196" customWidth="1"/>
    <col min="16" max="16" width="13.28515625" style="196" customWidth="1"/>
    <col min="17" max="17" width="10.42578125" style="196" customWidth="1"/>
    <col min="18" max="18" width="8.42578125" style="196" customWidth="1"/>
    <col min="19" max="19" width="15.5703125" style="196" customWidth="1"/>
    <col min="20" max="20" width="20.7109375" style="196" customWidth="1"/>
    <col min="21" max="21" width="23" style="196" customWidth="1"/>
    <col min="22" max="16384" width="11.42578125" style="196"/>
  </cols>
  <sheetData>
    <row r="2" spans="2:7" x14ac:dyDescent="0.25">
      <c r="B2" s="307" t="s">
        <v>252</v>
      </c>
      <c r="C2" s="307"/>
      <c r="D2" s="307"/>
      <c r="E2" s="307"/>
      <c r="F2" s="307"/>
      <c r="G2" s="307"/>
    </row>
    <row r="3" spans="2:7" ht="54" customHeight="1" x14ac:dyDescent="0.25">
      <c r="B3" s="307"/>
      <c r="C3" s="307"/>
      <c r="D3" s="307"/>
      <c r="E3" s="307"/>
      <c r="F3" s="307"/>
      <c r="G3" s="307"/>
    </row>
    <row r="4" spans="2:7" s="195" customFormat="1" ht="9.75" customHeight="1" x14ac:dyDescent="0.25">
      <c r="B4" s="246"/>
      <c r="C4" s="247"/>
      <c r="D4" s="247"/>
      <c r="E4" s="247"/>
      <c r="F4" s="247"/>
      <c r="G4" s="248"/>
    </row>
    <row r="5" spans="2:7" s="195" customFormat="1" ht="32.25" customHeight="1" x14ac:dyDescent="0.25">
      <c r="B5" s="292" t="s">
        <v>253</v>
      </c>
      <c r="C5" s="293"/>
      <c r="D5" s="293"/>
      <c r="E5" s="293"/>
      <c r="F5" s="293"/>
      <c r="G5" s="294"/>
    </row>
    <row r="6" spans="2:7" x14ac:dyDescent="0.25">
      <c r="B6" s="295" t="s">
        <v>241</v>
      </c>
      <c r="C6" s="296"/>
      <c r="D6" s="296"/>
      <c r="E6" s="296"/>
      <c r="F6" s="296"/>
      <c r="G6" s="297"/>
    </row>
    <row r="7" spans="2:7" x14ac:dyDescent="0.25">
      <c r="B7" s="298"/>
      <c r="C7" s="299"/>
      <c r="D7" s="299"/>
      <c r="E7" s="299"/>
      <c r="F7" s="299"/>
      <c r="G7" s="300"/>
    </row>
    <row r="8" spans="2:7" ht="13.5" x14ac:dyDescent="0.25">
      <c r="B8" s="301" t="s">
        <v>2</v>
      </c>
      <c r="C8" s="302"/>
      <c r="D8" s="302"/>
      <c r="E8" s="302"/>
      <c r="F8" s="303"/>
      <c r="G8" s="197" t="s">
        <v>74</v>
      </c>
    </row>
    <row r="9" spans="2:7" ht="13.5" x14ac:dyDescent="0.25">
      <c r="B9" s="304" t="s">
        <v>242</v>
      </c>
      <c r="C9" s="305"/>
      <c r="D9" s="305"/>
      <c r="E9" s="305"/>
      <c r="F9" s="306"/>
      <c r="G9" s="199"/>
    </row>
    <row r="10" spans="2:7" ht="13.5" x14ac:dyDescent="0.25">
      <c r="B10" s="284" t="s">
        <v>233</v>
      </c>
      <c r="C10" s="285"/>
      <c r="D10" s="285"/>
      <c r="E10" s="285"/>
      <c r="F10" s="286"/>
      <c r="G10" s="199"/>
    </row>
    <row r="11" spans="2:7" ht="36.75" customHeight="1" x14ac:dyDescent="0.25">
      <c r="B11" s="198" t="s">
        <v>69</v>
      </c>
      <c r="C11" s="287" t="s">
        <v>249</v>
      </c>
      <c r="D11" s="288"/>
      <c r="E11" s="288"/>
      <c r="F11" s="289"/>
      <c r="G11" s="239"/>
    </row>
    <row r="12" spans="2:7" x14ac:dyDescent="0.25">
      <c r="B12" s="290" t="s">
        <v>243</v>
      </c>
      <c r="C12" s="290"/>
      <c r="D12" s="290"/>
      <c r="E12" s="290"/>
      <c r="F12" s="290"/>
      <c r="G12" s="290"/>
    </row>
    <row r="13" spans="2:7" x14ac:dyDescent="0.25">
      <c r="B13" s="290"/>
      <c r="C13" s="290"/>
      <c r="D13" s="290"/>
      <c r="E13" s="290"/>
      <c r="F13" s="290"/>
      <c r="G13" s="290"/>
    </row>
    <row r="14" spans="2:7" ht="27" x14ac:dyDescent="0.25">
      <c r="B14" s="242" t="s">
        <v>1</v>
      </c>
      <c r="C14" s="242" t="s">
        <v>2</v>
      </c>
      <c r="D14" s="242" t="s">
        <v>3</v>
      </c>
      <c r="E14" s="242" t="s">
        <v>4</v>
      </c>
      <c r="F14" s="242" t="s">
        <v>73</v>
      </c>
      <c r="G14" s="242" t="s">
        <v>74</v>
      </c>
    </row>
    <row r="15" spans="2:7" ht="46.5" customHeight="1" x14ac:dyDescent="0.25">
      <c r="B15" s="249">
        <v>1</v>
      </c>
      <c r="C15" s="240" t="s">
        <v>244</v>
      </c>
      <c r="D15" s="205" t="s">
        <v>77</v>
      </c>
      <c r="E15" s="205">
        <v>569</v>
      </c>
      <c r="F15" s="236"/>
      <c r="G15" s="236"/>
    </row>
    <row r="16" spans="2:7" ht="46.5" customHeight="1" x14ac:dyDescent="0.25">
      <c r="B16" s="249">
        <v>2</v>
      </c>
      <c r="C16" s="240" t="s">
        <v>245</v>
      </c>
      <c r="D16" s="205" t="s">
        <v>77</v>
      </c>
      <c r="E16" s="205">
        <v>447</v>
      </c>
      <c r="F16" s="236"/>
      <c r="G16" s="236"/>
    </row>
    <row r="17" spans="2:17" ht="71.25" customHeight="1" x14ac:dyDescent="0.25">
      <c r="B17" s="249">
        <v>3</v>
      </c>
      <c r="C17" s="250" t="s">
        <v>251</v>
      </c>
      <c r="D17" s="205" t="s">
        <v>77</v>
      </c>
      <c r="E17" s="205">
        <v>608</v>
      </c>
      <c r="F17" s="236"/>
      <c r="G17" s="236"/>
    </row>
    <row r="18" spans="2:17" ht="46.5" customHeight="1" x14ac:dyDescent="0.25">
      <c r="B18" s="249">
        <v>4</v>
      </c>
      <c r="C18" s="240" t="s">
        <v>247</v>
      </c>
      <c r="D18" s="205" t="s">
        <v>77</v>
      </c>
      <c r="E18" s="205">
        <v>27</v>
      </c>
      <c r="F18" s="236"/>
      <c r="G18" s="236"/>
    </row>
    <row r="19" spans="2:17" ht="84.75" customHeight="1" x14ac:dyDescent="0.25">
      <c r="B19" s="249">
        <v>5</v>
      </c>
      <c r="C19" s="240" t="s">
        <v>246</v>
      </c>
      <c r="D19" s="205" t="s">
        <v>240</v>
      </c>
      <c r="E19" s="205">
        <v>1</v>
      </c>
      <c r="F19" s="236"/>
      <c r="G19" s="236"/>
    </row>
    <row r="20" spans="2:17" ht="71.25" customHeight="1" x14ac:dyDescent="0.25">
      <c r="B20" s="249">
        <v>6</v>
      </c>
      <c r="C20" s="240" t="s">
        <v>248</v>
      </c>
      <c r="D20" s="205" t="s">
        <v>240</v>
      </c>
      <c r="E20" s="205">
        <v>1</v>
      </c>
      <c r="F20" s="236"/>
      <c r="G20" s="236"/>
    </row>
    <row r="21" spans="2:17" ht="13.5" x14ac:dyDescent="0.25">
      <c r="B21" s="243"/>
      <c r="C21" s="308" t="s">
        <v>75</v>
      </c>
      <c r="D21" s="308"/>
      <c r="E21" s="308"/>
      <c r="F21" s="308"/>
      <c r="G21" s="244"/>
    </row>
    <row r="22" spans="2:17" ht="13.5" x14ac:dyDescent="0.25">
      <c r="B22" s="205"/>
      <c r="C22" s="210" t="s">
        <v>82</v>
      </c>
      <c r="D22" s="229"/>
      <c r="E22" s="277"/>
      <c r="F22" s="278"/>
      <c r="G22" s="227"/>
    </row>
    <row r="23" spans="2:17" ht="13.5" x14ac:dyDescent="0.25">
      <c r="B23" s="205"/>
      <c r="C23" s="210" t="s">
        <v>83</v>
      </c>
      <c r="D23" s="229"/>
      <c r="E23" s="275"/>
      <c r="F23" s="276"/>
      <c r="G23" s="206"/>
    </row>
    <row r="24" spans="2:17" ht="13.5" x14ac:dyDescent="0.25">
      <c r="B24" s="205"/>
      <c r="C24" s="210" t="s">
        <v>84</v>
      </c>
      <c r="D24" s="229"/>
      <c r="E24" s="277"/>
      <c r="F24" s="278"/>
      <c r="G24" s="206"/>
    </row>
    <row r="25" spans="2:17" ht="13.5" x14ac:dyDescent="0.25">
      <c r="B25" s="205"/>
      <c r="C25" s="210" t="s">
        <v>85</v>
      </c>
      <c r="D25" s="229">
        <v>0.19</v>
      </c>
      <c r="E25" s="277"/>
      <c r="F25" s="278"/>
      <c r="G25" s="206"/>
    </row>
    <row r="26" spans="2:17" ht="13.5" x14ac:dyDescent="0.25">
      <c r="B26" s="235"/>
      <c r="C26" s="279" t="s">
        <v>81</v>
      </c>
      <c r="D26" s="280"/>
      <c r="E26" s="280"/>
      <c r="F26" s="281"/>
      <c r="G26" s="237"/>
    </row>
    <row r="27" spans="2:17" ht="36.75" customHeight="1" x14ac:dyDescent="0.25">
      <c r="B27" s="209" t="s">
        <v>208</v>
      </c>
      <c r="C27" s="234" t="s">
        <v>234</v>
      </c>
      <c r="D27" s="209"/>
      <c r="E27" s="282"/>
      <c r="F27" s="283"/>
      <c r="G27" s="238"/>
    </row>
    <row r="28" spans="2:17" ht="13.5" x14ac:dyDescent="0.25">
      <c r="B28" s="211"/>
      <c r="C28" s="211"/>
      <c r="D28" s="211"/>
      <c r="E28" s="211"/>
      <c r="F28" s="211"/>
      <c r="G28" s="211"/>
    </row>
    <row r="29" spans="2:17" ht="13.5" x14ac:dyDescent="0.25">
      <c r="B29" s="272" t="s">
        <v>235</v>
      </c>
      <c r="C29" s="273"/>
      <c r="D29" s="273"/>
      <c r="E29" s="273"/>
      <c r="F29" s="274"/>
      <c r="G29" s="245"/>
    </row>
    <row r="30" spans="2:17" x14ac:dyDescent="0.25">
      <c r="L30" s="195"/>
      <c r="M30" s="195"/>
      <c r="N30" s="195"/>
      <c r="O30" s="195"/>
      <c r="P30" s="195"/>
      <c r="Q30" s="195"/>
    </row>
    <row r="31" spans="2:17" ht="29.25" customHeight="1" x14ac:dyDescent="0.25">
      <c r="B31" s="292" t="s">
        <v>254</v>
      </c>
      <c r="C31" s="293"/>
      <c r="D31" s="293"/>
      <c r="E31" s="293"/>
      <c r="F31" s="293"/>
      <c r="G31" s="294"/>
      <c r="L31" s="195"/>
      <c r="M31" s="195"/>
      <c r="N31" s="195"/>
      <c r="O31" s="195"/>
      <c r="P31" s="195"/>
      <c r="Q31" s="195"/>
    </row>
    <row r="32" spans="2:17" ht="13.9" customHeight="1" x14ac:dyDescent="0.25">
      <c r="B32" s="295" t="s">
        <v>241</v>
      </c>
      <c r="C32" s="296"/>
      <c r="D32" s="296"/>
      <c r="E32" s="296"/>
      <c r="F32" s="296"/>
      <c r="G32" s="297"/>
      <c r="L32" s="195"/>
      <c r="M32" s="195"/>
      <c r="N32" s="195"/>
      <c r="O32" s="195"/>
      <c r="P32" s="195"/>
      <c r="Q32" s="195"/>
    </row>
    <row r="33" spans="2:17" ht="10.5" customHeight="1" x14ac:dyDescent="0.25">
      <c r="B33" s="298"/>
      <c r="C33" s="299"/>
      <c r="D33" s="299"/>
      <c r="E33" s="299"/>
      <c r="F33" s="299"/>
      <c r="G33" s="300"/>
      <c r="L33" s="195"/>
      <c r="M33" s="195"/>
      <c r="N33" s="195"/>
      <c r="O33" s="195"/>
      <c r="P33" s="195"/>
      <c r="Q33" s="195"/>
    </row>
    <row r="34" spans="2:17" ht="18" customHeight="1" x14ac:dyDescent="0.25">
      <c r="B34" s="301" t="s">
        <v>2</v>
      </c>
      <c r="C34" s="302"/>
      <c r="D34" s="302"/>
      <c r="E34" s="302"/>
      <c r="F34" s="303"/>
      <c r="G34" s="197" t="s">
        <v>74</v>
      </c>
      <c r="L34" s="195"/>
      <c r="M34" s="195"/>
      <c r="N34" s="195"/>
      <c r="O34" s="195"/>
      <c r="P34" s="195"/>
      <c r="Q34" s="195"/>
    </row>
    <row r="35" spans="2:17" ht="21.75" customHeight="1" x14ac:dyDescent="0.25">
      <c r="B35" s="304" t="s">
        <v>242</v>
      </c>
      <c r="C35" s="305"/>
      <c r="D35" s="305"/>
      <c r="E35" s="305"/>
      <c r="F35" s="306"/>
      <c r="G35" s="199"/>
      <c r="H35" s="199"/>
      <c r="L35" s="195"/>
      <c r="M35" s="195"/>
      <c r="N35" s="195"/>
      <c r="O35" s="195"/>
      <c r="P35" s="195"/>
      <c r="Q35" s="195"/>
    </row>
    <row r="36" spans="2:17" ht="21" customHeight="1" x14ac:dyDescent="0.25">
      <c r="B36" s="284" t="s">
        <v>233</v>
      </c>
      <c r="C36" s="285"/>
      <c r="D36" s="285"/>
      <c r="E36" s="285"/>
      <c r="F36" s="286"/>
      <c r="G36" s="199"/>
      <c r="H36" s="220"/>
      <c r="L36" s="195"/>
      <c r="M36" s="195"/>
      <c r="N36" s="195"/>
      <c r="O36" s="195"/>
      <c r="P36" s="195"/>
      <c r="Q36" s="195"/>
    </row>
    <row r="37" spans="2:17" ht="32.25" customHeight="1" x14ac:dyDescent="0.25">
      <c r="B37" s="198" t="s">
        <v>69</v>
      </c>
      <c r="C37" s="287" t="s">
        <v>249</v>
      </c>
      <c r="D37" s="288"/>
      <c r="E37" s="288"/>
      <c r="F37" s="289"/>
      <c r="G37" s="239"/>
      <c r="H37" s="220"/>
      <c r="L37" s="195"/>
      <c r="M37" s="195"/>
      <c r="N37" s="195"/>
      <c r="O37" s="195"/>
      <c r="P37" s="195"/>
      <c r="Q37" s="195"/>
    </row>
    <row r="38" spans="2:17" ht="15.75" customHeight="1" x14ac:dyDescent="0.25">
      <c r="B38" s="290" t="s">
        <v>243</v>
      </c>
      <c r="C38" s="290"/>
      <c r="D38" s="290"/>
      <c r="E38" s="290"/>
      <c r="F38" s="290"/>
      <c r="G38" s="290"/>
      <c r="L38" s="195"/>
      <c r="M38" s="195"/>
      <c r="N38" s="195"/>
      <c r="O38" s="195"/>
      <c r="P38" s="195"/>
      <c r="Q38" s="195"/>
    </row>
    <row r="39" spans="2:17" ht="10.5" customHeight="1" x14ac:dyDescent="0.25">
      <c r="B39" s="290"/>
      <c r="C39" s="290"/>
      <c r="D39" s="290"/>
      <c r="E39" s="290"/>
      <c r="F39" s="290"/>
      <c r="G39" s="290"/>
      <c r="L39" s="195"/>
      <c r="M39" s="195"/>
      <c r="N39" s="195"/>
      <c r="O39" s="195"/>
      <c r="P39" s="195"/>
      <c r="Q39" s="195"/>
    </row>
    <row r="40" spans="2:17" ht="32.25" customHeight="1" x14ac:dyDescent="0.25">
      <c r="B40" s="242" t="s">
        <v>1</v>
      </c>
      <c r="C40" s="242" t="s">
        <v>2</v>
      </c>
      <c r="D40" s="242" t="s">
        <v>3</v>
      </c>
      <c r="E40" s="242" t="s">
        <v>4</v>
      </c>
      <c r="F40" s="242" t="s">
        <v>73</v>
      </c>
      <c r="G40" s="242" t="s">
        <v>74</v>
      </c>
      <c r="L40" s="195"/>
      <c r="M40" s="195"/>
      <c r="N40" s="195"/>
      <c r="O40" s="195"/>
      <c r="P40" s="195"/>
      <c r="Q40" s="195"/>
    </row>
    <row r="41" spans="2:17" ht="50.25" customHeight="1" x14ac:dyDescent="0.25">
      <c r="B41" s="240">
        <v>1</v>
      </c>
      <c r="C41" s="240" t="s">
        <v>244</v>
      </c>
      <c r="D41" s="205" t="s">
        <v>77</v>
      </c>
      <c r="E41" s="205">
        <v>788</v>
      </c>
      <c r="F41" s="236"/>
      <c r="G41" s="236"/>
      <c r="H41" s="200"/>
      <c r="I41" s="201"/>
      <c r="J41" s="202"/>
      <c r="K41" s="203"/>
      <c r="L41" s="204"/>
      <c r="M41" s="204"/>
      <c r="N41" s="204"/>
      <c r="O41" s="204"/>
      <c r="P41" s="204"/>
      <c r="Q41" s="204"/>
    </row>
    <row r="42" spans="2:17" ht="41.25" customHeight="1" x14ac:dyDescent="0.25">
      <c r="B42" s="240">
        <v>2</v>
      </c>
      <c r="C42" s="240" t="s">
        <v>245</v>
      </c>
      <c r="D42" s="205" t="s">
        <v>77</v>
      </c>
      <c r="E42" s="205">
        <v>451</v>
      </c>
      <c r="F42" s="236"/>
      <c r="G42" s="236"/>
      <c r="H42" s="200"/>
      <c r="I42" s="201"/>
      <c r="J42" s="202"/>
      <c r="K42" s="203"/>
      <c r="L42" s="204"/>
      <c r="M42" s="204"/>
      <c r="N42" s="204"/>
      <c r="O42" s="204"/>
      <c r="P42" s="204"/>
      <c r="Q42" s="204"/>
    </row>
    <row r="43" spans="2:17" ht="118.5" customHeight="1" x14ac:dyDescent="0.25">
      <c r="B43" s="240">
        <v>3</v>
      </c>
      <c r="C43" s="250" t="s">
        <v>255</v>
      </c>
      <c r="D43" s="205" t="s">
        <v>77</v>
      </c>
      <c r="E43" s="205">
        <v>600</v>
      </c>
      <c r="F43" s="236"/>
      <c r="G43" s="236"/>
      <c r="H43" s="200"/>
      <c r="I43" s="201"/>
      <c r="J43" s="202"/>
      <c r="K43" s="203"/>
      <c r="L43" s="204"/>
      <c r="M43" s="204"/>
      <c r="N43" s="204"/>
      <c r="O43" s="204"/>
      <c r="P43" s="204"/>
      <c r="Q43" s="204"/>
    </row>
    <row r="44" spans="2:17" ht="53.25" customHeight="1" x14ac:dyDescent="0.25">
      <c r="B44" s="240">
        <v>4</v>
      </c>
      <c r="C44" s="240" t="s">
        <v>246</v>
      </c>
      <c r="D44" s="205" t="s">
        <v>240</v>
      </c>
      <c r="E44" s="205">
        <v>1</v>
      </c>
      <c r="F44" s="236"/>
      <c r="G44" s="236"/>
      <c r="H44" s="200"/>
      <c r="I44" s="201"/>
      <c r="J44" s="202"/>
      <c r="K44" s="203"/>
      <c r="L44" s="204"/>
      <c r="M44" s="204"/>
      <c r="N44" s="204"/>
      <c r="O44" s="204"/>
      <c r="P44" s="204"/>
      <c r="Q44" s="204"/>
    </row>
    <row r="45" spans="2:17" ht="85.5" customHeight="1" x14ac:dyDescent="0.25">
      <c r="B45" s="240">
        <v>5</v>
      </c>
      <c r="C45" s="240" t="s">
        <v>248</v>
      </c>
      <c r="D45" s="205" t="s">
        <v>240</v>
      </c>
      <c r="E45" s="205">
        <v>1</v>
      </c>
      <c r="F45" s="236"/>
      <c r="G45" s="236"/>
      <c r="H45" s="200"/>
      <c r="I45" s="201"/>
      <c r="J45" s="202"/>
      <c r="K45" s="203"/>
      <c r="L45" s="204"/>
      <c r="M45" s="204"/>
      <c r="N45" s="204"/>
      <c r="O45" s="204"/>
      <c r="P45" s="204"/>
      <c r="Q45" s="204"/>
    </row>
    <row r="46" spans="2:17" ht="13.5" x14ac:dyDescent="0.25">
      <c r="B46" s="243"/>
      <c r="C46" s="291" t="s">
        <v>75</v>
      </c>
      <c r="D46" s="291"/>
      <c r="E46" s="291"/>
      <c r="F46" s="291"/>
      <c r="G46" s="244"/>
      <c r="H46" s="200"/>
      <c r="I46" s="207"/>
      <c r="J46" s="207"/>
      <c r="K46" s="207"/>
      <c r="L46" s="207"/>
      <c r="M46" s="241"/>
      <c r="N46" s="241"/>
    </row>
    <row r="47" spans="2:17" ht="13.5" customHeight="1" x14ac:dyDescent="0.25">
      <c r="B47" s="205"/>
      <c r="C47" s="210" t="s">
        <v>82</v>
      </c>
      <c r="D47" s="228"/>
      <c r="E47" s="277"/>
      <c r="F47" s="278"/>
      <c r="G47" s="227"/>
      <c r="H47" s="200"/>
      <c r="I47" s="207"/>
      <c r="J47" s="207"/>
      <c r="K47" s="207"/>
      <c r="M47" s="208"/>
      <c r="N47" s="203"/>
    </row>
    <row r="48" spans="2:17" ht="13.5" customHeight="1" x14ac:dyDescent="0.25">
      <c r="B48" s="205"/>
      <c r="C48" s="210" t="s">
        <v>83</v>
      </c>
      <c r="D48" s="229"/>
      <c r="E48" s="275"/>
      <c r="F48" s="276"/>
      <c r="G48" s="206"/>
      <c r="H48" s="200"/>
      <c r="I48" s="207"/>
      <c r="J48" s="207"/>
      <c r="K48" s="207"/>
      <c r="M48" s="208"/>
      <c r="N48" s="203"/>
    </row>
    <row r="49" spans="2:14" ht="13.5" customHeight="1" x14ac:dyDescent="0.25">
      <c r="B49" s="205"/>
      <c r="C49" s="210" t="s">
        <v>84</v>
      </c>
      <c r="D49" s="229"/>
      <c r="E49" s="277"/>
      <c r="F49" s="278"/>
      <c r="G49" s="206"/>
      <c r="H49" s="200"/>
      <c r="I49" s="207"/>
      <c r="J49" s="207"/>
      <c r="K49" s="207"/>
      <c r="M49" s="208"/>
      <c r="N49" s="203"/>
    </row>
    <row r="50" spans="2:14" ht="13.5" customHeight="1" x14ac:dyDescent="0.25">
      <c r="B50" s="205"/>
      <c r="C50" s="210" t="s">
        <v>85</v>
      </c>
      <c r="D50" s="229">
        <v>0.19</v>
      </c>
      <c r="E50" s="277"/>
      <c r="F50" s="278"/>
      <c r="G50" s="206"/>
      <c r="H50" s="200"/>
      <c r="I50" s="207"/>
      <c r="J50" s="207"/>
      <c r="K50" s="207"/>
    </row>
    <row r="51" spans="2:14" ht="13.5" customHeight="1" x14ac:dyDescent="0.25">
      <c r="B51" s="235"/>
      <c r="C51" s="279" t="s">
        <v>81</v>
      </c>
      <c r="D51" s="280"/>
      <c r="E51" s="280"/>
      <c r="F51" s="281"/>
      <c r="G51" s="237"/>
      <c r="H51" s="200"/>
      <c r="I51" s="207"/>
      <c r="J51" s="207"/>
      <c r="K51" s="207"/>
    </row>
    <row r="52" spans="2:14" ht="54" customHeight="1" x14ac:dyDescent="0.25">
      <c r="B52" s="209" t="s">
        <v>208</v>
      </c>
      <c r="C52" s="234" t="s">
        <v>234</v>
      </c>
      <c r="D52" s="209"/>
      <c r="E52" s="282"/>
      <c r="F52" s="283"/>
      <c r="G52" s="238"/>
      <c r="H52" s="200"/>
      <c r="I52" s="207"/>
      <c r="J52" s="207"/>
      <c r="K52" s="207"/>
    </row>
    <row r="53" spans="2:14" ht="15" customHeight="1" x14ac:dyDescent="0.25">
      <c r="B53" s="211"/>
      <c r="C53" s="211"/>
      <c r="D53" s="211"/>
      <c r="E53" s="211"/>
      <c r="F53" s="211"/>
      <c r="G53" s="211"/>
      <c r="H53" s="200"/>
      <c r="I53" s="207"/>
      <c r="J53" s="207"/>
      <c r="K53" s="207"/>
    </row>
    <row r="54" spans="2:14" ht="15" customHeight="1" x14ac:dyDescent="0.25">
      <c r="B54" s="272" t="s">
        <v>235</v>
      </c>
      <c r="C54" s="273"/>
      <c r="D54" s="273"/>
      <c r="E54" s="273"/>
      <c r="F54" s="274"/>
      <c r="G54" s="212"/>
      <c r="H54" s="200"/>
      <c r="I54" s="213"/>
      <c r="J54" s="213"/>
      <c r="K54" s="213"/>
    </row>
    <row r="55" spans="2:14" ht="15" customHeight="1" x14ac:dyDescent="0.25">
      <c r="H55" s="200"/>
      <c r="I55" s="213"/>
      <c r="J55" s="213"/>
      <c r="K55" s="213"/>
    </row>
    <row r="56" spans="2:14" ht="36" customHeight="1" x14ac:dyDescent="0.25">
      <c r="B56" s="292" t="s">
        <v>256</v>
      </c>
      <c r="C56" s="293"/>
      <c r="D56" s="293"/>
      <c r="E56" s="293"/>
      <c r="F56" s="293"/>
      <c r="G56" s="294"/>
      <c r="H56" s="200"/>
      <c r="I56" s="213"/>
      <c r="J56" s="213"/>
      <c r="K56" s="213"/>
    </row>
    <row r="57" spans="2:14" ht="15" customHeight="1" x14ac:dyDescent="0.25">
      <c r="B57" s="295" t="s">
        <v>241</v>
      </c>
      <c r="C57" s="296"/>
      <c r="D57" s="296"/>
      <c r="E57" s="296"/>
      <c r="F57" s="296"/>
      <c r="G57" s="297"/>
      <c r="H57" s="200"/>
      <c r="I57" s="213"/>
      <c r="J57" s="213"/>
      <c r="K57" s="213"/>
    </row>
    <row r="58" spans="2:14" ht="15" customHeight="1" x14ac:dyDescent="0.25">
      <c r="B58" s="298"/>
      <c r="C58" s="299"/>
      <c r="D58" s="299"/>
      <c r="E58" s="299"/>
      <c r="F58" s="299"/>
      <c r="G58" s="300"/>
      <c r="H58" s="200"/>
      <c r="I58" s="213"/>
      <c r="J58" s="213"/>
      <c r="K58" s="213"/>
    </row>
    <row r="59" spans="2:14" ht="15" customHeight="1" x14ac:dyDescent="0.25">
      <c r="B59" s="301" t="s">
        <v>2</v>
      </c>
      <c r="C59" s="302"/>
      <c r="D59" s="302"/>
      <c r="E59" s="302"/>
      <c r="F59" s="303"/>
      <c r="G59" s="197" t="s">
        <v>74</v>
      </c>
      <c r="H59" s="200"/>
      <c r="I59" s="213"/>
      <c r="J59" s="213"/>
      <c r="K59" s="213"/>
    </row>
    <row r="60" spans="2:14" ht="15" customHeight="1" x14ac:dyDescent="0.25">
      <c r="B60" s="304" t="s">
        <v>242</v>
      </c>
      <c r="C60" s="305"/>
      <c r="D60" s="305"/>
      <c r="E60" s="305"/>
      <c r="F60" s="306"/>
      <c r="G60" s="199"/>
      <c r="H60" s="200"/>
      <c r="I60" s="213"/>
      <c r="J60" s="213"/>
      <c r="K60" s="213"/>
    </row>
    <row r="61" spans="2:14" ht="15" customHeight="1" x14ac:dyDescent="0.25">
      <c r="B61" s="284" t="s">
        <v>233</v>
      </c>
      <c r="C61" s="285"/>
      <c r="D61" s="285"/>
      <c r="E61" s="285"/>
      <c r="F61" s="286"/>
      <c r="G61" s="199"/>
      <c r="H61" s="200"/>
      <c r="I61" s="213"/>
      <c r="J61" s="213"/>
      <c r="K61" s="213"/>
    </row>
    <row r="62" spans="2:14" ht="36" customHeight="1" x14ac:dyDescent="0.25">
      <c r="B62" s="198" t="s">
        <v>69</v>
      </c>
      <c r="C62" s="287" t="s">
        <v>249</v>
      </c>
      <c r="D62" s="288"/>
      <c r="E62" s="288"/>
      <c r="F62" s="289"/>
      <c r="G62" s="239"/>
      <c r="H62" s="200"/>
      <c r="I62" s="213"/>
      <c r="J62" s="213"/>
      <c r="K62" s="213"/>
    </row>
    <row r="63" spans="2:14" ht="15" customHeight="1" x14ac:dyDescent="0.25">
      <c r="B63" s="290" t="s">
        <v>243</v>
      </c>
      <c r="C63" s="290"/>
      <c r="D63" s="290"/>
      <c r="E63" s="290"/>
      <c r="F63" s="290"/>
      <c r="G63" s="290"/>
      <c r="H63" s="200"/>
      <c r="I63" s="213"/>
      <c r="J63" s="213"/>
      <c r="K63" s="213"/>
    </row>
    <row r="64" spans="2:14" ht="15" customHeight="1" x14ac:dyDescent="0.25">
      <c r="B64" s="290"/>
      <c r="C64" s="290"/>
      <c r="D64" s="290"/>
      <c r="E64" s="290"/>
      <c r="F64" s="290"/>
      <c r="G64" s="290"/>
      <c r="H64" s="200"/>
      <c r="I64" s="213"/>
      <c r="J64" s="213"/>
      <c r="K64" s="213"/>
    </row>
    <row r="65" spans="2:11" ht="25.5" customHeight="1" x14ac:dyDescent="0.25">
      <c r="B65" s="242" t="s">
        <v>1</v>
      </c>
      <c r="C65" s="242" t="s">
        <v>2</v>
      </c>
      <c r="D65" s="242" t="s">
        <v>3</v>
      </c>
      <c r="E65" s="242" t="s">
        <v>4</v>
      </c>
      <c r="F65" s="242" t="s">
        <v>73</v>
      </c>
      <c r="G65" s="242" t="s">
        <v>74</v>
      </c>
      <c r="H65" s="200"/>
      <c r="I65" s="213"/>
      <c r="J65" s="213"/>
      <c r="K65" s="213"/>
    </row>
    <row r="66" spans="2:11" ht="51" customHeight="1" x14ac:dyDescent="0.25">
      <c r="B66" s="240">
        <v>1</v>
      </c>
      <c r="C66" s="240" t="s">
        <v>244</v>
      </c>
      <c r="D66" s="205" t="s">
        <v>77</v>
      </c>
      <c r="E66" s="205">
        <v>804</v>
      </c>
      <c r="F66" s="236"/>
      <c r="G66" s="236"/>
      <c r="H66" s="200"/>
      <c r="I66" s="213"/>
      <c r="J66" s="213"/>
      <c r="K66" s="213"/>
    </row>
    <row r="67" spans="2:11" ht="51" customHeight="1" x14ac:dyDescent="0.25">
      <c r="B67" s="240">
        <v>2</v>
      </c>
      <c r="C67" s="240" t="s">
        <v>245</v>
      </c>
      <c r="D67" s="205" t="s">
        <v>77</v>
      </c>
      <c r="E67" s="205">
        <v>451</v>
      </c>
      <c r="F67" s="236"/>
      <c r="G67" s="236"/>
      <c r="H67" s="200"/>
      <c r="I67" s="213"/>
      <c r="J67" s="213"/>
      <c r="K67" s="213"/>
    </row>
    <row r="68" spans="2:11" ht="66.75" customHeight="1" x14ac:dyDescent="0.25">
      <c r="B68" s="240">
        <v>3</v>
      </c>
      <c r="C68" s="250" t="s">
        <v>251</v>
      </c>
      <c r="D68" s="205" t="s">
        <v>77</v>
      </c>
      <c r="E68" s="205">
        <v>608</v>
      </c>
      <c r="F68" s="236"/>
      <c r="G68" s="236"/>
      <c r="H68" s="200"/>
      <c r="I68" s="213"/>
      <c r="J68" s="213"/>
      <c r="K68" s="213"/>
    </row>
    <row r="69" spans="2:11" ht="83.25" customHeight="1" x14ac:dyDescent="0.25">
      <c r="B69" s="240">
        <v>4</v>
      </c>
      <c r="C69" s="240" t="s">
        <v>246</v>
      </c>
      <c r="D69" s="205" t="s">
        <v>240</v>
      </c>
      <c r="E69" s="205">
        <v>1</v>
      </c>
      <c r="F69" s="236"/>
      <c r="G69" s="236"/>
      <c r="H69" s="200"/>
      <c r="I69" s="213"/>
      <c r="J69" s="213"/>
      <c r="K69" s="213"/>
    </row>
    <row r="70" spans="2:11" ht="70.5" customHeight="1" x14ac:dyDescent="0.25">
      <c r="B70" s="240">
        <v>5</v>
      </c>
      <c r="C70" s="240" t="s">
        <v>248</v>
      </c>
      <c r="D70" s="205" t="s">
        <v>240</v>
      </c>
      <c r="E70" s="205">
        <v>1</v>
      </c>
      <c r="F70" s="236"/>
      <c r="G70" s="236"/>
      <c r="H70" s="200"/>
      <c r="I70" s="213"/>
      <c r="J70" s="213"/>
      <c r="K70" s="213"/>
    </row>
    <row r="71" spans="2:11" ht="15" customHeight="1" x14ac:dyDescent="0.25">
      <c r="B71" s="243"/>
      <c r="C71" s="291" t="s">
        <v>75</v>
      </c>
      <c r="D71" s="291"/>
      <c r="E71" s="291"/>
      <c r="F71" s="291"/>
      <c r="G71" s="244"/>
      <c r="H71" s="200"/>
      <c r="I71" s="213"/>
      <c r="J71" s="213"/>
      <c r="K71" s="213"/>
    </row>
    <row r="72" spans="2:11" ht="15" customHeight="1" x14ac:dyDescent="0.25">
      <c r="B72" s="205"/>
      <c r="C72" s="210" t="s">
        <v>82</v>
      </c>
      <c r="D72" s="228"/>
      <c r="E72" s="277"/>
      <c r="F72" s="278"/>
      <c r="G72" s="227"/>
      <c r="H72" s="200"/>
      <c r="I72" s="213"/>
      <c r="J72" s="213"/>
      <c r="K72" s="213"/>
    </row>
    <row r="73" spans="2:11" ht="15" customHeight="1" x14ac:dyDescent="0.25">
      <c r="B73" s="205"/>
      <c r="C73" s="210" t="s">
        <v>83</v>
      </c>
      <c r="D73" s="229"/>
      <c r="E73" s="275"/>
      <c r="F73" s="276"/>
      <c r="G73" s="206"/>
      <c r="H73" s="200"/>
      <c r="I73" s="213"/>
      <c r="J73" s="213"/>
      <c r="K73" s="213"/>
    </row>
    <row r="74" spans="2:11" ht="15" customHeight="1" x14ac:dyDescent="0.25">
      <c r="B74" s="205"/>
      <c r="C74" s="210" t="s">
        <v>84</v>
      </c>
      <c r="D74" s="229"/>
      <c r="E74" s="277"/>
      <c r="F74" s="278"/>
      <c r="G74" s="206"/>
      <c r="H74" s="200"/>
      <c r="I74" s="213"/>
      <c r="J74" s="213"/>
      <c r="K74" s="213"/>
    </row>
    <row r="75" spans="2:11" ht="15" customHeight="1" x14ac:dyDescent="0.25">
      <c r="B75" s="205"/>
      <c r="C75" s="210" t="s">
        <v>85</v>
      </c>
      <c r="D75" s="229">
        <v>0.19</v>
      </c>
      <c r="E75" s="277"/>
      <c r="F75" s="278"/>
      <c r="G75" s="206"/>
      <c r="H75" s="200"/>
      <c r="I75" s="213"/>
      <c r="J75" s="213"/>
      <c r="K75" s="213"/>
    </row>
    <row r="76" spans="2:11" ht="15" customHeight="1" x14ac:dyDescent="0.25">
      <c r="B76" s="235"/>
      <c r="C76" s="279" t="s">
        <v>81</v>
      </c>
      <c r="D76" s="280"/>
      <c r="E76" s="280"/>
      <c r="F76" s="281"/>
      <c r="G76" s="237"/>
      <c r="H76" s="200"/>
      <c r="I76" s="213"/>
      <c r="J76" s="213"/>
      <c r="K76" s="213"/>
    </row>
    <row r="77" spans="2:11" ht="41.25" customHeight="1" x14ac:dyDescent="0.25">
      <c r="B77" s="209" t="s">
        <v>208</v>
      </c>
      <c r="C77" s="234" t="s">
        <v>234</v>
      </c>
      <c r="D77" s="209"/>
      <c r="E77" s="282"/>
      <c r="F77" s="283"/>
      <c r="G77" s="238"/>
      <c r="H77" s="200"/>
      <c r="I77" s="213"/>
      <c r="J77" s="213"/>
      <c r="K77" s="213"/>
    </row>
    <row r="78" spans="2:11" ht="15" customHeight="1" x14ac:dyDescent="0.25">
      <c r="B78" s="211"/>
      <c r="C78" s="211"/>
      <c r="D78" s="211"/>
      <c r="E78" s="211"/>
      <c r="F78" s="211"/>
      <c r="G78" s="211"/>
      <c r="H78" s="200"/>
      <c r="I78" s="213"/>
      <c r="J78" s="213"/>
      <c r="K78" s="213"/>
    </row>
    <row r="79" spans="2:11" ht="15" customHeight="1" x14ac:dyDescent="0.25">
      <c r="B79" s="272" t="s">
        <v>235</v>
      </c>
      <c r="C79" s="273"/>
      <c r="D79" s="273"/>
      <c r="E79" s="273"/>
      <c r="F79" s="274"/>
      <c r="G79" s="212"/>
      <c r="H79" s="200"/>
      <c r="I79" s="213"/>
      <c r="J79" s="213"/>
      <c r="K79" s="213"/>
    </row>
    <row r="80" spans="2:11" ht="15" customHeight="1" x14ac:dyDescent="0.25">
      <c r="H80" s="200"/>
      <c r="I80" s="213"/>
      <c r="J80" s="213"/>
      <c r="K80" s="213"/>
    </row>
    <row r="81" spans="2:11" ht="32.25" customHeight="1" x14ac:dyDescent="0.25">
      <c r="B81" s="292" t="s">
        <v>257</v>
      </c>
      <c r="C81" s="293"/>
      <c r="D81" s="293"/>
      <c r="E81" s="293"/>
      <c r="F81" s="293"/>
      <c r="G81" s="294"/>
      <c r="H81" s="200"/>
      <c r="I81" s="213"/>
      <c r="J81" s="213"/>
      <c r="K81" s="213"/>
    </row>
    <row r="82" spans="2:11" ht="16.5" customHeight="1" x14ac:dyDescent="0.25">
      <c r="B82" s="295" t="s">
        <v>241</v>
      </c>
      <c r="C82" s="296"/>
      <c r="D82" s="296"/>
      <c r="E82" s="296"/>
      <c r="F82" s="296"/>
      <c r="G82" s="297"/>
      <c r="H82" s="200"/>
      <c r="I82" s="213"/>
      <c r="J82" s="213"/>
      <c r="K82" s="213"/>
    </row>
    <row r="83" spans="2:11" ht="3" customHeight="1" x14ac:dyDescent="0.25">
      <c r="B83" s="298"/>
      <c r="C83" s="299"/>
      <c r="D83" s="299"/>
      <c r="E83" s="299"/>
      <c r="F83" s="299"/>
      <c r="G83" s="300"/>
      <c r="H83" s="200"/>
      <c r="I83" s="213"/>
      <c r="J83" s="213"/>
      <c r="K83" s="213"/>
    </row>
    <row r="84" spans="2:11" ht="18" customHeight="1" x14ac:dyDescent="0.25">
      <c r="B84" s="301" t="s">
        <v>2</v>
      </c>
      <c r="C84" s="302"/>
      <c r="D84" s="302"/>
      <c r="E84" s="302"/>
      <c r="F84" s="303"/>
      <c r="G84" s="197" t="s">
        <v>74</v>
      </c>
      <c r="H84" s="200"/>
      <c r="I84" s="213"/>
      <c r="J84" s="213"/>
      <c r="K84" s="213"/>
    </row>
    <row r="85" spans="2:11" ht="32.25" customHeight="1" x14ac:dyDescent="0.25">
      <c r="B85" s="304" t="s">
        <v>242</v>
      </c>
      <c r="C85" s="305"/>
      <c r="D85" s="305"/>
      <c r="E85" s="305"/>
      <c r="F85" s="306"/>
      <c r="G85" s="199"/>
      <c r="H85" s="200"/>
      <c r="I85" s="213"/>
      <c r="J85" s="213"/>
      <c r="K85" s="213"/>
    </row>
    <row r="86" spans="2:11" ht="32.25" customHeight="1" x14ac:dyDescent="0.25">
      <c r="B86" s="284" t="s">
        <v>233</v>
      </c>
      <c r="C86" s="285"/>
      <c r="D86" s="285"/>
      <c r="E86" s="285"/>
      <c r="F86" s="286"/>
      <c r="G86" s="199"/>
      <c r="H86" s="200"/>
      <c r="I86" s="213"/>
      <c r="J86" s="213"/>
      <c r="K86" s="213"/>
    </row>
    <row r="87" spans="2:11" ht="32.25" customHeight="1" x14ac:dyDescent="0.25">
      <c r="B87" s="198" t="s">
        <v>69</v>
      </c>
      <c r="C87" s="287" t="s">
        <v>249</v>
      </c>
      <c r="D87" s="288"/>
      <c r="E87" s="288"/>
      <c r="F87" s="289"/>
      <c r="G87" s="239"/>
      <c r="H87" s="200"/>
      <c r="I87" s="213"/>
      <c r="J87" s="213"/>
      <c r="K87" s="213"/>
    </row>
    <row r="88" spans="2:11" ht="12" customHeight="1" x14ac:dyDescent="0.25">
      <c r="B88" s="290" t="s">
        <v>243</v>
      </c>
      <c r="C88" s="290"/>
      <c r="D88" s="290"/>
      <c r="E88" s="290"/>
      <c r="F88" s="290"/>
      <c r="G88" s="290"/>
      <c r="H88" s="200"/>
      <c r="I88" s="213"/>
      <c r="J88" s="213"/>
      <c r="K88" s="213"/>
    </row>
    <row r="89" spans="2:11" ht="10.5" customHeight="1" x14ac:dyDescent="0.25">
      <c r="B89" s="290"/>
      <c r="C89" s="290"/>
      <c r="D89" s="290"/>
      <c r="E89" s="290"/>
      <c r="F89" s="290"/>
      <c r="G89" s="290"/>
      <c r="H89" s="200"/>
      <c r="I89" s="213"/>
      <c r="J89" s="213"/>
      <c r="K89" s="213"/>
    </row>
    <row r="90" spans="2:11" ht="32.25" customHeight="1" x14ac:dyDescent="0.25">
      <c r="B90" s="242" t="s">
        <v>1</v>
      </c>
      <c r="C90" s="242" t="s">
        <v>2</v>
      </c>
      <c r="D90" s="242" t="s">
        <v>3</v>
      </c>
      <c r="E90" s="242" t="s">
        <v>4</v>
      </c>
      <c r="F90" s="242" t="s">
        <v>73</v>
      </c>
      <c r="G90" s="242" t="s">
        <v>74</v>
      </c>
      <c r="H90" s="200"/>
      <c r="I90" s="213"/>
      <c r="J90" s="213"/>
      <c r="K90" s="213"/>
    </row>
    <row r="91" spans="2:11" ht="42.75" customHeight="1" x14ac:dyDescent="0.25">
      <c r="B91" s="240">
        <v>1</v>
      </c>
      <c r="C91" s="240" t="s">
        <v>244</v>
      </c>
      <c r="D91" s="205" t="s">
        <v>77</v>
      </c>
      <c r="E91" s="205">
        <v>819</v>
      </c>
      <c r="F91" s="236"/>
      <c r="G91" s="236"/>
      <c r="H91" s="200"/>
      <c r="I91" s="213"/>
      <c r="J91" s="213"/>
      <c r="K91" s="213"/>
    </row>
    <row r="92" spans="2:11" ht="38.25" customHeight="1" x14ac:dyDescent="0.25">
      <c r="B92" s="240">
        <v>2</v>
      </c>
      <c r="C92" s="240" t="s">
        <v>245</v>
      </c>
      <c r="D92" s="205" t="s">
        <v>77</v>
      </c>
      <c r="E92" s="205">
        <v>461</v>
      </c>
      <c r="F92" s="236"/>
      <c r="G92" s="236"/>
      <c r="H92" s="200"/>
      <c r="I92" s="213"/>
      <c r="J92" s="213"/>
      <c r="K92" s="213"/>
    </row>
    <row r="93" spans="2:11" ht="71.25" customHeight="1" x14ac:dyDescent="0.25">
      <c r="B93" s="240">
        <v>3</v>
      </c>
      <c r="C93" s="250" t="s">
        <v>251</v>
      </c>
      <c r="D93" s="205" t="s">
        <v>77</v>
      </c>
      <c r="E93" s="205">
        <v>608</v>
      </c>
      <c r="F93" s="236"/>
      <c r="G93" s="236"/>
      <c r="H93" s="200"/>
      <c r="I93" s="213"/>
      <c r="J93" s="213"/>
      <c r="K93" s="213"/>
    </row>
    <row r="94" spans="2:11" ht="86.25" customHeight="1" x14ac:dyDescent="0.25">
      <c r="B94" s="240">
        <v>4</v>
      </c>
      <c r="C94" s="240" t="s">
        <v>246</v>
      </c>
      <c r="D94" s="205" t="s">
        <v>240</v>
      </c>
      <c r="E94" s="205">
        <v>1</v>
      </c>
      <c r="F94" s="236"/>
      <c r="G94" s="236"/>
      <c r="H94" s="200"/>
      <c r="I94" s="213"/>
      <c r="J94" s="213"/>
      <c r="K94" s="213"/>
    </row>
    <row r="95" spans="2:11" ht="75" customHeight="1" x14ac:dyDescent="0.25">
      <c r="B95" s="240">
        <v>5</v>
      </c>
      <c r="C95" s="240" t="s">
        <v>248</v>
      </c>
      <c r="D95" s="205" t="s">
        <v>240</v>
      </c>
      <c r="E95" s="205">
        <v>1</v>
      </c>
      <c r="F95" s="236"/>
      <c r="G95" s="236"/>
      <c r="H95" s="200"/>
      <c r="I95" s="213"/>
      <c r="J95" s="213"/>
      <c r="K95" s="213"/>
    </row>
    <row r="96" spans="2:11" ht="18.75" customHeight="1" x14ac:dyDescent="0.25">
      <c r="B96" s="243"/>
      <c r="C96" s="291" t="s">
        <v>75</v>
      </c>
      <c r="D96" s="291"/>
      <c r="E96" s="291"/>
      <c r="F96" s="291"/>
      <c r="G96" s="244"/>
      <c r="H96" s="200"/>
      <c r="I96" s="213"/>
      <c r="J96" s="213"/>
      <c r="K96" s="213"/>
    </row>
    <row r="97" spans="1:11" ht="13.5" customHeight="1" x14ac:dyDescent="0.25">
      <c r="B97" s="205"/>
      <c r="C97" s="210" t="s">
        <v>82</v>
      </c>
      <c r="D97" s="228"/>
      <c r="E97" s="277"/>
      <c r="F97" s="278"/>
      <c r="G97" s="227"/>
      <c r="H97" s="200"/>
      <c r="I97" s="213"/>
      <c r="J97" s="213"/>
      <c r="K97" s="213"/>
    </row>
    <row r="98" spans="1:11" ht="13.5" customHeight="1" x14ac:dyDescent="0.25">
      <c r="B98" s="205"/>
      <c r="C98" s="210" t="s">
        <v>83</v>
      </c>
      <c r="D98" s="229"/>
      <c r="E98" s="275"/>
      <c r="F98" s="276"/>
      <c r="G98" s="206"/>
      <c r="H98" s="200"/>
      <c r="I98" s="213"/>
      <c r="J98" s="213"/>
      <c r="K98" s="213"/>
    </row>
    <row r="99" spans="1:11" ht="13.5" customHeight="1" x14ac:dyDescent="0.25">
      <c r="B99" s="205"/>
      <c r="C99" s="210" t="s">
        <v>84</v>
      </c>
      <c r="D99" s="229"/>
      <c r="E99" s="277"/>
      <c r="F99" s="278"/>
      <c r="G99" s="206"/>
      <c r="H99" s="200"/>
      <c r="I99" s="213"/>
      <c r="J99" s="213"/>
      <c r="K99" s="213"/>
    </row>
    <row r="100" spans="1:11" ht="13.5" customHeight="1" x14ac:dyDescent="0.25">
      <c r="B100" s="205"/>
      <c r="C100" s="210" t="s">
        <v>85</v>
      </c>
      <c r="D100" s="229">
        <v>0.19</v>
      </c>
      <c r="E100" s="277"/>
      <c r="F100" s="278"/>
      <c r="G100" s="206"/>
      <c r="H100" s="200"/>
      <c r="I100" s="213"/>
      <c r="J100" s="213"/>
      <c r="K100" s="213"/>
    </row>
    <row r="101" spans="1:11" ht="21.75" customHeight="1" x14ac:dyDescent="0.25">
      <c r="B101" s="235"/>
      <c r="C101" s="279" t="s">
        <v>81</v>
      </c>
      <c r="D101" s="280"/>
      <c r="E101" s="280"/>
      <c r="F101" s="281"/>
      <c r="G101" s="237"/>
      <c r="H101" s="200"/>
      <c r="I101" s="213"/>
      <c r="J101" s="213"/>
      <c r="K101" s="213"/>
    </row>
    <row r="102" spans="1:11" ht="48" customHeight="1" x14ac:dyDescent="0.25">
      <c r="B102" s="209" t="s">
        <v>208</v>
      </c>
      <c r="C102" s="234" t="s">
        <v>234</v>
      </c>
      <c r="D102" s="209"/>
      <c r="E102" s="282"/>
      <c r="F102" s="283"/>
      <c r="G102" s="238"/>
      <c r="H102" s="200"/>
      <c r="I102" s="213"/>
      <c r="J102" s="213"/>
      <c r="K102" s="213"/>
    </row>
    <row r="103" spans="1:11" ht="17.25" customHeight="1" x14ac:dyDescent="0.25">
      <c r="B103" s="211"/>
      <c r="C103" s="211"/>
      <c r="D103" s="211"/>
      <c r="E103" s="211"/>
      <c r="F103" s="211"/>
      <c r="G103" s="211"/>
      <c r="H103" s="200"/>
      <c r="I103" s="213"/>
      <c r="J103" s="213"/>
      <c r="K103" s="213"/>
    </row>
    <row r="104" spans="1:11" ht="15.75" customHeight="1" x14ac:dyDescent="0.25">
      <c r="B104" s="272" t="s">
        <v>235</v>
      </c>
      <c r="C104" s="273"/>
      <c r="D104" s="273"/>
      <c r="E104" s="273"/>
      <c r="F104" s="274"/>
      <c r="G104" s="212"/>
      <c r="H104" s="200"/>
      <c r="I104" s="213"/>
      <c r="J104" s="213"/>
      <c r="K104" s="213"/>
    </row>
    <row r="105" spans="1:11" ht="15" customHeight="1" x14ac:dyDescent="0.25">
      <c r="H105" s="200"/>
      <c r="I105" s="213"/>
      <c r="J105" s="213"/>
      <c r="K105" s="213"/>
    </row>
    <row r="106" spans="1:11" ht="29.25" customHeight="1" x14ac:dyDescent="0.25">
      <c r="B106" s="309" t="s">
        <v>258</v>
      </c>
      <c r="C106" s="310"/>
      <c r="D106" s="310"/>
      <c r="E106" s="310"/>
      <c r="F106" s="311"/>
      <c r="G106" s="199"/>
      <c r="H106" s="200"/>
      <c r="I106" s="213"/>
      <c r="J106" s="213"/>
      <c r="K106" s="213"/>
    </row>
    <row r="107" spans="1:11" ht="15" customHeight="1" x14ac:dyDescent="0.25">
      <c r="H107" s="200"/>
      <c r="I107" s="213"/>
      <c r="J107" s="213"/>
      <c r="K107" s="213"/>
    </row>
    <row r="108" spans="1:11" ht="15" customHeight="1" x14ac:dyDescent="0.25">
      <c r="H108" s="196"/>
      <c r="I108" s="196"/>
      <c r="J108" s="196"/>
      <c r="K108" s="196"/>
    </row>
    <row r="109" spans="1:11" ht="253.5" customHeight="1" x14ac:dyDescent="0.25">
      <c r="A109" s="312" t="s">
        <v>250</v>
      </c>
      <c r="B109" s="313"/>
      <c r="C109" s="313"/>
      <c r="D109" s="313"/>
      <c r="E109" s="313"/>
      <c r="F109" s="313"/>
      <c r="G109" s="313"/>
      <c r="H109" s="314"/>
      <c r="I109" s="213"/>
      <c r="J109" s="213"/>
      <c r="K109" s="214"/>
    </row>
    <row r="110" spans="1:11" ht="123" customHeight="1" x14ac:dyDescent="0.25">
      <c r="A110" s="315"/>
      <c r="B110" s="316"/>
      <c r="C110" s="316"/>
      <c r="D110" s="316"/>
      <c r="E110" s="316"/>
      <c r="F110" s="316"/>
      <c r="G110" s="316"/>
      <c r="H110" s="317"/>
      <c r="I110" s="213"/>
      <c r="J110" s="213"/>
      <c r="K110" s="215"/>
    </row>
    <row r="111" spans="1:11" ht="15" customHeight="1" x14ac:dyDescent="0.25">
      <c r="H111" s="213"/>
      <c r="I111" s="213"/>
      <c r="J111" s="213"/>
      <c r="K111" s="213"/>
    </row>
    <row r="112" spans="1:11" ht="15" customHeight="1" x14ac:dyDescent="0.25">
      <c r="H112" s="213"/>
      <c r="I112" s="213"/>
      <c r="J112" s="213"/>
      <c r="K112" s="214"/>
    </row>
    <row r="113" spans="8:11" ht="15" customHeight="1" x14ac:dyDescent="0.25">
      <c r="H113" s="213"/>
      <c r="I113" s="213"/>
      <c r="J113" s="213"/>
      <c r="K113" s="215"/>
    </row>
    <row r="114" spans="8:11" ht="24.75" customHeight="1" x14ac:dyDescent="0.25">
      <c r="H114" s="214"/>
      <c r="I114" s="213"/>
      <c r="J114" s="213"/>
      <c r="K114" s="215"/>
    </row>
    <row r="115" spans="8:11" ht="39" customHeight="1" x14ac:dyDescent="0.25">
      <c r="H115" s="215"/>
      <c r="I115" s="213"/>
      <c r="J115" s="213"/>
      <c r="K115" s="213"/>
    </row>
    <row r="116" spans="8:11" ht="15" customHeight="1" x14ac:dyDescent="0.25">
      <c r="H116" s="215"/>
      <c r="I116" s="213"/>
      <c r="J116" s="213"/>
      <c r="K116" s="213"/>
    </row>
    <row r="117" spans="8:11" x14ac:dyDescent="0.25">
      <c r="H117" s="213"/>
      <c r="I117" s="213"/>
      <c r="J117" s="213"/>
      <c r="K117" s="216"/>
    </row>
    <row r="118" spans="8:11" x14ac:dyDescent="0.25">
      <c r="H118" s="213"/>
      <c r="I118" s="213"/>
      <c r="J118" s="213"/>
      <c r="K118" s="213"/>
    </row>
    <row r="119" spans="8:11" x14ac:dyDescent="0.25">
      <c r="H119" s="213"/>
      <c r="I119" s="214"/>
      <c r="J119" s="213"/>
      <c r="K119" s="214"/>
    </row>
    <row r="120" spans="8:11" x14ac:dyDescent="0.25">
      <c r="H120" s="213"/>
      <c r="I120" s="213"/>
      <c r="J120" s="213"/>
      <c r="K120" s="213"/>
    </row>
    <row r="121" spans="8:11" ht="15" customHeight="1" x14ac:dyDescent="0.25">
      <c r="H121" s="214"/>
      <c r="I121" s="213"/>
      <c r="J121" s="213"/>
      <c r="K121" s="213"/>
    </row>
    <row r="122" spans="8:11" ht="15" customHeight="1" x14ac:dyDescent="0.25">
      <c r="H122" s="217"/>
      <c r="I122" s="213"/>
      <c r="J122" s="213"/>
      <c r="K122" s="213"/>
    </row>
    <row r="123" spans="8:11" ht="15" customHeight="1" x14ac:dyDescent="0.25">
      <c r="H123" s="213"/>
      <c r="I123" s="213"/>
      <c r="J123" s="213"/>
      <c r="K123" s="213"/>
    </row>
    <row r="124" spans="8:11" ht="15" customHeight="1" x14ac:dyDescent="0.25">
      <c r="H124" s="213"/>
      <c r="J124" s="214"/>
      <c r="K124" s="214"/>
    </row>
    <row r="125" spans="8:11" ht="15" customHeight="1" x14ac:dyDescent="0.25">
      <c r="H125" s="213"/>
      <c r="I125" s="214"/>
      <c r="J125" s="214"/>
      <c r="K125" s="214"/>
    </row>
    <row r="126" spans="8:11" ht="15" customHeight="1" x14ac:dyDescent="0.25">
      <c r="H126" s="214"/>
      <c r="I126" s="218"/>
      <c r="J126" s="218"/>
      <c r="K126" s="218"/>
    </row>
    <row r="127" spans="8:11" x14ac:dyDescent="0.25">
      <c r="H127" s="214"/>
    </row>
    <row r="128" spans="8:11" x14ac:dyDescent="0.25">
      <c r="H128" s="218"/>
      <c r="I128" s="219"/>
      <c r="J128" s="219"/>
      <c r="K128" s="219"/>
    </row>
    <row r="130" spans="8:8" x14ac:dyDescent="0.25">
      <c r="H130" s="219"/>
    </row>
  </sheetData>
  <protectedRanges>
    <protectedRange sqref="D47:D49 D72:D74 D97:D99" name="Rango3"/>
    <protectedRange sqref="G35:G36 H35 G85:G86 G106 G60:G61 I41:J45" name="Rango1"/>
    <protectedRange sqref="F66:F70 F41:F45 F91:F95" name="Rango4_1"/>
    <protectedRange sqref="D22:D24" name="Rango3_1"/>
    <protectedRange sqref="G9:G10" name="Rango1_1"/>
    <protectedRange sqref="F15:F20" name="Rango4_1_1"/>
  </protectedRanges>
  <mergeCells count="63">
    <mergeCell ref="B106:F106"/>
    <mergeCell ref="A109:H110"/>
    <mergeCell ref="B36:F36"/>
    <mergeCell ref="B32:G33"/>
    <mergeCell ref="B34:F34"/>
    <mergeCell ref="B35:F35"/>
    <mergeCell ref="C37:F37"/>
    <mergeCell ref="B54:F54"/>
    <mergeCell ref="B38:G39"/>
    <mergeCell ref="C46:F46"/>
    <mergeCell ref="E52:F52"/>
    <mergeCell ref="C51:F51"/>
    <mergeCell ref="E47:F47"/>
    <mergeCell ref="E48:F48"/>
    <mergeCell ref="E49:F49"/>
    <mergeCell ref="E24:F24"/>
    <mergeCell ref="E25:F25"/>
    <mergeCell ref="C26:F26"/>
    <mergeCell ref="E27:F27"/>
    <mergeCell ref="B31:G31"/>
    <mergeCell ref="C11:F11"/>
    <mergeCell ref="B12:G13"/>
    <mergeCell ref="C21:F21"/>
    <mergeCell ref="E22:F22"/>
    <mergeCell ref="E23:F23"/>
    <mergeCell ref="B2:G3"/>
    <mergeCell ref="B6:G7"/>
    <mergeCell ref="B8:F8"/>
    <mergeCell ref="B9:F9"/>
    <mergeCell ref="B10:F10"/>
    <mergeCell ref="B5:G5"/>
    <mergeCell ref="B29:F29"/>
    <mergeCell ref="B56:G56"/>
    <mergeCell ref="B57:G58"/>
    <mergeCell ref="B59:F59"/>
    <mergeCell ref="B60:F60"/>
    <mergeCell ref="E50:F50"/>
    <mergeCell ref="B61:F61"/>
    <mergeCell ref="C62:F62"/>
    <mergeCell ref="B63:G64"/>
    <mergeCell ref="C71:F71"/>
    <mergeCell ref="E72:F72"/>
    <mergeCell ref="E73:F73"/>
    <mergeCell ref="E74:F74"/>
    <mergeCell ref="E75:F75"/>
    <mergeCell ref="C76:F76"/>
    <mergeCell ref="E77:F77"/>
    <mergeCell ref="B79:F79"/>
    <mergeCell ref="B81:G81"/>
    <mergeCell ref="B82:G83"/>
    <mergeCell ref="B84:F84"/>
    <mergeCell ref="B85:F85"/>
    <mergeCell ref="B86:F86"/>
    <mergeCell ref="C87:F87"/>
    <mergeCell ref="B88:G89"/>
    <mergeCell ref="C96:F96"/>
    <mergeCell ref="E97:F97"/>
    <mergeCell ref="B104:F104"/>
    <mergeCell ref="E98:F98"/>
    <mergeCell ref="E99:F99"/>
    <mergeCell ref="E100:F100"/>
    <mergeCell ref="C101:F101"/>
    <mergeCell ref="E102:F102"/>
  </mergeCells>
  <pageMargins left="0.70866141732283472" right="0.70866141732283472" top="0.74803149606299213" bottom="0.74803149606299213" header="0.31496062992125984" footer="0.31496062992125984"/>
  <pageSetup scale="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8"/>
  <sheetViews>
    <sheetView workbookViewId="0">
      <selection activeCell="E6" sqref="E6"/>
    </sheetView>
  </sheetViews>
  <sheetFormatPr baseColWidth="10" defaultRowHeight="15" x14ac:dyDescent="0.25"/>
  <cols>
    <col min="1" max="1" width="6.140625" customWidth="1"/>
    <col min="2" max="2" width="33.140625" customWidth="1"/>
    <col min="3" max="3" width="23.42578125" customWidth="1"/>
    <col min="4" max="4" width="17.85546875" customWidth="1"/>
    <col min="5" max="5" width="18.28515625" customWidth="1"/>
    <col min="8" max="8" width="13.140625" bestFit="1" customWidth="1"/>
  </cols>
  <sheetData>
    <row r="2" spans="1:7" ht="24.75" customHeight="1" x14ac:dyDescent="0.25">
      <c r="A2" s="318" t="s">
        <v>213</v>
      </c>
      <c r="B2" s="318"/>
      <c r="C2" s="318"/>
      <c r="D2" s="318"/>
      <c r="E2" s="318"/>
    </row>
    <row r="3" spans="1:7" ht="48.75" customHeight="1" x14ac:dyDescent="0.25">
      <c r="A3" s="318"/>
      <c r="B3" s="318"/>
      <c r="C3" s="318"/>
      <c r="D3" s="318"/>
      <c r="E3" s="318"/>
    </row>
    <row r="5" spans="1:7" ht="43.5" customHeight="1" x14ac:dyDescent="0.25">
      <c r="A5" s="221" t="s">
        <v>88</v>
      </c>
      <c r="B5" s="221" t="s">
        <v>89</v>
      </c>
      <c r="C5" s="221" t="s">
        <v>209</v>
      </c>
      <c r="D5" s="221" t="s">
        <v>238</v>
      </c>
      <c r="E5" s="221" t="s">
        <v>239</v>
      </c>
    </row>
    <row r="6" spans="1:7" ht="59.25" customHeight="1" x14ac:dyDescent="0.25">
      <c r="A6" s="222" t="s">
        <v>69</v>
      </c>
      <c r="B6" s="223" t="s">
        <v>236</v>
      </c>
      <c r="C6" s="109"/>
      <c r="D6" s="109"/>
      <c r="E6" s="109"/>
    </row>
    <row r="7" spans="1:7" ht="51" customHeight="1" x14ac:dyDescent="0.25">
      <c r="A7" s="222" t="s">
        <v>210</v>
      </c>
      <c r="B7" s="223" t="s">
        <v>237</v>
      </c>
      <c r="C7" s="224"/>
      <c r="D7" s="109"/>
      <c r="E7" s="109"/>
    </row>
    <row r="8" spans="1:7" ht="29.25" customHeight="1" x14ac:dyDescent="0.25">
      <c r="A8" s="225" t="s">
        <v>211</v>
      </c>
      <c r="B8" s="319" t="s">
        <v>212</v>
      </c>
      <c r="C8" s="320"/>
      <c r="D8" s="321"/>
      <c r="E8" s="226"/>
      <c r="G8" s="114"/>
    </row>
  </sheetData>
  <protectedRanges>
    <protectedRange sqref="C6:C7" name="Rango1"/>
  </protectedRanges>
  <mergeCells count="2">
    <mergeCell ref="A2:E3"/>
    <mergeCell ref="B8:D8"/>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D10" sqref="D10"/>
    </sheetView>
  </sheetViews>
  <sheetFormatPr baseColWidth="10" defaultRowHeight="15" x14ac:dyDescent="0.25"/>
  <cols>
    <col min="1" max="1" width="51.140625" customWidth="1"/>
    <col min="2" max="2" width="27" customWidth="1"/>
    <col min="3" max="3" width="16.42578125" bestFit="1" customWidth="1"/>
    <col min="4" max="4" width="17" customWidth="1"/>
    <col min="5" max="5" width="15.42578125" customWidth="1"/>
    <col min="6" max="6" width="16.28515625" customWidth="1"/>
  </cols>
  <sheetData>
    <row r="1" spans="1:6" x14ac:dyDescent="0.25">
      <c r="A1" s="221" t="s">
        <v>2</v>
      </c>
      <c r="B1" s="221" t="s">
        <v>221</v>
      </c>
    </row>
    <row r="2" spans="1:6" x14ac:dyDescent="0.25">
      <c r="A2" s="222" t="s">
        <v>219</v>
      </c>
      <c r="B2" s="224">
        <v>1069148147</v>
      </c>
    </row>
    <row r="3" spans="1:6" x14ac:dyDescent="0.25">
      <c r="A3" s="222" t="s">
        <v>220</v>
      </c>
      <c r="B3" s="224">
        <v>126206000</v>
      </c>
    </row>
    <row r="4" spans="1:6" x14ac:dyDescent="0.25">
      <c r="A4" s="222" t="s">
        <v>222</v>
      </c>
      <c r="B4" s="232">
        <f>+B2+B3</f>
        <v>1195354147</v>
      </c>
    </row>
    <row r="6" spans="1:6" ht="24" customHeight="1" x14ac:dyDescent="0.25">
      <c r="A6" s="221" t="s">
        <v>214</v>
      </c>
      <c r="B6" s="221" t="s">
        <v>223</v>
      </c>
      <c r="C6" s="221" t="s">
        <v>215</v>
      </c>
    </row>
    <row r="7" spans="1:6" ht="27" x14ac:dyDescent="0.25">
      <c r="A7" s="222" t="s">
        <v>218</v>
      </c>
      <c r="B7" s="231">
        <v>893893675</v>
      </c>
      <c r="C7" s="231">
        <v>893893675.20000005</v>
      </c>
    </row>
    <row r="8" spans="1:6" x14ac:dyDescent="0.25">
      <c r="A8" s="222" t="s">
        <v>216</v>
      </c>
      <c r="B8" s="224">
        <v>234694428</v>
      </c>
      <c r="C8" s="224">
        <v>234694428</v>
      </c>
    </row>
    <row r="9" spans="1:6" ht="27" x14ac:dyDescent="0.25">
      <c r="A9" s="222" t="s">
        <v>217</v>
      </c>
      <c r="B9" s="224">
        <v>66766044</v>
      </c>
      <c r="C9" s="224">
        <v>84634756</v>
      </c>
    </row>
    <row r="10" spans="1:6" x14ac:dyDescent="0.25">
      <c r="A10" s="222" t="s">
        <v>224</v>
      </c>
      <c r="B10" s="232">
        <f>+B7+B8+B9</f>
        <v>1195354147</v>
      </c>
      <c r="C10" s="230"/>
      <c r="D10" s="230"/>
    </row>
    <row r="14" spans="1:6" x14ac:dyDescent="0.25">
      <c r="A14" s="322" t="s">
        <v>2</v>
      </c>
      <c r="B14" s="322" t="s">
        <v>225</v>
      </c>
      <c r="C14" s="322" t="s">
        <v>226</v>
      </c>
      <c r="D14" s="322"/>
      <c r="E14" s="322"/>
      <c r="F14" s="322" t="s">
        <v>227</v>
      </c>
    </row>
    <row r="15" spans="1:6" ht="44.25" customHeight="1" x14ac:dyDescent="0.25">
      <c r="A15" s="322"/>
      <c r="B15" s="322"/>
      <c r="C15" s="233" t="s">
        <v>228</v>
      </c>
      <c r="D15" s="233" t="s">
        <v>229</v>
      </c>
      <c r="E15" s="233" t="s">
        <v>230</v>
      </c>
      <c r="F15" s="322"/>
    </row>
    <row r="16" spans="1:6" x14ac:dyDescent="0.25">
      <c r="A16" s="222" t="s">
        <v>219</v>
      </c>
      <c r="B16" s="109">
        <v>1069148147</v>
      </c>
      <c r="C16" s="109">
        <v>234694428</v>
      </c>
      <c r="D16" s="109">
        <v>834453719</v>
      </c>
      <c r="E16" s="109"/>
      <c r="F16" s="109">
        <f>+C16+D16+E16</f>
        <v>1069148147</v>
      </c>
    </row>
    <row r="17" spans="1:6" x14ac:dyDescent="0.25">
      <c r="A17" s="222" t="s">
        <v>231</v>
      </c>
      <c r="B17" s="109">
        <v>126206000</v>
      </c>
      <c r="C17" s="109"/>
      <c r="D17" s="109">
        <v>59439956</v>
      </c>
      <c r="E17" s="109">
        <v>66766044</v>
      </c>
      <c r="F17" s="109">
        <f>+C17+D17+E17</f>
        <v>126206000</v>
      </c>
    </row>
    <row r="18" spans="1:6" x14ac:dyDescent="0.25">
      <c r="A18" s="221" t="s">
        <v>232</v>
      </c>
      <c r="B18" s="233">
        <v>1195354147</v>
      </c>
      <c r="C18" s="233">
        <f>SUM(C16:C17)</f>
        <v>234694428</v>
      </c>
      <c r="D18" s="233">
        <f t="shared" ref="D18:F18" si="0">SUM(D16:D17)</f>
        <v>893893675</v>
      </c>
      <c r="E18" s="233">
        <f t="shared" si="0"/>
        <v>66766044</v>
      </c>
      <c r="F18" s="233">
        <f t="shared" si="0"/>
        <v>1195354147</v>
      </c>
    </row>
  </sheetData>
  <protectedRanges>
    <protectedRange sqref="B7:C9" name="Rango1"/>
  </protectedRanges>
  <mergeCells count="4">
    <mergeCell ref="A14:A15"/>
    <mergeCell ref="B14:B15"/>
    <mergeCell ref="C14:E14"/>
    <mergeCell ref="F14:F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plazoleta ELV</vt:lpstr>
      <vt:lpstr>parqueadero ELV</vt:lpstr>
      <vt:lpstr>REV ELV</vt:lpstr>
      <vt:lpstr>Hoja1 luz</vt:lpstr>
      <vt:lpstr>Hoja2</vt:lpstr>
      <vt:lpstr>FORMATO 4 OBRA</vt:lpstr>
      <vt:lpstr>FORMAT 4 INTERV.</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SANJUAN DURAN</dc:creator>
  <cp:lastModifiedBy>TATIANA PAOLA REYES LOPEZ</cp:lastModifiedBy>
  <cp:lastPrinted>2020-01-29T15:05:04Z</cp:lastPrinted>
  <dcterms:created xsi:type="dcterms:W3CDTF">2019-10-07T15:03:41Z</dcterms:created>
  <dcterms:modified xsi:type="dcterms:W3CDTF">2022-03-25T12:15:28Z</dcterms:modified>
</cp:coreProperties>
</file>