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495" windowHeight="7455" activeTab="0"/>
  </bookViews>
  <sheets>
    <sheet name="SUMINISTRO POTABLE" sheetId="1" r:id="rId1"/>
    <sheet name="ACOMETIDA CON BAÑ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'ACOMETIDA CON BAÑOS'!$A$1:$H$46</definedName>
    <definedName name="_xlnm.Print_Area" localSheetId="0">'SUMINISTRO POTABLE'!$B$2:$S$40</definedName>
    <definedName name="BPA">#REF!</definedName>
    <definedName name="BuiltIn_Print_Area" localSheetId="1">'ACOMETIDA CON BAÑOS'!$A$22:$M$47</definedName>
    <definedName name="BuiltIn_Print_Area" localSheetId="0">#REF!</definedName>
    <definedName name="BuiltIn_Print_Area">#REF!</definedName>
    <definedName name="D" localSheetId="1">#REF!</definedName>
    <definedName name="D" localSheetId="0">#REF!</definedName>
    <definedName name="D">#REF!</definedName>
    <definedName name="n" localSheetId="1">#REF!</definedName>
    <definedName name="n" localSheetId="0">#REF!</definedName>
    <definedName name="n">#REF!</definedName>
    <definedName name="nQ" localSheetId="1">#REF!</definedName>
    <definedName name="nQ" localSheetId="0">#REF!</definedName>
    <definedName name="nQ">#REF!</definedName>
    <definedName name="Q" localSheetId="1">#REF!</definedName>
    <definedName name="Q" localSheetId="0">#REF!</definedName>
    <definedName name="Q">#REF!</definedName>
    <definedName name="So" localSheetId="1">#REF!</definedName>
    <definedName name="So" localSheetId="0">#REF!</definedName>
    <definedName name="So">#REF!</definedName>
    <definedName name="Yn" localSheetId="1">#REF!</definedName>
    <definedName name="Yn" localSheetId="0">#REF!</definedName>
    <definedName name="Yn">#REF!</definedName>
    <definedName name="z" localSheetId="1">#REF!</definedName>
    <definedName name="z" localSheetId="0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<sst xmlns="http://schemas.openxmlformats.org/spreadsheetml/2006/main" count="156" uniqueCount="121">
  <si>
    <t>1. CALCULO VOLUMEN ALMACENAMIENTO</t>
  </si>
  <si>
    <t>CONSUMO SEGÚN NTC 1500</t>
  </si>
  <si>
    <t>M3</t>
  </si>
  <si>
    <t>H</t>
  </si>
  <si>
    <t>TIEMPO DE LLENADO (T)=</t>
  </si>
  <si>
    <t>HORAS</t>
  </si>
  <si>
    <t>SEG</t>
  </si>
  <si>
    <t>CAUDAL (Q)</t>
  </si>
  <si>
    <t>Lt/s</t>
  </si>
  <si>
    <t>LONGITUD ACOMETIDA</t>
  </si>
  <si>
    <t>MT</t>
  </si>
  <si>
    <t>PRESION EN LA RED</t>
  </si>
  <si>
    <t>MCA</t>
  </si>
  <si>
    <t>PERDIDA UNITARIA (J)</t>
  </si>
  <si>
    <t>M / M</t>
  </si>
  <si>
    <t>C</t>
  </si>
  <si>
    <t>PVC</t>
  </si>
  <si>
    <t xml:space="preserve">Diametro </t>
  </si>
  <si>
    <t>M</t>
  </si>
  <si>
    <t>=</t>
  </si>
  <si>
    <t>PULGADAS</t>
  </si>
  <si>
    <t>VELOCIDAD (V)</t>
  </si>
  <si>
    <t>m/s</t>
  </si>
  <si>
    <t>CONTIENE   :   CALCULO ACOMETIDA .</t>
  </si>
  <si>
    <t>VOL</t>
  </si>
  <si>
    <t xml:space="preserve"> </t>
  </si>
  <si>
    <t>f</t>
  </si>
  <si>
    <t>Re</t>
  </si>
  <si>
    <t>SI Re&lt;2200</t>
  </si>
  <si>
    <t>Ks</t>
  </si>
  <si>
    <t xml:space="preserve">CONTIENE   :   RUTA CRITICA SUMINISTRO AGUA POTABLE </t>
  </si>
  <si>
    <t>d</t>
  </si>
  <si>
    <t>N TRAMOS</t>
  </si>
  <si>
    <t>x</t>
  </si>
  <si>
    <t>ks</t>
  </si>
  <si>
    <t>ks/3,7d</t>
  </si>
  <si>
    <t>2,51/re(f^0,5)</t>
  </si>
  <si>
    <t>num</t>
  </si>
  <si>
    <t>log10</t>
  </si>
  <si>
    <t>TRAMO</t>
  </si>
  <si>
    <t>UND</t>
  </si>
  <si>
    <t>DIAM.</t>
  </si>
  <si>
    <t>GASTO</t>
  </si>
  <si>
    <t>VEL</t>
  </si>
  <si>
    <t>LONGITUD</t>
  </si>
  <si>
    <t>Rugosidad</t>
  </si>
  <si>
    <t>Viscocidad</t>
  </si>
  <si>
    <t xml:space="preserve">PERDIDA </t>
  </si>
  <si>
    <t>PERDIDA</t>
  </si>
  <si>
    <t>DIF</t>
  </si>
  <si>
    <t>PRESION</t>
  </si>
  <si>
    <t>HUNTER</t>
  </si>
  <si>
    <t>AJUST.</t>
  </si>
  <si>
    <t>REAL</t>
  </si>
  <si>
    <t>PULG</t>
  </si>
  <si>
    <t>LT/SEG</t>
  </si>
  <si>
    <t>M/S</t>
  </si>
  <si>
    <t>TUBERIA</t>
  </si>
  <si>
    <t>Absoluta</t>
  </si>
  <si>
    <t>Cinematica</t>
  </si>
  <si>
    <t>suma Km</t>
  </si>
  <si>
    <t>FRICCION</t>
  </si>
  <si>
    <t>ACCS</t>
  </si>
  <si>
    <t>TOTAL</t>
  </si>
  <si>
    <t>ALTURA</t>
  </si>
  <si>
    <t>FINAL</t>
  </si>
  <si>
    <t>m</t>
  </si>
  <si>
    <t>m2/s</t>
  </si>
  <si>
    <t>hf(m)</t>
  </si>
  <si>
    <t>hm</t>
  </si>
  <si>
    <t>0.5</t>
  </si>
  <si>
    <t>2 - 3</t>
  </si>
  <si>
    <t>3 - 4</t>
  </si>
  <si>
    <t>0.75</t>
  </si>
  <si>
    <t>4 - 5</t>
  </si>
  <si>
    <t>ACCESORIO</t>
  </si>
  <si>
    <t>COEFICIENTE Km</t>
  </si>
  <si>
    <t>H.G</t>
  </si>
  <si>
    <t>VALVULA GLOBO</t>
  </si>
  <si>
    <t>COBRE</t>
  </si>
  <si>
    <t>VALVULA DE ANGULO</t>
  </si>
  <si>
    <t>VALVULA CHEQUE</t>
  </si>
  <si>
    <t>VALVULA DE CORTINA</t>
  </si>
  <si>
    <t>CODO 90º</t>
  </si>
  <si>
    <t>CODO 45º</t>
  </si>
  <si>
    <t>TEE RECTA</t>
  </si>
  <si>
    <t>CONTRACCION</t>
  </si>
  <si>
    <t>AREA</t>
  </si>
  <si>
    <t>M2</t>
  </si>
  <si>
    <t>L/M2</t>
  </si>
  <si>
    <t>CONSUMO TOTAL A. POTABLE</t>
  </si>
  <si>
    <t>UNIDAD CONSUMO POR APARATOS SANITARIOS</t>
  </si>
  <si>
    <t>TABLA 8, NTC 1500</t>
  </si>
  <si>
    <t>PUBLICO</t>
  </si>
  <si>
    <t>PRIVADO</t>
  </si>
  <si>
    <t>SANITARIO TANQUE</t>
  </si>
  <si>
    <t>ORINAL TIPO LLAVE</t>
  </si>
  <si>
    <t>LAVAMANOS</t>
  </si>
  <si>
    <t>DUCHAS</t>
  </si>
  <si>
    <t xml:space="preserve">LAVAPLATOS DE LLAVE </t>
  </si>
  <si>
    <t>LAVAPLATOS  RESTAURAN.</t>
  </si>
  <si>
    <t>LAVAPLATOS  RESTAURAN. AF/AC</t>
  </si>
  <si>
    <t>DUCHAS AC/AF</t>
  </si>
  <si>
    <t>UN</t>
  </si>
  <si>
    <t>L/M2/DIA</t>
  </si>
  <si>
    <t>2. CALCULO TOTALIZADOR</t>
  </si>
  <si>
    <t>L2</t>
  </si>
  <si>
    <t>H TOTAL</t>
  </si>
  <si>
    <t>ALTURA REQUERIDA EN EL TANQUE</t>
  </si>
  <si>
    <t>FECHA        : SEPTIEMBRE 18 DE 2013</t>
  </si>
  <si>
    <t>EMPLEADOS</t>
  </si>
  <si>
    <t>BAÑOS INTERMITENTES</t>
  </si>
  <si>
    <t>PROYECTO : BIBLIOTECA SAN JUAN DE URABA</t>
  </si>
  <si>
    <t>FECHA        :   ENERO 30 DE 2014</t>
  </si>
  <si>
    <t xml:space="preserve">5 - 6  </t>
  </si>
  <si>
    <t>6 - 7</t>
  </si>
  <si>
    <t xml:space="preserve">7 - 8  </t>
  </si>
  <si>
    <t>8 - 9 (tanque)</t>
  </si>
  <si>
    <t>1 - 1A</t>
  </si>
  <si>
    <t>1A - 2</t>
  </si>
  <si>
    <t>Se asume como aparato crítico la ducha   mas alejada del  baño de mujeres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</si>
</sst>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_ ;_ * \-#,##0_ ;_ * &quot;-&quot;??_ ;_ @_ "/>
    <numFmt numFmtId="179" formatCode="_ * #,##0.0_ ;_ * \-#,##0.0_ ;_ * &quot;-&quot;??_ ;_ @_ "/>
    <numFmt numFmtId="180" formatCode="_ * #,##0.00_ ;_ * \-#,##0.00_ ;_ * &quot;-&quot;??_ ;_ @_ "/>
    <numFmt numFmtId="181" formatCode="#,##0.00000"/>
    <numFmt numFmtId="182" formatCode="#,##0.0"/>
    <numFmt numFmtId="183" formatCode="0.0"/>
    <numFmt numFmtId="184" formatCode="_ [$€-2]\ * #,##0.00_ ;_ [$€-2]\ * \-#,##0.00_ ;_ [$€-2]\ * &quot;-&quot;??_ "/>
    <numFmt numFmtId="185" formatCode="_-* #,##0.00_-;\-* #,##0.00_-;_-* &quot;-&quot;??_-;_-@_-"/>
    <numFmt numFmtId="186" formatCode="0.0000"/>
    <numFmt numFmtId="187" formatCode="0.0000000"/>
    <numFmt numFmtId="188" formatCode="0.00000000000"/>
    <numFmt numFmtId="189" formatCode="0.00000"/>
    <numFmt numFmtId="190" formatCode="0.000"/>
    <numFmt numFmtId="191" formatCode="0.00000000"/>
    <numFmt numFmtId="192" formatCode="0.000000"/>
    <numFmt numFmtId="193" formatCode="_(* #,##0.0_);_(* \(#,##0.0\);_(* &quot;-&quot;?_);_(@_)"/>
    <numFmt numFmtId="194" formatCode="0.000000000"/>
    <numFmt numFmtId="195" formatCode="_ * #,##0.000_ ;_ * \-#,##0.000_ ;_ * &quot;-&quot;??_ ;_ @_ 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_(* #,##0.000_);_(* \(#,##0.000\);_(* &quot;-&quot;?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8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2" fillId="0" borderId="0" xfId="66" applyBorder="1">
      <alignment/>
      <protection/>
    </xf>
    <xf numFmtId="0" fontId="2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/>
      <protection/>
    </xf>
    <xf numFmtId="0" fontId="4" fillId="0" borderId="0" xfId="66" applyFont="1" applyBorder="1">
      <alignment/>
      <protection/>
    </xf>
    <xf numFmtId="178" fontId="2" fillId="0" borderId="0" xfId="61" applyNumberFormat="1" applyFont="1" applyAlignment="1">
      <alignment/>
    </xf>
    <xf numFmtId="0" fontId="5" fillId="0" borderId="0" xfId="66" applyFont="1" applyAlignment="1">
      <alignment horizontal="center" vertical="center"/>
      <protection/>
    </xf>
    <xf numFmtId="0" fontId="5" fillId="0" borderId="0" xfId="66" applyFont="1" applyBorder="1">
      <alignment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180" fontId="6" fillId="0" borderId="0" xfId="66" applyNumberFormat="1" applyFont="1" applyAlignment="1">
      <alignment horizontal="center" vertical="center"/>
      <protection/>
    </xf>
    <xf numFmtId="178" fontId="6" fillId="0" borderId="0" xfId="66" applyNumberFormat="1" applyFont="1" applyAlignment="1">
      <alignment horizontal="center" vertical="center"/>
      <protection/>
    </xf>
    <xf numFmtId="43" fontId="6" fillId="0" borderId="0" xfId="66" applyNumberFormat="1" applyFont="1" applyBorder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3" fontId="5" fillId="0" borderId="0" xfId="66" applyNumberFormat="1" applyFont="1" applyBorder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4" fontId="5" fillId="0" borderId="0" xfId="66" applyNumberFormat="1" applyFont="1" applyBorder="1" applyAlignment="1">
      <alignment horizontal="center" vertical="center"/>
      <protection/>
    </xf>
    <xf numFmtId="0" fontId="8" fillId="0" borderId="0" xfId="66" applyFont="1" applyAlignment="1">
      <alignment vertical="center"/>
      <protection/>
    </xf>
    <xf numFmtId="181" fontId="5" fillId="0" borderId="0" xfId="66" applyNumberFormat="1" applyFont="1" applyBorder="1" applyAlignment="1">
      <alignment horizontal="center" vertical="center"/>
      <protection/>
    </xf>
    <xf numFmtId="0" fontId="5" fillId="0" borderId="0" xfId="66" applyFont="1" applyAlignment="1">
      <alignment horizontal="left"/>
      <protection/>
    </xf>
    <xf numFmtId="0" fontId="5" fillId="0" borderId="0" xfId="66" applyFont="1" applyBorder="1" applyAlignment="1">
      <alignment horizontal="center" vertical="center"/>
      <protection/>
    </xf>
    <xf numFmtId="182" fontId="5" fillId="0" borderId="0" xfId="66" applyNumberFormat="1" applyFont="1" applyBorder="1" applyAlignment="1">
      <alignment horizontal="center" vertical="center"/>
      <protection/>
    </xf>
    <xf numFmtId="183" fontId="6" fillId="0" borderId="0" xfId="66" applyNumberFormat="1" applyFont="1" applyBorder="1" applyAlignment="1">
      <alignment horizontal="center" vertical="center"/>
      <protection/>
    </xf>
    <xf numFmtId="1" fontId="6" fillId="0" borderId="0" xfId="66" applyNumberFormat="1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178" fontId="2" fillId="0" borderId="0" xfId="61" applyNumberFormat="1" applyFont="1" applyAlignment="1">
      <alignment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0" fontId="2" fillId="0" borderId="0" xfId="68" applyBorder="1" applyAlignment="1">
      <alignment horizontal="center"/>
      <protection/>
    </xf>
    <xf numFmtId="2" fontId="2" fillId="0" borderId="0" xfId="68" applyNumberFormat="1" applyBorder="1">
      <alignment/>
      <protection/>
    </xf>
    <xf numFmtId="0" fontId="9" fillId="33" borderId="0" xfId="68" applyFont="1" applyFill="1" applyBorder="1">
      <alignment/>
      <protection/>
    </xf>
    <xf numFmtId="0" fontId="2" fillId="0" borderId="0" xfId="68" applyFont="1" applyBorder="1">
      <alignment/>
      <protection/>
    </xf>
    <xf numFmtId="0" fontId="2" fillId="0" borderId="10" xfId="68" applyBorder="1">
      <alignment/>
      <protection/>
    </xf>
    <xf numFmtId="0" fontId="2" fillId="0" borderId="11" xfId="68" applyBorder="1">
      <alignment/>
      <protection/>
    </xf>
    <xf numFmtId="0" fontId="2" fillId="0" borderId="12" xfId="68" applyFont="1" applyFill="1" applyBorder="1" applyAlignment="1">
      <alignment horizontal="center"/>
      <protection/>
    </xf>
    <xf numFmtId="0" fontId="2" fillId="0" borderId="12" xfId="68" applyBorder="1" applyAlignment="1">
      <alignment horizontal="center"/>
      <protection/>
    </xf>
    <xf numFmtId="0" fontId="2" fillId="0" borderId="13" xfId="68" applyBorder="1" applyAlignment="1">
      <alignment horizontal="center"/>
      <protection/>
    </xf>
    <xf numFmtId="0" fontId="2" fillId="0" borderId="14" xfId="68" applyBorder="1" applyAlignment="1">
      <alignment horizontal="center"/>
      <protection/>
    </xf>
    <xf numFmtId="0" fontId="2" fillId="0" borderId="15" xfId="68" applyFont="1" applyFill="1" applyBorder="1" applyAlignment="1">
      <alignment horizontal="center"/>
      <protection/>
    </xf>
    <xf numFmtId="0" fontId="2" fillId="0" borderId="15" xfId="68" applyBorder="1" applyAlignment="1">
      <alignment horizontal="center"/>
      <protection/>
    </xf>
    <xf numFmtId="0" fontId="2" fillId="0" borderId="16" xfId="68" applyBorder="1" applyAlignment="1">
      <alignment horizontal="center"/>
      <protection/>
    </xf>
    <xf numFmtId="0" fontId="2" fillId="0" borderId="16" xfId="68" applyBorder="1">
      <alignment/>
      <protection/>
    </xf>
    <xf numFmtId="0" fontId="2" fillId="0" borderId="16" xfId="68" applyNumberFormat="1" applyBorder="1" applyAlignment="1">
      <alignment horizontal="left"/>
      <protection/>
    </xf>
    <xf numFmtId="2" fontId="2" fillId="0" borderId="16" xfId="68" applyNumberFormat="1" applyBorder="1">
      <alignment/>
      <protection/>
    </xf>
    <xf numFmtId="2" fontId="2" fillId="0" borderId="16" xfId="68" applyNumberFormat="1" applyBorder="1" applyAlignment="1">
      <alignment horizontal="center"/>
      <protection/>
    </xf>
    <xf numFmtId="186" fontId="2" fillId="0" borderId="16" xfId="68" applyNumberFormat="1" applyBorder="1" applyAlignment="1">
      <alignment horizontal="center"/>
      <protection/>
    </xf>
    <xf numFmtId="187" fontId="2" fillId="0" borderId="16" xfId="68" applyNumberFormat="1" applyBorder="1" applyAlignment="1">
      <alignment horizontal="center"/>
      <protection/>
    </xf>
    <xf numFmtId="188" fontId="2" fillId="0" borderId="16" xfId="68" applyNumberFormat="1" applyBorder="1" applyAlignment="1">
      <alignment horizontal="center"/>
      <protection/>
    </xf>
    <xf numFmtId="189" fontId="2" fillId="0" borderId="16" xfId="68" applyNumberFormat="1" applyBorder="1">
      <alignment/>
      <protection/>
    </xf>
    <xf numFmtId="190" fontId="2" fillId="0" borderId="16" xfId="68" applyNumberFormat="1" applyBorder="1">
      <alignment/>
      <protection/>
    </xf>
    <xf numFmtId="186" fontId="2" fillId="0" borderId="16" xfId="68" applyNumberFormat="1" applyBorder="1">
      <alignment/>
      <protection/>
    </xf>
    <xf numFmtId="191" fontId="2" fillId="0" borderId="16" xfId="68" applyNumberFormat="1" applyBorder="1">
      <alignment/>
      <protection/>
    </xf>
    <xf numFmtId="49" fontId="2" fillId="0" borderId="16" xfId="68" applyNumberFormat="1" applyBorder="1" applyAlignment="1">
      <alignment horizontal="center"/>
      <protection/>
    </xf>
    <xf numFmtId="189" fontId="2" fillId="0" borderId="16" xfId="68" applyNumberFormat="1" applyFont="1" applyBorder="1" applyAlignment="1">
      <alignment horizontal="center"/>
      <protection/>
    </xf>
    <xf numFmtId="49" fontId="2" fillId="0" borderId="12" xfId="68" applyNumberFormat="1" applyBorder="1" applyAlignment="1">
      <alignment horizontal="center"/>
      <protection/>
    </xf>
    <xf numFmtId="2" fontId="2" fillId="0" borderId="12" xfId="68" applyNumberFormat="1" applyBorder="1" applyAlignment="1">
      <alignment horizontal="center"/>
      <protection/>
    </xf>
    <xf numFmtId="187" fontId="2" fillId="0" borderId="12" xfId="68" applyNumberFormat="1" applyBorder="1" applyAlignment="1">
      <alignment horizontal="center"/>
      <protection/>
    </xf>
    <xf numFmtId="188" fontId="2" fillId="0" borderId="12" xfId="68" applyNumberFormat="1" applyBorder="1" applyAlignment="1">
      <alignment horizontal="center"/>
      <protection/>
    </xf>
    <xf numFmtId="189" fontId="2" fillId="0" borderId="12" xfId="68" applyNumberFormat="1" applyFont="1" applyBorder="1" applyAlignment="1">
      <alignment horizontal="center"/>
      <protection/>
    </xf>
    <xf numFmtId="189" fontId="2" fillId="0" borderId="12" xfId="68" applyNumberFormat="1" applyBorder="1">
      <alignment/>
      <protection/>
    </xf>
    <xf numFmtId="186" fontId="2" fillId="0" borderId="12" xfId="68" applyNumberFormat="1" applyBorder="1">
      <alignment/>
      <protection/>
    </xf>
    <xf numFmtId="2" fontId="2" fillId="0" borderId="12" xfId="68" applyNumberFormat="1" applyBorder="1">
      <alignment/>
      <protection/>
    </xf>
    <xf numFmtId="0" fontId="2" fillId="0" borderId="0" xfId="68" applyAlignment="1">
      <alignment horizontal="center"/>
      <protection/>
    </xf>
    <xf numFmtId="49" fontId="2" fillId="0" borderId="0" xfId="68" applyNumberFormat="1" applyBorder="1" applyAlignment="1">
      <alignment horizontal="center"/>
      <protection/>
    </xf>
    <xf numFmtId="2" fontId="2" fillId="0" borderId="0" xfId="68" applyNumberFormat="1" applyBorder="1" applyAlignment="1">
      <alignment horizontal="center"/>
      <protection/>
    </xf>
    <xf numFmtId="187" fontId="2" fillId="0" borderId="0" xfId="68" applyNumberFormat="1" applyBorder="1" applyAlignment="1">
      <alignment horizontal="center"/>
      <protection/>
    </xf>
    <xf numFmtId="188" fontId="2" fillId="0" borderId="0" xfId="68" applyNumberFormat="1" applyBorder="1" applyAlignment="1">
      <alignment horizontal="center"/>
      <protection/>
    </xf>
    <xf numFmtId="189" fontId="2" fillId="0" borderId="0" xfId="68" applyNumberFormat="1" applyFont="1" applyBorder="1" applyAlignment="1">
      <alignment horizontal="center"/>
      <protection/>
    </xf>
    <xf numFmtId="190" fontId="2" fillId="0" borderId="0" xfId="68" applyNumberFormat="1" applyBorder="1">
      <alignment/>
      <protection/>
    </xf>
    <xf numFmtId="186" fontId="2" fillId="0" borderId="0" xfId="68" applyNumberFormat="1" applyBorder="1">
      <alignment/>
      <protection/>
    </xf>
    <xf numFmtId="1" fontId="2" fillId="0" borderId="0" xfId="68" applyNumberFormat="1" applyBorder="1" applyAlignment="1">
      <alignment horizontal="center"/>
      <protection/>
    </xf>
    <xf numFmtId="2" fontId="2" fillId="0" borderId="0" xfId="68" applyNumberFormat="1" applyFill="1" applyBorder="1" applyAlignment="1">
      <alignment horizontal="center"/>
      <protection/>
    </xf>
    <xf numFmtId="0" fontId="2" fillId="0" borderId="0" xfId="68" applyFill="1" applyBorder="1">
      <alignment/>
      <protection/>
    </xf>
    <xf numFmtId="2" fontId="2" fillId="0" borderId="0" xfId="66" applyNumberFormat="1">
      <alignment/>
      <protection/>
    </xf>
    <xf numFmtId="0" fontId="2" fillId="0" borderId="15" xfId="68" applyFont="1" applyBorder="1" applyAlignment="1">
      <alignment horizontal="center"/>
      <protection/>
    </xf>
    <xf numFmtId="49" fontId="2" fillId="0" borderId="16" xfId="68" applyNumberFormat="1" applyFont="1" applyBorder="1" applyAlignment="1">
      <alignment horizontal="center"/>
      <protection/>
    </xf>
    <xf numFmtId="49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1" fontId="0" fillId="0" borderId="16" xfId="0" applyNumberFormat="1" applyFill="1" applyBorder="1" applyAlignment="1">
      <alignment horizontal="center"/>
    </xf>
    <xf numFmtId="183" fontId="0" fillId="0" borderId="16" xfId="0" applyNumberForma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49" fontId="2" fillId="0" borderId="0" xfId="68" applyNumberFormat="1" applyFont="1" applyBorder="1" applyAlignment="1">
      <alignment horizontal="left"/>
      <protection/>
    </xf>
    <xf numFmtId="183" fontId="2" fillId="0" borderId="0" xfId="66" applyNumberFormat="1">
      <alignment/>
      <protection/>
    </xf>
    <xf numFmtId="0" fontId="0" fillId="0" borderId="0" xfId="66" applyFont="1">
      <alignment/>
      <protection/>
    </xf>
    <xf numFmtId="0" fontId="4" fillId="0" borderId="0" xfId="68" applyFont="1" applyFill="1" applyBorder="1" applyAlignment="1">
      <alignment horizontal="left"/>
      <protection/>
    </xf>
    <xf numFmtId="0" fontId="4" fillId="0" borderId="0" xfId="68" applyFont="1" applyFill="1" applyBorder="1">
      <alignment/>
      <protection/>
    </xf>
    <xf numFmtId="2" fontId="0" fillId="0" borderId="16" xfId="0" applyNumberFormat="1" applyBorder="1" applyAlignment="1">
      <alignment horizontal="center"/>
    </xf>
    <xf numFmtId="179" fontId="2" fillId="0" borderId="0" xfId="61" applyNumberFormat="1" applyFont="1" applyAlignment="1">
      <alignment/>
    </xf>
    <xf numFmtId="180" fontId="2" fillId="0" borderId="0" xfId="61" applyNumberFormat="1" applyFont="1" applyAlignment="1">
      <alignment/>
    </xf>
    <xf numFmtId="43" fontId="2" fillId="0" borderId="0" xfId="66" applyNumberFormat="1">
      <alignment/>
      <protection/>
    </xf>
    <xf numFmtId="180" fontId="2" fillId="0" borderId="0" xfId="61" applyNumberFormat="1" applyFont="1" applyAlignment="1">
      <alignment/>
    </xf>
    <xf numFmtId="0" fontId="4" fillId="0" borderId="0" xfId="70" applyFont="1" applyBorder="1">
      <alignment/>
      <protection/>
    </xf>
    <xf numFmtId="49" fontId="2" fillId="0" borderId="18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3" fillId="0" borderId="0" xfId="68" applyFont="1" applyAlignment="1">
      <alignment horizontal="center"/>
      <protection/>
    </xf>
    <xf numFmtId="0" fontId="2" fillId="0" borderId="17" xfId="68" applyNumberFormat="1" applyFont="1" applyBorder="1" applyAlignment="1">
      <alignment horizontal="left"/>
      <protection/>
    </xf>
    <xf numFmtId="0" fontId="2" fillId="0" borderId="13" xfId="68" applyNumberFormat="1" applyFont="1" applyBorder="1" applyAlignment="1">
      <alignment horizontal="left"/>
      <protection/>
    </xf>
    <xf numFmtId="0" fontId="2" fillId="0" borderId="14" xfId="68" applyNumberFormat="1" applyFont="1" applyBorder="1" applyAlignment="1">
      <alignment horizontal="left"/>
      <protection/>
    </xf>
    <xf numFmtId="49" fontId="10" fillId="0" borderId="16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2" fillId="0" borderId="17" xfId="71" applyNumberFormat="1" applyFont="1" applyBorder="1" applyAlignment="1">
      <alignment horizontal="center"/>
      <protection/>
    </xf>
    <xf numFmtId="2" fontId="2" fillId="0" borderId="13" xfId="71" applyNumberFormat="1" applyFont="1" applyBorder="1" applyAlignment="1">
      <alignment horizontal="center"/>
      <protection/>
    </xf>
    <xf numFmtId="2" fontId="2" fillId="0" borderId="14" xfId="71" applyNumberFormat="1" applyFont="1" applyBorder="1" applyAlignment="1">
      <alignment horizont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Euro 3 2" xfId="50"/>
    <cellStyle name="Euro 4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Millares 4" xfId="59"/>
    <cellStyle name="Millares 5" xfId="60"/>
    <cellStyle name="Millares_memoria 01-08-SEP-08" xfId="61"/>
    <cellStyle name="Currency" xfId="62"/>
    <cellStyle name="Currency [0]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5 2" xfId="70"/>
    <cellStyle name="Normal 6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</xdr:row>
      <xdr:rowOff>38100</xdr:rowOff>
    </xdr:from>
    <xdr:to>
      <xdr:col>21</xdr:col>
      <xdr:colOff>342900</xdr:colOff>
      <xdr:row>6</xdr:row>
      <xdr:rowOff>0</xdr:rowOff>
    </xdr:to>
    <xdr:sp macro="[3]!calcularf">
      <xdr:nvSpPr>
        <xdr:cNvPr id="1" name="1 Rectángulo redondeado"/>
        <xdr:cNvSpPr>
          <a:spLocks/>
        </xdr:cNvSpPr>
      </xdr:nvSpPr>
      <xdr:spPr>
        <a:xfrm>
          <a:off x="12744450" y="666750"/>
          <a:ext cx="97155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CALCULAR F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Users\Owner\Desktop\2010\COLEGIOS\CUNDINAMARCA\UBAQUE\DISE&#209;O_06-02-FEB-11\MEMORIAS%20CALCULO%20HIDRAULICO%20UBAQUE%2031-ENE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Documents%20and%20Settings\usuario\Escritorio\2009-ME\COLEGIOS%202009\ALFONSO%20LOPEZ%20SANTA%20MARTHA\DISE&#209;O_03-03-MAR-09\TABLAS%20ALFONSO%20LOPE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Documents%20and%20Settings\USUARIO\Escritorio\2009-ME\COLEGIOS%202009\COLEGIOS%20UN\EMMA%20VILLEGAS\DISE&#209;O_01-09-OCT-09\MEMORIAS%20CALCULO%20HIDRAULICO%20QA-13-AGO-09-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-puentes\d\Documents%20and%20Settings\USUARIO\Escritorio\2012\COL\PUERTO%20SALGAR\DISE&#209;O_02-15-JUN-12\MEMORIAS%20CALCULO%20HIDRAULICO%20PTO%20SALGAR-15-JUN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hisa-srv\datos\Users\fransisco\Documents\documentos\2012\GRUPO%20G%20Y%20B\gastronomia%20bilbao\BILBAO\MEMORIAS%20CALCULO%20BILB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OMETIDA UBAQUE"/>
      <sheetName val="SUMINISTRO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OMETIDA"/>
      <sheetName val="SUMINISTRO"/>
      <sheetName val="BALL "/>
      <sheetName val="COLECTORES 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OMETIDA QUIROGA"/>
      <sheetName val="SUMINISTRO GRIS"/>
      <sheetName val="SUMINISTRO POTABLE"/>
      <sheetName val="SUM COL 2"/>
      <sheetName val="MEMORIAS CALCULO HIDRAULICO QA-"/>
    </sheetNames>
    <definedNames>
      <definedName name="calcularf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OMETIDA"/>
      <sheetName val="SUMINISTRO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CENDIO"/>
      <sheetName val="BAN"/>
      <sheetName val="CAN"/>
      <sheetName val="BALL"/>
      <sheetName val="CALL"/>
      <sheetName val="TRAMPA"/>
      <sheetName val="BOMB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9"/>
  <sheetViews>
    <sheetView tabSelected="1" view="pageBreakPreview" zoomScale="85" zoomScaleNormal="70" zoomScaleSheetLayoutView="85" zoomScalePageLayoutView="0" workbookViewId="0" topLeftCell="A1">
      <selection activeCell="K43" sqref="K43"/>
    </sheetView>
  </sheetViews>
  <sheetFormatPr defaultColWidth="11.421875" defaultRowHeight="15"/>
  <cols>
    <col min="1" max="1" width="2.8515625" style="28" customWidth="1"/>
    <col min="2" max="2" width="12.57421875" style="28" customWidth="1"/>
    <col min="3" max="3" width="9.57421875" style="28" customWidth="1"/>
    <col min="4" max="5" width="9.140625" style="28" customWidth="1"/>
    <col min="6" max="6" width="6.8515625" style="28" customWidth="1"/>
    <col min="7" max="7" width="8.421875" style="28" customWidth="1"/>
    <col min="8" max="8" width="7.57421875" style="28" customWidth="1"/>
    <col min="9" max="9" width="11.00390625" style="28" customWidth="1"/>
    <col min="10" max="10" width="9.8515625" style="28" customWidth="1"/>
    <col min="11" max="11" width="13.421875" style="28" customWidth="1"/>
    <col min="12" max="12" width="7.8515625" style="28" customWidth="1"/>
    <col min="13" max="13" width="9.8515625" style="28" customWidth="1"/>
    <col min="14" max="15" width="10.7109375" style="28" customWidth="1"/>
    <col min="16" max="16" width="9.421875" style="28" customWidth="1"/>
    <col min="17" max="17" width="9.7109375" style="28" customWidth="1"/>
    <col min="18" max="18" width="9.28125" style="28" customWidth="1"/>
    <col min="19" max="19" width="9.7109375" style="28" customWidth="1"/>
    <col min="20" max="21" width="11.421875" style="28" customWidth="1"/>
    <col min="22" max="22" width="11.57421875" style="28" bestFit="1" customWidth="1"/>
    <col min="23" max="24" width="11.421875" style="28" customWidth="1"/>
    <col min="25" max="26" width="12.421875" style="28" bestFit="1" customWidth="1"/>
    <col min="27" max="16384" width="11.421875" style="28" customWidth="1"/>
  </cols>
  <sheetData>
    <row r="1" spans="2:19" ht="26.25" customHeight="1">
      <c r="B1" s="105" t="s">
        <v>25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2:42" ht="12.75"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2:42" ht="10.5" customHeight="1">
      <c r="B3" s="105" t="s">
        <v>25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30"/>
      <c r="U3" s="30"/>
      <c r="V3" s="30"/>
      <c r="W3" s="30"/>
      <c r="X3" s="30"/>
      <c r="Y3" s="30"/>
      <c r="Z3" s="30"/>
      <c r="AA3" s="31" t="s">
        <v>26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2:42" ht="12.75">
      <c r="B4" s="98" t="s">
        <v>112</v>
      </c>
      <c r="C4" s="91"/>
      <c r="D4" s="92"/>
      <c r="E4" s="9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27</v>
      </c>
      <c r="X4" s="32" t="e">
        <f>+#REF!</f>
        <v>#REF!</v>
      </c>
      <c r="Y4" s="30"/>
      <c r="Z4" s="33" t="s">
        <v>28</v>
      </c>
      <c r="AA4" s="30" t="e">
        <f>64/X4</f>
        <v>#REF!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2:42" ht="12" customHeight="1">
      <c r="B5" s="29"/>
      <c r="C5" s="29"/>
      <c r="D5" s="29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 t="s">
        <v>29</v>
      </c>
      <c r="X5" s="30">
        <v>1.5E-06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2:42" ht="12.75">
      <c r="B6" s="29" t="s">
        <v>30</v>
      </c>
      <c r="C6" s="29"/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25</v>
      </c>
      <c r="X6" s="32" t="s">
        <v>25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2:42" ht="12.75">
      <c r="B7" s="29"/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 t="s">
        <v>31</v>
      </c>
      <c r="X7" s="30" t="e">
        <f>+#REF!</f>
        <v>#REF!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2:102" ht="12.75" customHeight="1">
      <c r="B8" s="29" t="s">
        <v>113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4" t="s">
        <v>32</v>
      </c>
      <c r="V8" s="30">
        <v>14</v>
      </c>
      <c r="W8" s="31" t="s">
        <v>26</v>
      </c>
      <c r="X8" s="31" t="s">
        <v>33</v>
      </c>
      <c r="Y8" s="31" t="s">
        <v>34</v>
      </c>
      <c r="Z8" s="31" t="s">
        <v>35</v>
      </c>
      <c r="AA8" s="31" t="s">
        <v>36</v>
      </c>
      <c r="AB8" s="31" t="s">
        <v>37</v>
      </c>
      <c r="AC8" s="30" t="s">
        <v>38</v>
      </c>
      <c r="AD8" s="30" t="s">
        <v>26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</row>
    <row r="9" spans="1:102" s="35" customFormat="1" ht="13.5" customHeight="1">
      <c r="A9" s="30"/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4" t="s">
        <v>25</v>
      </c>
      <c r="V9" s="34" t="s">
        <v>25</v>
      </c>
      <c r="W9" s="30">
        <v>0.001</v>
      </c>
      <c r="X9" s="30">
        <f>1/(W9^0.5)</f>
        <v>31.622776601683796</v>
      </c>
      <c r="Y9" s="30">
        <v>1.5E-06</v>
      </c>
      <c r="Z9" s="30" t="e">
        <f>Y9/(3.7*X$7)</f>
        <v>#REF!</v>
      </c>
      <c r="AA9" s="30" t="e">
        <f>(2.51/(X$4*(W9^0.5)))</f>
        <v>#REF!</v>
      </c>
      <c r="AB9" s="30" t="e">
        <f>Z9+AA9</f>
        <v>#REF!</v>
      </c>
      <c r="AC9" s="30" t="e">
        <f>LOG10(AB9)</f>
        <v>#REF!</v>
      </c>
      <c r="AD9" s="30" t="e">
        <f>(-2*AC9)^-2</f>
        <v>#REF!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36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 t="s">
        <v>25</v>
      </c>
      <c r="W10" s="30" t="e">
        <f>AD9</f>
        <v>#REF!</v>
      </c>
      <c r="X10" s="30" t="e">
        <f>1/(W10^0.5)</f>
        <v>#REF!</v>
      </c>
      <c r="Y10" s="30">
        <v>1.5E-06</v>
      </c>
      <c r="Z10" s="30" t="e">
        <f>Y10/(3.7*X$7)</f>
        <v>#REF!</v>
      </c>
      <c r="AA10" s="30" t="e">
        <f>(2.51/(X$4*(W10^0.5)))</f>
        <v>#REF!</v>
      </c>
      <c r="AB10" s="30" t="e">
        <f>Z10+AA10</f>
        <v>#REF!</v>
      </c>
      <c r="AC10" s="30" t="e">
        <f>LOG10(AB10)</f>
        <v>#REF!</v>
      </c>
      <c r="AD10" s="30" t="e">
        <f>(-2*AC10)^-2</f>
        <v>#REF!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2:102" ht="12.75">
      <c r="B11" s="37" t="s">
        <v>39</v>
      </c>
      <c r="C11" s="38" t="s">
        <v>40</v>
      </c>
      <c r="D11" s="38" t="s">
        <v>40</v>
      </c>
      <c r="E11" s="38" t="s">
        <v>41</v>
      </c>
      <c r="F11" s="38" t="s">
        <v>41</v>
      </c>
      <c r="G11" s="38" t="s">
        <v>42</v>
      </c>
      <c r="H11" s="38" t="s">
        <v>43</v>
      </c>
      <c r="I11" s="39" t="s">
        <v>44</v>
      </c>
      <c r="J11" s="39" t="s">
        <v>45</v>
      </c>
      <c r="K11" s="39" t="s">
        <v>46</v>
      </c>
      <c r="L11" s="39" t="s">
        <v>25</v>
      </c>
      <c r="M11" s="39"/>
      <c r="N11" s="39"/>
      <c r="O11" s="39" t="s">
        <v>47</v>
      </c>
      <c r="P11" s="39" t="s">
        <v>48</v>
      </c>
      <c r="Q11" s="40" t="s">
        <v>48</v>
      </c>
      <c r="R11" s="38" t="s">
        <v>49</v>
      </c>
      <c r="S11" s="38" t="s">
        <v>50</v>
      </c>
      <c r="T11" s="30"/>
      <c r="U11" s="30"/>
      <c r="V11" s="30" t="s">
        <v>25</v>
      </c>
      <c r="W11" s="30" t="e">
        <f aca="true" t="shared" si="0" ref="W11:W20">AD10</f>
        <v>#REF!</v>
      </c>
      <c r="X11" s="30" t="e">
        <f aca="true" t="shared" si="1" ref="X11:X20">1/(W11^0.5)</f>
        <v>#REF!</v>
      </c>
      <c r="Y11" s="30">
        <v>1.5E-06</v>
      </c>
      <c r="Z11" s="30" t="e">
        <f aca="true" t="shared" si="2" ref="Z11:Z20">Y11/(3.7*X$7)</f>
        <v>#REF!</v>
      </c>
      <c r="AA11" s="30" t="e">
        <f aca="true" t="shared" si="3" ref="AA11:AA20">(2.51/(X$4*(W11^0.5)))</f>
        <v>#REF!</v>
      </c>
      <c r="AB11" s="30" t="e">
        <f aca="true" t="shared" si="4" ref="AB11:AB20">Z11+AA11</f>
        <v>#REF!</v>
      </c>
      <c r="AC11" s="30" t="e">
        <f aca="true" t="shared" si="5" ref="AC11:AC20">LOG10(AB11)</f>
        <v>#REF!</v>
      </c>
      <c r="AD11" s="30" t="e">
        <f aca="true" t="shared" si="6" ref="AD11:AD20">(-2*AC11)^-2</f>
        <v>#REF!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</row>
    <row r="12" spans="2:102" ht="12.75">
      <c r="B12" s="41" t="s">
        <v>25</v>
      </c>
      <c r="C12" s="42" t="s">
        <v>51</v>
      </c>
      <c r="D12" s="42" t="s">
        <v>52</v>
      </c>
      <c r="E12" s="42" t="s">
        <v>53</v>
      </c>
      <c r="F12" s="42" t="s">
        <v>54</v>
      </c>
      <c r="G12" s="42" t="s">
        <v>55</v>
      </c>
      <c r="H12" s="42" t="s">
        <v>56</v>
      </c>
      <c r="I12" s="77" t="s">
        <v>57</v>
      </c>
      <c r="J12" s="42" t="s">
        <v>58</v>
      </c>
      <c r="K12" s="42" t="s">
        <v>59</v>
      </c>
      <c r="L12" s="42" t="s">
        <v>60</v>
      </c>
      <c r="M12" s="42" t="s">
        <v>27</v>
      </c>
      <c r="N12" s="42" t="s">
        <v>26</v>
      </c>
      <c r="O12" s="42" t="s">
        <v>61</v>
      </c>
      <c r="P12" s="42" t="s">
        <v>62</v>
      </c>
      <c r="Q12" s="43" t="s">
        <v>63</v>
      </c>
      <c r="R12" s="42" t="s">
        <v>64</v>
      </c>
      <c r="S12" s="42" t="s">
        <v>65</v>
      </c>
      <c r="T12" s="30"/>
      <c r="U12" s="30"/>
      <c r="V12" s="30" t="s">
        <v>25</v>
      </c>
      <c r="W12" s="30" t="e">
        <f t="shared" si="0"/>
        <v>#REF!</v>
      </c>
      <c r="X12" s="30" t="e">
        <f t="shared" si="1"/>
        <v>#REF!</v>
      </c>
      <c r="Y12" s="30">
        <v>1.5E-06</v>
      </c>
      <c r="Z12" s="30" t="e">
        <f t="shared" si="2"/>
        <v>#REF!</v>
      </c>
      <c r="AA12" s="30" t="e">
        <f t="shared" si="3"/>
        <v>#REF!</v>
      </c>
      <c r="AB12" s="30" t="e">
        <f t="shared" si="4"/>
        <v>#REF!</v>
      </c>
      <c r="AC12" s="30" t="e">
        <f t="shared" si="5"/>
        <v>#REF!</v>
      </c>
      <c r="AD12" s="30" t="e">
        <f t="shared" si="6"/>
        <v>#REF!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2:102" ht="12.75">
      <c r="B13" s="44" t="s">
        <v>25</v>
      </c>
      <c r="C13" s="44"/>
      <c r="D13" s="44"/>
      <c r="E13" s="43" t="s">
        <v>66</v>
      </c>
      <c r="F13" s="44"/>
      <c r="G13" s="44"/>
      <c r="H13" s="44"/>
      <c r="I13" s="44"/>
      <c r="J13" s="43" t="s">
        <v>66</v>
      </c>
      <c r="K13" s="43" t="s">
        <v>67</v>
      </c>
      <c r="L13" s="44"/>
      <c r="M13" s="44"/>
      <c r="N13" s="44"/>
      <c r="O13" s="43" t="s">
        <v>68</v>
      </c>
      <c r="P13" s="43" t="s">
        <v>69</v>
      </c>
      <c r="Q13" s="44"/>
      <c r="R13" s="44"/>
      <c r="S13" s="44"/>
      <c r="U13" s="30"/>
      <c r="V13" s="30" t="s">
        <v>25</v>
      </c>
      <c r="W13" s="30" t="e">
        <f t="shared" si="0"/>
        <v>#REF!</v>
      </c>
      <c r="X13" s="30" t="e">
        <f t="shared" si="1"/>
        <v>#REF!</v>
      </c>
      <c r="Y13" s="30">
        <v>1.5E-06</v>
      </c>
      <c r="Z13" s="30" t="e">
        <f t="shared" si="2"/>
        <v>#REF!</v>
      </c>
      <c r="AA13" s="30" t="e">
        <f t="shared" si="3"/>
        <v>#REF!</v>
      </c>
      <c r="AB13" s="30" t="e">
        <f t="shared" si="4"/>
        <v>#REF!</v>
      </c>
      <c r="AC13" s="30" t="e">
        <f t="shared" si="5"/>
        <v>#REF!</v>
      </c>
      <c r="AD13" s="30" t="e">
        <f t="shared" si="6"/>
        <v>#REF!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2:30" ht="12.75">
      <c r="B14" s="45"/>
      <c r="C14" s="46"/>
      <c r="D14" s="46"/>
      <c r="E14" s="46"/>
      <c r="F14" s="47"/>
      <c r="G14" s="47"/>
      <c r="H14" s="48"/>
      <c r="I14" s="47"/>
      <c r="J14" s="49"/>
      <c r="K14" s="50"/>
      <c r="L14" s="47"/>
      <c r="M14" s="47"/>
      <c r="N14" s="51"/>
      <c r="O14" s="52"/>
      <c r="P14" s="53"/>
      <c r="Q14" s="46"/>
      <c r="R14" s="46"/>
      <c r="S14" s="47" t="s">
        <v>25</v>
      </c>
      <c r="W14" s="30" t="e">
        <f t="shared" si="0"/>
        <v>#REF!</v>
      </c>
      <c r="X14" s="30" t="e">
        <f t="shared" si="1"/>
        <v>#REF!</v>
      </c>
      <c r="Y14" s="30">
        <v>1.5E-06</v>
      </c>
      <c r="Z14" s="30" t="e">
        <f t="shared" si="2"/>
        <v>#REF!</v>
      </c>
      <c r="AA14" s="30" t="e">
        <f t="shared" si="3"/>
        <v>#REF!</v>
      </c>
      <c r="AB14" s="30" t="e">
        <f t="shared" si="4"/>
        <v>#REF!</v>
      </c>
      <c r="AC14" s="30" t="e">
        <f t="shared" si="5"/>
        <v>#REF!</v>
      </c>
      <c r="AD14" s="30" t="e">
        <f t="shared" si="6"/>
        <v>#REF!</v>
      </c>
    </row>
    <row r="15" spans="2:30" ht="12.75">
      <c r="B15" s="106" t="s">
        <v>120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47" t="s">
        <v>25</v>
      </c>
      <c r="N15" s="54" t="s">
        <v>25</v>
      </c>
      <c r="O15" s="52" t="s">
        <v>25</v>
      </c>
      <c r="P15" s="53" t="s">
        <v>25</v>
      </c>
      <c r="Q15" s="46" t="s">
        <v>25</v>
      </c>
      <c r="R15" s="46" t="s">
        <v>25</v>
      </c>
      <c r="S15" s="47">
        <v>2</v>
      </c>
      <c r="W15" s="30" t="e">
        <f>AD14</f>
        <v>#REF!</v>
      </c>
      <c r="X15" s="30" t="e">
        <f t="shared" si="1"/>
        <v>#REF!</v>
      </c>
      <c r="Y15" s="30">
        <v>1.5E-06</v>
      </c>
      <c r="Z15" s="30" t="e">
        <f t="shared" si="2"/>
        <v>#REF!</v>
      </c>
      <c r="AA15" s="30" t="e">
        <f t="shared" si="3"/>
        <v>#REF!</v>
      </c>
      <c r="AB15" s="30" t="e">
        <f t="shared" si="4"/>
        <v>#REF!</v>
      </c>
      <c r="AC15" s="30" t="e">
        <f t="shared" si="5"/>
        <v>#REF!</v>
      </c>
      <c r="AD15" s="30" t="e">
        <f t="shared" si="6"/>
        <v>#REF!</v>
      </c>
    </row>
    <row r="16" spans="2:30" ht="12.75">
      <c r="B16" s="78" t="s">
        <v>118</v>
      </c>
      <c r="C16" s="47">
        <f>+E35</f>
        <v>2</v>
      </c>
      <c r="D16" s="47">
        <f aca="true" t="shared" si="7" ref="D16:D24">C16*0.95</f>
        <v>1.9</v>
      </c>
      <c r="E16" s="43">
        <v>0.0166</v>
      </c>
      <c r="F16" s="43" t="s">
        <v>70</v>
      </c>
      <c r="G16" s="47">
        <f aca="true" t="shared" si="8" ref="G16:G24">(D16^0.685)*0.115</f>
        <v>0.17850239890825856</v>
      </c>
      <c r="H16" s="47">
        <f aca="true" t="shared" si="9" ref="H16:H24">((G16/1000)/((3.1416/4)*(E16)^2))</f>
        <v>0.8247778402178975</v>
      </c>
      <c r="I16" s="47">
        <v>3.2</v>
      </c>
      <c r="J16" s="49">
        <v>1.5E-06</v>
      </c>
      <c r="K16" s="50">
        <v>1.14082E-06</v>
      </c>
      <c r="L16" s="47">
        <f>2*0.75</f>
        <v>1.5</v>
      </c>
      <c r="M16" s="47">
        <f aca="true" t="shared" si="10" ref="M16:M24">H16*E16/K16</f>
        <v>12001.290429355286</v>
      </c>
      <c r="N16" s="56">
        <v>0.029593416092632996</v>
      </c>
      <c r="O16" s="51">
        <f aca="true" t="shared" si="11" ref="O16:O24">N16*(I16/(E16))*(H16^2)/19.6</f>
        <v>0.19799530286003075</v>
      </c>
      <c r="P16" s="53">
        <f aca="true" t="shared" si="12" ref="P16:P24">L16*(H16^2)/19.6</f>
        <v>0.05206059839651783</v>
      </c>
      <c r="Q16" s="46">
        <f aca="true" t="shared" si="13" ref="Q16:Q24">O16+P16</f>
        <v>0.2500559012565486</v>
      </c>
      <c r="R16" s="46">
        <v>0</v>
      </c>
      <c r="S16" s="47">
        <f aca="true" t="shared" si="14" ref="S16:S24">S15+Q16+R16</f>
        <v>2.2500559012565486</v>
      </c>
      <c r="W16" s="30" t="e">
        <f t="shared" si="0"/>
        <v>#REF!</v>
      </c>
      <c r="X16" s="30" t="e">
        <f t="shared" si="1"/>
        <v>#REF!</v>
      </c>
      <c r="Y16" s="30">
        <v>1.5E-06</v>
      </c>
      <c r="Z16" s="30" t="e">
        <f t="shared" si="2"/>
        <v>#REF!</v>
      </c>
      <c r="AA16" s="30" t="e">
        <f t="shared" si="3"/>
        <v>#REF!</v>
      </c>
      <c r="AB16" s="30" t="e">
        <f t="shared" si="4"/>
        <v>#REF!</v>
      </c>
      <c r="AC16" s="30" t="e">
        <f t="shared" si="5"/>
        <v>#REF!</v>
      </c>
      <c r="AD16" s="30" t="e">
        <f t="shared" si="6"/>
        <v>#REF!</v>
      </c>
    </row>
    <row r="17" spans="2:30" ht="12.75">
      <c r="B17" s="78" t="s">
        <v>119</v>
      </c>
      <c r="C17" s="47">
        <f>+C16+D34</f>
        <v>6</v>
      </c>
      <c r="D17" s="47">
        <f t="shared" si="7"/>
        <v>5.699999999999999</v>
      </c>
      <c r="E17" s="43">
        <v>0.02181</v>
      </c>
      <c r="F17" s="43" t="s">
        <v>73</v>
      </c>
      <c r="G17" s="47">
        <f>(D17^0.685)*0.115</f>
        <v>0.3788542089527788</v>
      </c>
      <c r="H17" s="47">
        <f>((G17/1000)/((3.1416/4)*(E17)^2))</f>
        <v>1.01407456152355</v>
      </c>
      <c r="I17" s="47">
        <v>0.75</v>
      </c>
      <c r="J17" s="49">
        <v>1.5E-06</v>
      </c>
      <c r="K17" s="50">
        <v>1.14082E-06</v>
      </c>
      <c r="L17" s="47">
        <f>2*0.75</f>
        <v>1.5</v>
      </c>
      <c r="M17" s="47">
        <f>H17*E17/K17</f>
        <v>19386.90256730126</v>
      </c>
      <c r="N17" s="56">
        <v>0.029593416092632996</v>
      </c>
      <c r="O17" s="51">
        <f>N17*(I17/(E17))*(H17^2)/19.6</f>
        <v>0.05339300988920484</v>
      </c>
      <c r="P17" s="53">
        <f>L17*(H17^2)/19.6</f>
        <v>0.07870004206600868</v>
      </c>
      <c r="Q17" s="46">
        <f>O17+P17</f>
        <v>0.13209305195521354</v>
      </c>
      <c r="R17" s="46">
        <v>0</v>
      </c>
      <c r="S17" s="47">
        <f>S16+Q17+R17</f>
        <v>2.3821489532117623</v>
      </c>
      <c r="W17" s="30"/>
      <c r="X17" s="30"/>
      <c r="Y17" s="30"/>
      <c r="Z17" s="30"/>
      <c r="AA17" s="30"/>
      <c r="AB17" s="30"/>
      <c r="AC17" s="30"/>
      <c r="AD17" s="30"/>
    </row>
    <row r="18" spans="2:30" ht="12.75">
      <c r="B18" s="55" t="s">
        <v>71</v>
      </c>
      <c r="C18" s="47">
        <f>+C17+D34</f>
        <v>10</v>
      </c>
      <c r="D18" s="47">
        <f t="shared" si="7"/>
        <v>9.5</v>
      </c>
      <c r="E18" s="43">
        <v>0.02848</v>
      </c>
      <c r="F18" s="43">
        <v>1</v>
      </c>
      <c r="G18" s="47">
        <f t="shared" si="8"/>
        <v>0.5375743147306015</v>
      </c>
      <c r="H18" s="47">
        <f t="shared" si="9"/>
        <v>0.8438546407312558</v>
      </c>
      <c r="I18" s="47">
        <v>0.35</v>
      </c>
      <c r="J18" s="49">
        <v>1.5E-06</v>
      </c>
      <c r="K18" s="50">
        <v>1.14082E-06</v>
      </c>
      <c r="L18" s="47">
        <v>0.3</v>
      </c>
      <c r="M18" s="47">
        <f t="shared" si="10"/>
        <v>21066.408520210167</v>
      </c>
      <c r="N18" s="56">
        <v>0.027067657814520356</v>
      </c>
      <c r="O18" s="51">
        <f t="shared" si="11"/>
        <v>0.012085314364651599</v>
      </c>
      <c r="P18" s="53">
        <f t="shared" si="12"/>
        <v>0.0108993467553624</v>
      </c>
      <c r="Q18" s="46">
        <f t="shared" si="13"/>
        <v>0.022984661120014</v>
      </c>
      <c r="R18" s="46">
        <v>0</v>
      </c>
      <c r="S18" s="47">
        <f>S17+Q18+R18</f>
        <v>2.4051336143317763</v>
      </c>
      <c r="W18" s="30" t="e">
        <f>AD16</f>
        <v>#REF!</v>
      </c>
      <c r="X18" s="30" t="e">
        <f t="shared" si="1"/>
        <v>#REF!</v>
      </c>
      <c r="Y18" s="30">
        <v>1.5E-06</v>
      </c>
      <c r="Z18" s="30" t="e">
        <f t="shared" si="2"/>
        <v>#REF!</v>
      </c>
      <c r="AA18" s="30" t="e">
        <f t="shared" si="3"/>
        <v>#REF!</v>
      </c>
      <c r="AB18" s="30" t="e">
        <f t="shared" si="4"/>
        <v>#REF!</v>
      </c>
      <c r="AC18" s="30" t="e">
        <f t="shared" si="5"/>
        <v>#REF!</v>
      </c>
      <c r="AD18" s="30" t="e">
        <f t="shared" si="6"/>
        <v>#REF!</v>
      </c>
    </row>
    <row r="19" spans="1:30" ht="12.75">
      <c r="A19" s="30"/>
      <c r="B19" s="55" t="s">
        <v>72</v>
      </c>
      <c r="C19" s="47">
        <f>+C18+D32</f>
        <v>15</v>
      </c>
      <c r="D19" s="47">
        <f t="shared" si="7"/>
        <v>14.25</v>
      </c>
      <c r="E19" s="43">
        <v>0.03814</v>
      </c>
      <c r="F19" s="43">
        <v>1.25</v>
      </c>
      <c r="G19" s="47">
        <f t="shared" si="8"/>
        <v>0.7096774772698307</v>
      </c>
      <c r="H19" s="47">
        <f t="shared" si="9"/>
        <v>0.6211675330005988</v>
      </c>
      <c r="I19" s="47">
        <v>0.55</v>
      </c>
      <c r="J19" s="49">
        <v>1.5E-06</v>
      </c>
      <c r="K19" s="50">
        <v>1.14082E-06</v>
      </c>
      <c r="L19" s="47">
        <f>0.75+0.3</f>
        <v>1.05</v>
      </c>
      <c r="M19" s="47">
        <f t="shared" si="10"/>
        <v>20766.930548765657</v>
      </c>
      <c r="N19" s="56">
        <v>0.020003066708423986</v>
      </c>
      <c r="O19" s="51">
        <f t="shared" si="11"/>
        <v>0.005678583404158598</v>
      </c>
      <c r="P19" s="53">
        <f t="shared" si="12"/>
        <v>0.02067048771718125</v>
      </c>
      <c r="Q19" s="46">
        <f t="shared" si="13"/>
        <v>0.02634907112133985</v>
      </c>
      <c r="R19" s="46">
        <v>0</v>
      </c>
      <c r="S19" s="47">
        <f t="shared" si="14"/>
        <v>2.431482685453116</v>
      </c>
      <c r="W19" s="30" t="e">
        <f t="shared" si="0"/>
        <v>#REF!</v>
      </c>
      <c r="X19" s="30" t="e">
        <f t="shared" si="1"/>
        <v>#REF!</v>
      </c>
      <c r="Y19" s="30">
        <v>1.5E-06</v>
      </c>
      <c r="Z19" s="30" t="e">
        <f t="shared" si="2"/>
        <v>#REF!</v>
      </c>
      <c r="AA19" s="30" t="e">
        <f t="shared" si="3"/>
        <v>#REF!</v>
      </c>
      <c r="AB19" s="30" t="e">
        <f t="shared" si="4"/>
        <v>#REF!</v>
      </c>
      <c r="AC19" s="30" t="e">
        <f t="shared" si="5"/>
        <v>#REF!</v>
      </c>
      <c r="AD19" s="30" t="e">
        <f t="shared" si="6"/>
        <v>#REF!</v>
      </c>
    </row>
    <row r="20" spans="1:30" ht="12.75">
      <c r="A20" s="30"/>
      <c r="B20" s="57" t="s">
        <v>74</v>
      </c>
      <c r="C20" s="47">
        <f>+C19+D34</f>
        <v>19</v>
      </c>
      <c r="D20" s="47">
        <f t="shared" si="7"/>
        <v>18.05</v>
      </c>
      <c r="E20" s="43">
        <v>0.03814</v>
      </c>
      <c r="F20" s="43">
        <v>1.25</v>
      </c>
      <c r="G20" s="47">
        <f t="shared" si="8"/>
        <v>0.8344200414858745</v>
      </c>
      <c r="H20" s="58">
        <f t="shared" si="9"/>
        <v>0.7303523857767384</v>
      </c>
      <c r="I20" s="47">
        <v>1.3</v>
      </c>
      <c r="J20" s="59">
        <v>1.5E-06</v>
      </c>
      <c r="K20" s="60">
        <v>1.14082E-06</v>
      </c>
      <c r="L20" s="58">
        <f>0.36+0.75+0.2</f>
        <v>1.3099999999999998</v>
      </c>
      <c r="M20" s="58">
        <f t="shared" si="10"/>
        <v>24417.208668786316</v>
      </c>
      <c r="N20" s="61">
        <v>0.019270820743503402</v>
      </c>
      <c r="O20" s="62">
        <f t="shared" si="11"/>
        <v>0.017876056079331768</v>
      </c>
      <c r="P20" s="63">
        <f t="shared" si="12"/>
        <v>0.035651690597285894</v>
      </c>
      <c r="Q20" s="64">
        <f t="shared" si="13"/>
        <v>0.053527746676617666</v>
      </c>
      <c r="R20" s="46">
        <v>0</v>
      </c>
      <c r="S20" s="58">
        <f t="shared" si="14"/>
        <v>2.4850104321297337</v>
      </c>
      <c r="W20" s="30" t="e">
        <f t="shared" si="0"/>
        <v>#REF!</v>
      </c>
      <c r="X20" s="30" t="e">
        <f t="shared" si="1"/>
        <v>#REF!</v>
      </c>
      <c r="Y20" s="30">
        <v>1.5E-06</v>
      </c>
      <c r="Z20" s="30" t="e">
        <f t="shared" si="2"/>
        <v>#REF!</v>
      </c>
      <c r="AA20" s="30" t="e">
        <f t="shared" si="3"/>
        <v>#REF!</v>
      </c>
      <c r="AB20" s="30" t="e">
        <f t="shared" si="4"/>
        <v>#REF!</v>
      </c>
      <c r="AC20" s="30" t="e">
        <f t="shared" si="5"/>
        <v>#REF!</v>
      </c>
      <c r="AD20" s="30" t="e">
        <f t="shared" si="6"/>
        <v>#REF!</v>
      </c>
    </row>
    <row r="21" spans="1:30" ht="12.75">
      <c r="A21" s="30"/>
      <c r="B21" s="78" t="s">
        <v>114</v>
      </c>
      <c r="C21" s="47">
        <f>+C20+D32</f>
        <v>24</v>
      </c>
      <c r="D21" s="47">
        <f t="shared" si="7"/>
        <v>22.799999999999997</v>
      </c>
      <c r="E21" s="43">
        <v>0.03814</v>
      </c>
      <c r="F21" s="43">
        <v>1.25</v>
      </c>
      <c r="G21" s="47">
        <f t="shared" si="8"/>
        <v>0.9792266186781035</v>
      </c>
      <c r="H21" s="47">
        <f t="shared" si="9"/>
        <v>0.8570988969705234</v>
      </c>
      <c r="I21" s="47">
        <v>5.2</v>
      </c>
      <c r="J21" s="49">
        <v>1.5E-06</v>
      </c>
      <c r="K21" s="50">
        <v>1.14082E-06</v>
      </c>
      <c r="L21" s="58">
        <f>6*0.75+0.3</f>
        <v>4.8</v>
      </c>
      <c r="M21" s="47">
        <f t="shared" si="10"/>
        <v>28654.609781083574</v>
      </c>
      <c r="N21" s="56">
        <v>0.018568614573109696</v>
      </c>
      <c r="O21" s="51">
        <f t="shared" si="11"/>
        <v>0.09488727129583731</v>
      </c>
      <c r="P21" s="53">
        <f t="shared" si="12"/>
        <v>0.17990657612769498</v>
      </c>
      <c r="Q21" s="46">
        <f t="shared" si="13"/>
        <v>0.2747938474235323</v>
      </c>
      <c r="R21" s="46">
        <v>0</v>
      </c>
      <c r="S21" s="47">
        <f t="shared" si="14"/>
        <v>2.759804279553266</v>
      </c>
      <c r="W21" s="30"/>
      <c r="X21" s="30"/>
      <c r="Y21" s="30"/>
      <c r="Z21" s="30"/>
      <c r="AA21" s="30"/>
      <c r="AB21" s="30"/>
      <c r="AC21" s="30"/>
      <c r="AD21" s="30"/>
    </row>
    <row r="22" spans="1:30" ht="12.75">
      <c r="A22" s="30"/>
      <c r="B22" s="78" t="s">
        <v>115</v>
      </c>
      <c r="C22" s="47">
        <f>+C21+1</f>
        <v>25</v>
      </c>
      <c r="D22" s="47">
        <f t="shared" si="7"/>
        <v>23.75</v>
      </c>
      <c r="E22" s="43">
        <v>0.03814</v>
      </c>
      <c r="F22" s="43">
        <v>1.25</v>
      </c>
      <c r="G22" s="47">
        <f t="shared" si="8"/>
        <v>1.0069952359183703</v>
      </c>
      <c r="H22" s="47">
        <f t="shared" si="9"/>
        <v>0.8814042525981701</v>
      </c>
      <c r="I22" s="47">
        <v>3.3</v>
      </c>
      <c r="J22" s="49">
        <v>1.5E-06</v>
      </c>
      <c r="K22" s="50">
        <v>1.14082E-06</v>
      </c>
      <c r="L22" s="58">
        <f>6*0.75+0.3</f>
        <v>4.8</v>
      </c>
      <c r="M22" s="47">
        <f t="shared" si="10"/>
        <v>29467.188683661057</v>
      </c>
      <c r="N22" s="56">
        <v>0.018568614573109696</v>
      </c>
      <c r="O22" s="51">
        <f t="shared" si="11"/>
        <v>0.06368057330821779</v>
      </c>
      <c r="P22" s="53">
        <f t="shared" si="12"/>
        <v>0.19025472404036053</v>
      </c>
      <c r="Q22" s="46">
        <f t="shared" si="13"/>
        <v>0.25393529734857834</v>
      </c>
      <c r="R22" s="46">
        <v>0</v>
      </c>
      <c r="S22" s="47">
        <f t="shared" si="14"/>
        <v>3.0137395769018442</v>
      </c>
      <c r="W22" s="30"/>
      <c r="X22" s="30"/>
      <c r="Y22" s="30"/>
      <c r="Z22" s="30"/>
      <c r="AA22" s="30"/>
      <c r="AB22" s="30"/>
      <c r="AC22" s="30"/>
      <c r="AD22" s="30"/>
    </row>
    <row r="23" spans="1:20" ht="12.75">
      <c r="A23" s="30"/>
      <c r="B23" s="78" t="s">
        <v>116</v>
      </c>
      <c r="C23" s="47">
        <f>+C22+E32+E34</f>
        <v>29</v>
      </c>
      <c r="D23" s="47">
        <f t="shared" si="7"/>
        <v>27.549999999999997</v>
      </c>
      <c r="E23" s="43">
        <v>0.04368</v>
      </c>
      <c r="F23" s="43">
        <v>1.5</v>
      </c>
      <c r="G23" s="47">
        <f t="shared" si="8"/>
        <v>1.114759388175231</v>
      </c>
      <c r="H23" s="47">
        <f t="shared" si="9"/>
        <v>0.7439178545568859</v>
      </c>
      <c r="I23" s="47">
        <v>2</v>
      </c>
      <c r="J23" s="49">
        <v>1.5E-06</v>
      </c>
      <c r="K23" s="50">
        <v>1.14082E-06</v>
      </c>
      <c r="L23" s="58">
        <f>6*0.75+0.3</f>
        <v>4.8</v>
      </c>
      <c r="M23" s="47">
        <f t="shared" si="10"/>
        <v>28483.311904634185</v>
      </c>
      <c r="N23" s="56">
        <v>0.018568614573109696</v>
      </c>
      <c r="O23" s="51">
        <f t="shared" si="11"/>
        <v>0.024006053008326318</v>
      </c>
      <c r="P23" s="53">
        <f t="shared" si="12"/>
        <v>0.13552990391718855</v>
      </c>
      <c r="Q23" s="46">
        <f t="shared" si="13"/>
        <v>0.15953595692551487</v>
      </c>
      <c r="R23" s="46">
        <v>0</v>
      </c>
      <c r="S23" s="47">
        <f t="shared" si="14"/>
        <v>3.173275533827359</v>
      </c>
      <c r="T23" s="65"/>
    </row>
    <row r="24" spans="1:20" ht="12.75">
      <c r="A24" s="30"/>
      <c r="B24" s="78" t="s">
        <v>117</v>
      </c>
      <c r="C24" s="47">
        <f>+C23+3*D34+2*D33+2*D32</f>
        <v>55</v>
      </c>
      <c r="D24" s="47">
        <f t="shared" si="7"/>
        <v>52.25</v>
      </c>
      <c r="E24" s="43">
        <v>0.05458</v>
      </c>
      <c r="F24" s="43">
        <v>2</v>
      </c>
      <c r="G24" s="47">
        <f t="shared" si="8"/>
        <v>1.7281719518608452</v>
      </c>
      <c r="H24" s="47">
        <f t="shared" si="9"/>
        <v>0.7386334862488791</v>
      </c>
      <c r="I24" s="47">
        <f>11+2.36</f>
        <v>13.36</v>
      </c>
      <c r="J24" s="49">
        <v>1.5E-06</v>
      </c>
      <c r="K24" s="50">
        <v>1.14082E-06</v>
      </c>
      <c r="L24" s="58">
        <f>6*0.75+0.3</f>
        <v>4.8</v>
      </c>
      <c r="M24" s="47">
        <f t="shared" si="10"/>
        <v>35338.27920220878</v>
      </c>
      <c r="N24" s="56">
        <v>0.018568614573109696</v>
      </c>
      <c r="O24" s="51">
        <f t="shared" si="11"/>
        <v>0.12651858979181863</v>
      </c>
      <c r="P24" s="53">
        <f t="shared" si="12"/>
        <v>0.13361128824689955</v>
      </c>
      <c r="Q24" s="46">
        <f t="shared" si="13"/>
        <v>0.2601298780387182</v>
      </c>
      <c r="R24" s="46">
        <f>-2.56+0.2</f>
        <v>-2.36</v>
      </c>
      <c r="S24" s="47">
        <f t="shared" si="14"/>
        <v>1.0734054118660774</v>
      </c>
      <c r="T24" s="65"/>
    </row>
    <row r="25" spans="1:20" ht="15">
      <c r="A25" s="30"/>
      <c r="B25" s="55"/>
      <c r="C25" s="47"/>
      <c r="D25" s="47"/>
      <c r="E25" s="43"/>
      <c r="F25" s="47"/>
      <c r="G25" s="47"/>
      <c r="H25" s="47"/>
      <c r="I25" s="47"/>
      <c r="J25" s="49"/>
      <c r="K25" s="50"/>
      <c r="L25" s="47"/>
      <c r="M25" s="47"/>
      <c r="N25" s="56"/>
      <c r="O25" s="111" t="s">
        <v>108</v>
      </c>
      <c r="P25" s="112"/>
      <c r="Q25" s="112"/>
      <c r="R25" s="113"/>
      <c r="S25" s="93">
        <f>ROUND(S24,2)</f>
        <v>1.07</v>
      </c>
      <c r="T25" s="65"/>
    </row>
    <row r="26" spans="1:20" ht="12.75">
      <c r="A26" s="30"/>
      <c r="B26" s="66"/>
      <c r="C26" s="67"/>
      <c r="D26" s="67"/>
      <c r="E26" s="31"/>
      <c r="F26" s="31"/>
      <c r="G26" s="67"/>
      <c r="H26" s="67"/>
      <c r="I26" s="67"/>
      <c r="J26" s="68"/>
      <c r="K26" s="69"/>
      <c r="L26" s="67"/>
      <c r="M26" s="67"/>
      <c r="N26" s="70"/>
      <c r="O26" s="71"/>
      <c r="P26" s="72"/>
      <c r="Q26" s="32"/>
      <c r="R26" s="32"/>
      <c r="S26" s="67"/>
      <c r="T26" s="31"/>
    </row>
    <row r="27" spans="1:20" ht="14.25" customHeight="1">
      <c r="A27" s="30"/>
      <c r="B27" s="88"/>
      <c r="D27" s="67"/>
      <c r="E27" s="31"/>
      <c r="F27" s="67"/>
      <c r="G27" s="67"/>
      <c r="H27" s="67"/>
      <c r="I27" s="67"/>
      <c r="J27" s="68"/>
      <c r="K27" s="69"/>
      <c r="L27" s="67"/>
      <c r="M27" s="67"/>
      <c r="N27" s="70"/>
      <c r="O27" s="71"/>
      <c r="P27" s="72"/>
      <c r="Q27" s="32"/>
      <c r="R27" s="32"/>
      <c r="S27" s="67"/>
      <c r="T27" s="73"/>
    </row>
    <row r="29" spans="2:5" ht="12.75">
      <c r="B29" s="109" t="s">
        <v>91</v>
      </c>
      <c r="C29" s="109"/>
      <c r="D29" s="109"/>
      <c r="E29" s="109"/>
    </row>
    <row r="30" spans="2:5" ht="15">
      <c r="B30" s="110" t="s">
        <v>92</v>
      </c>
      <c r="C30" s="110"/>
      <c r="D30" s="110"/>
      <c r="E30" s="110"/>
    </row>
    <row r="31" spans="2:5" ht="15">
      <c r="B31" s="79"/>
      <c r="C31" s="80"/>
      <c r="D31" s="81" t="s">
        <v>93</v>
      </c>
      <c r="E31" s="82" t="s">
        <v>94</v>
      </c>
    </row>
    <row r="32" spans="2:5" ht="15">
      <c r="B32" s="83" t="s">
        <v>95</v>
      </c>
      <c r="C32" s="84"/>
      <c r="D32" s="85">
        <v>5</v>
      </c>
      <c r="E32" s="85">
        <v>3</v>
      </c>
    </row>
    <row r="33" spans="2:5" ht="15">
      <c r="B33" s="83" t="s">
        <v>96</v>
      </c>
      <c r="C33" s="84"/>
      <c r="D33" s="85">
        <v>2</v>
      </c>
      <c r="E33" s="85"/>
    </row>
    <row r="34" spans="2:31" ht="15">
      <c r="B34" s="83" t="s">
        <v>97</v>
      </c>
      <c r="C34" s="84"/>
      <c r="D34" s="85">
        <v>4</v>
      </c>
      <c r="E34" s="85">
        <v>1</v>
      </c>
      <c r="U34" s="65" t="s">
        <v>25</v>
      </c>
      <c r="AC34" s="28" t="s">
        <v>75</v>
      </c>
      <c r="AD34" s="28" t="s">
        <v>25</v>
      </c>
      <c r="AE34" s="28" t="s">
        <v>76</v>
      </c>
    </row>
    <row r="35" spans="2:31" ht="15">
      <c r="B35" s="83" t="s">
        <v>98</v>
      </c>
      <c r="C35" s="84"/>
      <c r="D35" s="85">
        <v>4</v>
      </c>
      <c r="E35" s="86">
        <v>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W35" s="43">
        <v>0.5</v>
      </c>
      <c r="X35" s="43">
        <v>0.0166</v>
      </c>
      <c r="Z35" s="28" t="s">
        <v>77</v>
      </c>
      <c r="AA35" s="28">
        <v>0.00015</v>
      </c>
      <c r="AC35" s="28" t="s">
        <v>78</v>
      </c>
      <c r="AE35" s="28">
        <v>10</v>
      </c>
    </row>
    <row r="36" spans="2:24" ht="15">
      <c r="B36" s="83" t="s">
        <v>99</v>
      </c>
      <c r="C36" s="84"/>
      <c r="D36" s="85">
        <v>2</v>
      </c>
      <c r="E36" s="85">
        <v>2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W36" s="43"/>
      <c r="X36" s="43"/>
    </row>
    <row r="37" spans="2:24" ht="15">
      <c r="B37" s="83" t="s">
        <v>100</v>
      </c>
      <c r="C37" s="84"/>
      <c r="D37" s="85">
        <v>4</v>
      </c>
      <c r="E37" s="8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W37" s="43"/>
      <c r="X37" s="43"/>
    </row>
    <row r="38" spans="2:24" ht="12.75">
      <c r="B38" s="99" t="s">
        <v>101</v>
      </c>
      <c r="C38" s="100"/>
      <c r="D38" s="103">
        <v>3</v>
      </c>
      <c r="E38" s="10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W38" s="43"/>
      <c r="X38" s="43"/>
    </row>
    <row r="39" spans="2:24" ht="12.75">
      <c r="B39" s="101"/>
      <c r="C39" s="102"/>
      <c r="D39" s="104"/>
      <c r="E39" s="104"/>
      <c r="F39" s="30"/>
      <c r="G39" s="74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W39" s="43"/>
      <c r="X39" s="43"/>
    </row>
    <row r="40" spans="2:31" ht="15">
      <c r="B40" s="87" t="s">
        <v>102</v>
      </c>
      <c r="C40" s="84"/>
      <c r="D40" s="85">
        <v>2</v>
      </c>
      <c r="E40" s="86">
        <v>1.5</v>
      </c>
      <c r="F40" s="30"/>
      <c r="G40" s="3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W40" s="43">
        <v>0.75</v>
      </c>
      <c r="X40" s="43">
        <v>0.02181</v>
      </c>
      <c r="Z40" s="28" t="s">
        <v>79</v>
      </c>
      <c r="AC40" s="28" t="s">
        <v>80</v>
      </c>
      <c r="AE40" s="28">
        <v>5</v>
      </c>
    </row>
    <row r="41" spans="2:31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U41" s="28">
        <f>10.65+2.75</f>
        <v>13.4</v>
      </c>
      <c r="W41" s="43">
        <v>1</v>
      </c>
      <c r="X41" s="43">
        <v>0.02848</v>
      </c>
      <c r="AC41" s="28" t="s">
        <v>81</v>
      </c>
      <c r="AE41" s="28">
        <v>2.5</v>
      </c>
    </row>
    <row r="42" spans="2:31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W42" s="43">
        <v>1.25</v>
      </c>
      <c r="X42" s="43">
        <v>0.03814</v>
      </c>
      <c r="AC42" s="28" t="s">
        <v>82</v>
      </c>
      <c r="AE42" s="28">
        <v>0.2</v>
      </c>
    </row>
    <row r="43" spans="2:24" ht="12.75">
      <c r="B43" s="75"/>
      <c r="C43" s="30"/>
      <c r="D43" s="30"/>
      <c r="E43" s="30"/>
      <c r="F43" s="31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W43" s="43">
        <v>1.5</v>
      </c>
      <c r="X43" s="43">
        <v>0.04368</v>
      </c>
    </row>
    <row r="44" spans="2:31" ht="12.75">
      <c r="B44" s="75"/>
      <c r="C44" s="75"/>
      <c r="D44" s="30"/>
      <c r="E44" s="30"/>
      <c r="F44" s="31"/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W44" s="43">
        <v>2</v>
      </c>
      <c r="X44" s="43">
        <v>0.05458</v>
      </c>
      <c r="AC44" s="28" t="s">
        <v>83</v>
      </c>
      <c r="AE44" s="28">
        <v>0.75</v>
      </c>
    </row>
    <row r="45" spans="2:31" ht="12.75">
      <c r="B45" s="75"/>
      <c r="C45" s="75"/>
      <c r="D45" s="30"/>
      <c r="E45" s="30"/>
      <c r="F45" s="31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W45" s="43">
        <v>2.5</v>
      </c>
      <c r="X45" s="43">
        <v>0.06607</v>
      </c>
      <c r="AC45" s="28" t="s">
        <v>84</v>
      </c>
      <c r="AE45" s="28">
        <v>0.41</v>
      </c>
    </row>
    <row r="46" spans="2:24" ht="12.75">
      <c r="B46" s="75"/>
      <c r="C46" s="75"/>
      <c r="D46" s="30"/>
      <c r="E46" s="30"/>
      <c r="F46" s="31"/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W46" s="43"/>
      <c r="X46" s="43"/>
    </row>
    <row r="47" spans="2:24" ht="12.75">
      <c r="B47" s="75"/>
      <c r="C47" s="75"/>
      <c r="D47" s="30"/>
      <c r="E47" s="30"/>
      <c r="F47" s="31"/>
      <c r="G47" s="6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W47" s="43"/>
      <c r="X47" s="43"/>
    </row>
    <row r="48" spans="2:31" ht="12.75">
      <c r="B48" s="75"/>
      <c r="C48" s="75"/>
      <c r="D48" s="30"/>
      <c r="E48" s="30"/>
      <c r="F48" s="31"/>
      <c r="G48" s="6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W48" s="43">
        <v>3</v>
      </c>
      <c r="X48" s="43">
        <v>0.08042</v>
      </c>
      <c r="AC48" s="28" t="s">
        <v>85</v>
      </c>
      <c r="AE48" s="28">
        <v>0.3</v>
      </c>
    </row>
    <row r="49" spans="2:24" ht="12.75">
      <c r="B49" s="75"/>
      <c r="C49" s="75"/>
      <c r="D49" s="30"/>
      <c r="E49" s="30"/>
      <c r="F49" s="31"/>
      <c r="G49" s="67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W49" s="31"/>
      <c r="X49" s="31"/>
    </row>
    <row r="50" spans="2:24" ht="12.75">
      <c r="B50" s="75"/>
      <c r="C50" s="75"/>
      <c r="D50" s="30"/>
      <c r="E50" s="30"/>
      <c r="F50" s="31"/>
      <c r="G50" s="6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W50" s="31"/>
      <c r="X50" s="31"/>
    </row>
    <row r="51" spans="2:31" ht="12.75">
      <c r="B51" s="30"/>
      <c r="C51" s="30"/>
      <c r="D51" s="30"/>
      <c r="E51" s="30"/>
      <c r="F51" s="31"/>
      <c r="G51" s="67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W51" s="65">
        <v>4</v>
      </c>
      <c r="X51" s="65">
        <v>0.10342</v>
      </c>
      <c r="AC51" s="28" t="s">
        <v>86</v>
      </c>
      <c r="AE51" s="28">
        <v>1.1</v>
      </c>
    </row>
    <row r="52" spans="2:19" ht="12.75">
      <c r="B52" s="30"/>
      <c r="C52" s="30"/>
      <c r="D52" s="30"/>
      <c r="E52" s="30"/>
      <c r="F52" s="31"/>
      <c r="G52" s="67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2:19" ht="12.75">
      <c r="B53" s="30"/>
      <c r="C53" s="30"/>
      <c r="D53" s="30"/>
      <c r="E53" s="30"/>
      <c r="F53" s="31"/>
      <c r="G53" s="6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2:19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2:19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2:19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2:19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2:19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2:19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2:19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2:19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2:19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2:19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2:19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2:19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2:19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2:19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2:19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2:19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2:19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2:19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2:19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2:19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2:19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2:19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2:19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2:19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2:19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2:19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2:19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2:19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2:19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2:19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2:19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2:19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2:19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2:19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2:19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2:19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2:19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2:19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2:19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2:19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2:19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2:19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2:19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2:19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2:19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2:19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2:19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2:19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2:19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2:19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</sheetData>
  <sheetProtection/>
  <mergeCells count="9">
    <mergeCell ref="B38:C39"/>
    <mergeCell ref="D38:D39"/>
    <mergeCell ref="E38:E39"/>
    <mergeCell ref="B1:S1"/>
    <mergeCell ref="B3:S3"/>
    <mergeCell ref="B15:L15"/>
    <mergeCell ref="B29:E29"/>
    <mergeCell ref="B30:E30"/>
    <mergeCell ref="O25:R25"/>
  </mergeCells>
  <printOptions/>
  <pageMargins left="0.984251968503937" right="0.3937007874015748" top="1.6535433070866143" bottom="0.9448818897637796" header="1.6141732283464567" footer="0.5118110236220472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85" zoomScaleNormal="70" zoomScaleSheetLayoutView="85" zoomScalePageLayoutView="0" workbookViewId="0" topLeftCell="A1">
      <selection activeCell="F21" sqref="F21"/>
    </sheetView>
  </sheetViews>
  <sheetFormatPr defaultColWidth="9.140625" defaultRowHeight="15"/>
  <cols>
    <col min="1" max="1" width="2.00390625" style="2" customWidth="1"/>
    <col min="2" max="2" width="4.140625" style="2" customWidth="1"/>
    <col min="3" max="3" width="12.8515625" style="2" customWidth="1"/>
    <col min="4" max="4" width="10.28125" style="2" customWidth="1"/>
    <col min="5" max="5" width="18.140625" style="2" customWidth="1"/>
    <col min="6" max="6" width="12.00390625" style="2" customWidth="1"/>
    <col min="7" max="7" width="18.7109375" style="2" customWidth="1"/>
    <col min="8" max="8" width="3.421875" style="2" customWidth="1"/>
    <col min="9" max="9" width="9.7109375" style="2" customWidth="1"/>
    <col min="10" max="10" width="9.140625" style="2" customWidth="1"/>
    <col min="11" max="11" width="10.7109375" style="2" customWidth="1"/>
    <col min="12" max="12" width="12.28125" style="2" customWidth="1"/>
    <col min="13" max="13" width="2.421875" style="2" customWidth="1"/>
    <col min="14" max="14" width="11.57421875" style="2" bestFit="1" customWidth="1"/>
    <col min="15" max="16384" width="9.140625" style="2" customWidth="1"/>
  </cols>
  <sheetData>
    <row r="1" spans="1:2" ht="12.75">
      <c r="A1" s="1"/>
      <c r="B1" s="1"/>
    </row>
    <row r="2" spans="1:19" ht="6.7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1"/>
      <c r="B3" s="1"/>
      <c r="C3" s="98" t="s">
        <v>112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5" t="s">
        <v>23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29" t="s">
        <v>109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" ht="12.75">
      <c r="A8" s="1"/>
      <c r="B8" s="1"/>
    </row>
    <row r="9" spans="1:2" ht="6.75" customHeight="1">
      <c r="A9" s="1"/>
      <c r="B9" s="1"/>
    </row>
    <row r="10" spans="1:2" ht="5.25" customHeight="1">
      <c r="A10" s="1"/>
      <c r="B10" s="1"/>
    </row>
    <row r="11" spans="1:3" ht="12.75">
      <c r="A11" s="1"/>
      <c r="B11" s="1"/>
      <c r="C11" s="2" t="s">
        <v>0</v>
      </c>
    </row>
    <row r="12" spans="1:2" ht="12" customHeight="1">
      <c r="A12" s="1"/>
      <c r="B12" s="1"/>
    </row>
    <row r="13" spans="1:15" ht="12" customHeight="1">
      <c r="A13" s="1"/>
      <c r="B13" s="1"/>
      <c r="C13" s="26" t="s">
        <v>111</v>
      </c>
      <c r="F13" s="2">
        <v>5</v>
      </c>
      <c r="G13" s="7" t="s">
        <v>103</v>
      </c>
      <c r="L13" s="1"/>
      <c r="M13" s="1"/>
      <c r="N13" s="1"/>
      <c r="O13" s="1"/>
    </row>
    <row r="14" spans="1:15" ht="12" customHeight="1">
      <c r="A14" s="1"/>
      <c r="B14" s="1"/>
      <c r="L14" s="1"/>
      <c r="M14" s="1"/>
      <c r="N14" s="1"/>
      <c r="O14" s="1"/>
    </row>
    <row r="15" spans="1:15" ht="12" customHeight="1">
      <c r="A15" s="1"/>
      <c r="B15" s="1"/>
      <c r="C15" s="11" t="s">
        <v>1</v>
      </c>
      <c r="E15" s="10"/>
      <c r="F15" s="6">
        <v>150</v>
      </c>
      <c r="G15" s="7" t="s">
        <v>89</v>
      </c>
      <c r="L15" s="1"/>
      <c r="M15" s="1"/>
      <c r="N15" s="1"/>
      <c r="O15" s="1"/>
    </row>
    <row r="16" spans="1:15" ht="12" customHeight="1">
      <c r="A16" s="1"/>
      <c r="B16" s="1"/>
      <c r="L16" s="1"/>
      <c r="M16" s="1"/>
      <c r="N16" s="1"/>
      <c r="O16" s="1"/>
    </row>
    <row r="17" spans="1:15" ht="12" customHeight="1">
      <c r="A17" s="1"/>
      <c r="B17" s="1"/>
      <c r="C17" s="26" t="s">
        <v>110</v>
      </c>
      <c r="F17" s="6">
        <v>2</v>
      </c>
      <c r="G17" s="7" t="s">
        <v>88</v>
      </c>
      <c r="L17" s="1"/>
      <c r="M17" s="1"/>
      <c r="N17" s="1"/>
      <c r="O17" s="1"/>
    </row>
    <row r="18" spans="1:15" ht="12" customHeight="1">
      <c r="A18" s="1"/>
      <c r="B18" s="1"/>
      <c r="L18" s="1"/>
      <c r="M18" s="1"/>
      <c r="N18" s="1"/>
      <c r="O18" s="1"/>
    </row>
    <row r="19" spans="1:15" ht="12" customHeight="1">
      <c r="A19" s="1"/>
      <c r="B19" s="1"/>
      <c r="C19" s="11" t="s">
        <v>1</v>
      </c>
      <c r="E19" s="10"/>
      <c r="F19" s="94">
        <v>90</v>
      </c>
      <c r="G19" s="7" t="s">
        <v>104</v>
      </c>
      <c r="L19" s="1"/>
      <c r="M19" s="1"/>
      <c r="N19" s="1"/>
      <c r="O19" s="1"/>
    </row>
    <row r="20" spans="1:15" ht="12" customHeight="1">
      <c r="A20" s="1"/>
      <c r="B20" s="1"/>
      <c r="L20" s="1"/>
      <c r="M20" s="1"/>
      <c r="N20" s="1"/>
      <c r="O20" s="1"/>
    </row>
    <row r="21" spans="1:15" ht="12" customHeight="1">
      <c r="A21" s="1"/>
      <c r="B21" s="1"/>
      <c r="C21" s="11" t="s">
        <v>90</v>
      </c>
      <c r="E21" s="10"/>
      <c r="F21" s="95">
        <f>+(F19*F17+F13*F15)/1000</f>
        <v>0.93</v>
      </c>
      <c r="G21" s="7" t="s">
        <v>2</v>
      </c>
      <c r="J21" s="96">
        <f>1.2*F21</f>
        <v>1.116</v>
      </c>
      <c r="L21" s="1"/>
      <c r="M21" s="1"/>
      <c r="N21" s="1"/>
      <c r="O21" s="1"/>
    </row>
    <row r="22" spans="1:18" ht="13.5" customHeight="1">
      <c r="A22" s="8"/>
      <c r="B22" s="9"/>
      <c r="C22" s="11"/>
      <c r="E22" s="10"/>
      <c r="F22" s="97"/>
      <c r="G22" s="7"/>
      <c r="H22" s="10"/>
      <c r="I22" s="10"/>
      <c r="L22" s="2" t="s">
        <v>3</v>
      </c>
      <c r="N22" s="89">
        <v>5</v>
      </c>
      <c r="O22" s="1"/>
      <c r="P22" s="2" t="s">
        <v>3</v>
      </c>
      <c r="R22" s="89">
        <v>3</v>
      </c>
    </row>
    <row r="23" spans="1:18" ht="13.5" customHeight="1">
      <c r="A23" s="8"/>
      <c r="B23" s="9"/>
      <c r="E23" s="10"/>
      <c r="F23" s="27"/>
      <c r="G23" s="7"/>
      <c r="H23" s="10"/>
      <c r="I23" s="10"/>
      <c r="L23" s="2" t="s">
        <v>106</v>
      </c>
      <c r="N23" s="76">
        <v>6</v>
      </c>
      <c r="O23" s="1"/>
      <c r="P23" s="2" t="s">
        <v>87</v>
      </c>
      <c r="R23" s="76">
        <v>6.2</v>
      </c>
    </row>
    <row r="24" spans="1:15" ht="5.25" customHeight="1">
      <c r="A24" s="8"/>
      <c r="B24" s="9"/>
      <c r="E24" s="10"/>
      <c r="F24" s="10"/>
      <c r="G24" s="10"/>
      <c r="H24" s="10"/>
      <c r="I24" s="10"/>
      <c r="O24" s="1"/>
    </row>
    <row r="25" spans="1:18" ht="13.5" customHeight="1">
      <c r="A25" s="8"/>
      <c r="B25" s="9"/>
      <c r="C25" s="90" t="s">
        <v>105</v>
      </c>
      <c r="E25" s="10"/>
      <c r="F25" s="10"/>
      <c r="H25" s="10"/>
      <c r="I25" s="10"/>
      <c r="L25" s="2" t="s">
        <v>24</v>
      </c>
      <c r="N25" s="76" t="e">
        <f>+N23*#REF!*#REF!</f>
        <v>#REF!</v>
      </c>
      <c r="O25" s="1"/>
      <c r="P25" s="2" t="s">
        <v>24</v>
      </c>
      <c r="R25" s="76">
        <f>+R23*R22</f>
        <v>18.6</v>
      </c>
    </row>
    <row r="26" spans="1:15" ht="6" customHeight="1">
      <c r="A26" s="8"/>
      <c r="B26" s="9"/>
      <c r="E26" s="10"/>
      <c r="F26" s="10"/>
      <c r="G26" s="10"/>
      <c r="H26" s="10"/>
      <c r="I26" s="10"/>
      <c r="O26" s="1"/>
    </row>
    <row r="27" spans="1:15" ht="8.25" customHeight="1">
      <c r="A27" s="8"/>
      <c r="B27" s="9"/>
      <c r="E27" s="10"/>
      <c r="F27" s="10"/>
      <c r="G27" s="10"/>
      <c r="H27" s="10"/>
      <c r="I27" s="10"/>
      <c r="O27" s="1"/>
    </row>
    <row r="28" spans="1:15" ht="13.5" customHeight="1">
      <c r="A28" s="8"/>
      <c r="B28" s="9"/>
      <c r="C28" s="11" t="s">
        <v>4</v>
      </c>
      <c r="E28" s="10"/>
      <c r="F28" s="10">
        <v>4</v>
      </c>
      <c r="G28" s="15" t="s">
        <v>5</v>
      </c>
      <c r="H28" s="10"/>
      <c r="I28" s="10"/>
      <c r="J28" s="12"/>
      <c r="K28" s="13"/>
      <c r="L28" s="9" t="s">
        <v>107</v>
      </c>
      <c r="M28" s="8"/>
      <c r="N28" s="1" t="e">
        <f>0.2+#REF!</f>
        <v>#REF!</v>
      </c>
      <c r="O28" s="1"/>
    </row>
    <row r="29" spans="1:15" ht="13.5" customHeight="1">
      <c r="A29" s="8"/>
      <c r="B29" s="9"/>
      <c r="E29" s="10"/>
      <c r="F29" s="10"/>
      <c r="G29" s="10"/>
      <c r="H29" s="10"/>
      <c r="I29" s="10"/>
      <c r="J29" s="10"/>
      <c r="K29" s="10"/>
      <c r="L29" s="9"/>
      <c r="M29" s="8"/>
      <c r="N29" s="1"/>
      <c r="O29" s="1"/>
    </row>
    <row r="30" spans="1:18" ht="13.5" customHeight="1">
      <c r="A30" s="8"/>
      <c r="B30" s="9"/>
      <c r="C30" s="11" t="s">
        <v>4</v>
      </c>
      <c r="E30" s="10"/>
      <c r="F30" s="16">
        <f>F28*60*60</f>
        <v>14400</v>
      </c>
      <c r="G30" s="17" t="s">
        <v>6</v>
      </c>
      <c r="H30" s="10"/>
      <c r="I30" s="10"/>
      <c r="J30" s="10"/>
      <c r="K30" s="10"/>
      <c r="L30" s="9"/>
      <c r="M30" s="8"/>
      <c r="N30" s="1"/>
      <c r="O30" s="1"/>
      <c r="R30" s="2">
        <f>2.3-1.95</f>
        <v>0.34999999999999987</v>
      </c>
    </row>
    <row r="31" spans="1:15" ht="13.5" customHeight="1">
      <c r="A31" s="8"/>
      <c r="B31" s="9"/>
      <c r="E31" s="10"/>
      <c r="F31" s="10"/>
      <c r="G31" s="10"/>
      <c r="H31" s="10"/>
      <c r="I31" s="10"/>
      <c r="J31" s="10"/>
      <c r="K31" s="10"/>
      <c r="L31" s="9"/>
      <c r="M31" s="8"/>
      <c r="N31" s="1"/>
      <c r="O31" s="1"/>
    </row>
    <row r="32" spans="1:15" ht="13.5" customHeight="1">
      <c r="A32" s="8"/>
      <c r="B32" s="9"/>
      <c r="C32" s="2" t="s">
        <v>7</v>
      </c>
      <c r="E32" s="10"/>
      <c r="F32" s="18">
        <f>(F21)*1000/F30</f>
        <v>0.06458333333333334</v>
      </c>
      <c r="G32" s="19" t="s">
        <v>8</v>
      </c>
      <c r="H32" s="10"/>
      <c r="I32" s="10"/>
      <c r="J32" s="10"/>
      <c r="K32" s="25"/>
      <c r="L32" s="14"/>
      <c r="M32" s="8"/>
      <c r="N32" s="1"/>
      <c r="O32" s="1"/>
    </row>
    <row r="33" spans="1:15" ht="13.5" customHeight="1">
      <c r="A33" s="8"/>
      <c r="B33" s="9"/>
      <c r="E33" s="10"/>
      <c r="F33" s="16"/>
      <c r="G33" s="10"/>
      <c r="H33" s="10"/>
      <c r="I33" s="10"/>
      <c r="L33" s="9"/>
      <c r="M33" s="8"/>
      <c r="N33" s="1"/>
      <c r="O33" s="1"/>
    </row>
    <row r="34" spans="1:15" ht="13.5" customHeight="1">
      <c r="A34" s="8"/>
      <c r="B34" s="9"/>
      <c r="C34" s="11" t="s">
        <v>9</v>
      </c>
      <c r="E34" s="10"/>
      <c r="F34" s="16">
        <v>50</v>
      </c>
      <c r="G34" s="17" t="s">
        <v>10</v>
      </c>
      <c r="H34" s="10"/>
      <c r="I34" s="10"/>
      <c r="J34" s="10"/>
      <c r="K34" s="10"/>
      <c r="L34" s="9"/>
      <c r="M34" s="8"/>
      <c r="N34" s="1"/>
      <c r="O34" s="1"/>
    </row>
    <row r="35" spans="1:15" ht="13.5" customHeight="1">
      <c r="A35" s="8"/>
      <c r="B35" s="9"/>
      <c r="E35" s="10"/>
      <c r="F35" s="16"/>
      <c r="G35" s="17"/>
      <c r="H35" s="10"/>
      <c r="I35" s="10"/>
      <c r="J35" s="10"/>
      <c r="K35" s="10"/>
      <c r="L35" s="9"/>
      <c r="M35" s="8"/>
      <c r="N35" s="1"/>
      <c r="O35" s="1"/>
    </row>
    <row r="36" spans="1:15" ht="13.5" customHeight="1">
      <c r="A36" s="8"/>
      <c r="B36" s="9"/>
      <c r="C36" s="11" t="s">
        <v>11</v>
      </c>
      <c r="E36" s="10"/>
      <c r="F36" s="16">
        <v>15</v>
      </c>
      <c r="G36" s="17" t="s">
        <v>12</v>
      </c>
      <c r="H36" s="10"/>
      <c r="I36" s="10"/>
      <c r="J36" s="10"/>
      <c r="K36" s="10"/>
      <c r="L36" s="9"/>
      <c r="M36" s="8"/>
      <c r="N36" s="1"/>
      <c r="O36" s="1"/>
    </row>
    <row r="37" spans="1:15" ht="13.5" customHeight="1">
      <c r="A37" s="8"/>
      <c r="B37" s="9"/>
      <c r="E37" s="10"/>
      <c r="F37" s="16"/>
      <c r="G37" s="17"/>
      <c r="H37" s="10"/>
      <c r="I37" s="10"/>
      <c r="J37" s="10"/>
      <c r="K37" s="10"/>
      <c r="L37" s="9"/>
      <c r="M37" s="8"/>
      <c r="N37" s="1"/>
      <c r="O37" s="1"/>
    </row>
    <row r="38" spans="1:15" ht="13.5" customHeight="1">
      <c r="A38" s="8"/>
      <c r="B38" s="9"/>
      <c r="C38" s="11" t="s">
        <v>13</v>
      </c>
      <c r="E38" s="10"/>
      <c r="F38" s="20">
        <f>F36/(1.5*F34)</f>
        <v>0.2</v>
      </c>
      <c r="G38" s="17" t="s">
        <v>14</v>
      </c>
      <c r="H38" s="10"/>
      <c r="I38" s="10"/>
      <c r="J38" s="10"/>
      <c r="K38" s="10"/>
      <c r="L38" s="9"/>
      <c r="M38" s="8"/>
      <c r="N38" s="1"/>
      <c r="O38" s="1"/>
    </row>
    <row r="39" spans="1:15" ht="13.5" customHeight="1">
      <c r="A39" s="8"/>
      <c r="B39" s="9"/>
      <c r="E39" s="10"/>
      <c r="F39" s="16"/>
      <c r="G39" s="17"/>
      <c r="H39" s="10"/>
      <c r="I39" s="10"/>
      <c r="J39" s="10"/>
      <c r="K39" s="10"/>
      <c r="L39" s="9"/>
      <c r="M39" s="8"/>
      <c r="N39" s="1"/>
      <c r="O39" s="1">
        <f>760/500</f>
        <v>1.52</v>
      </c>
    </row>
    <row r="40" spans="1:15" ht="13.5" customHeight="1">
      <c r="A40" s="8"/>
      <c r="B40" s="9"/>
      <c r="C40" s="11" t="s">
        <v>15</v>
      </c>
      <c r="E40" s="10"/>
      <c r="F40" s="16">
        <v>150</v>
      </c>
      <c r="G40" s="17" t="s">
        <v>16</v>
      </c>
      <c r="H40" s="10"/>
      <c r="I40" s="10"/>
      <c r="J40" s="10"/>
      <c r="K40" s="10"/>
      <c r="L40" s="9"/>
      <c r="M40" s="8"/>
      <c r="N40" s="1"/>
      <c r="O40" s="1"/>
    </row>
    <row r="41" spans="1:15" ht="13.5" customHeight="1">
      <c r="A41" s="8"/>
      <c r="B41" s="9"/>
      <c r="E41" s="10"/>
      <c r="F41" s="16"/>
      <c r="G41" s="10"/>
      <c r="H41" s="10"/>
      <c r="I41" s="10"/>
      <c r="J41" s="10"/>
      <c r="K41" s="10"/>
      <c r="L41" s="9"/>
      <c r="M41" s="8"/>
      <c r="N41" s="1"/>
      <c r="O41" s="1"/>
    </row>
    <row r="42" spans="1:15" ht="13.5" customHeight="1">
      <c r="A42" s="8"/>
      <c r="B42" s="9"/>
      <c r="C42" s="21" t="s">
        <v>17</v>
      </c>
      <c r="E42" s="10"/>
      <c r="F42" s="20">
        <f>+(F32/(280*150*F38^0.54))^0.38</f>
        <v>0.0085988364352092</v>
      </c>
      <c r="G42" s="17" t="s">
        <v>18</v>
      </c>
      <c r="H42" s="10"/>
      <c r="I42" s="10"/>
      <c r="J42" s="10"/>
      <c r="K42" s="10"/>
      <c r="L42" s="9"/>
      <c r="M42" s="8"/>
      <c r="N42" s="1"/>
      <c r="O42" s="1"/>
    </row>
    <row r="43" spans="1:17" ht="13.5" customHeight="1">
      <c r="A43" s="8"/>
      <c r="B43" s="9"/>
      <c r="E43" s="10"/>
      <c r="F43" s="16"/>
      <c r="G43" s="17"/>
      <c r="H43" s="10"/>
      <c r="I43" s="10"/>
      <c r="J43" s="10"/>
      <c r="K43" s="10"/>
      <c r="L43" s="9"/>
      <c r="M43" s="8"/>
      <c r="N43" s="1"/>
      <c r="O43" s="1"/>
      <c r="Q43" s="2">
        <f>1.2*1.2*PI()/4</f>
        <v>1.1309733552923256</v>
      </c>
    </row>
    <row r="44" spans="1:17" ht="13.5" customHeight="1">
      <c r="A44" s="8"/>
      <c r="B44" s="9"/>
      <c r="C44" s="21" t="s">
        <v>17</v>
      </c>
      <c r="D44" s="7" t="s">
        <v>19</v>
      </c>
      <c r="E44" s="22"/>
      <c r="F44" s="18">
        <v>0.5</v>
      </c>
      <c r="G44" s="17" t="s">
        <v>20</v>
      </c>
      <c r="H44" s="10"/>
      <c r="I44" s="10"/>
      <c r="J44" s="10"/>
      <c r="K44" s="10"/>
      <c r="L44" s="9"/>
      <c r="M44" s="8"/>
      <c r="N44" s="1"/>
      <c r="O44" s="1"/>
      <c r="Q44" s="2">
        <f>+O39/Q43</f>
        <v>1.3439750749982273</v>
      </c>
    </row>
    <row r="45" spans="1:15" ht="13.5" customHeight="1">
      <c r="A45" s="8"/>
      <c r="B45" s="9"/>
      <c r="E45" s="10"/>
      <c r="F45" s="16"/>
      <c r="G45" s="17"/>
      <c r="H45" s="10"/>
      <c r="I45" s="10"/>
      <c r="J45" s="10"/>
      <c r="K45" s="10"/>
      <c r="L45" s="9"/>
      <c r="M45" s="8"/>
      <c r="N45" s="1"/>
      <c r="O45" s="1"/>
    </row>
    <row r="46" spans="1:19" ht="13.5" customHeight="1">
      <c r="A46" s="8"/>
      <c r="B46" s="9"/>
      <c r="C46" s="11" t="s">
        <v>21</v>
      </c>
      <c r="E46" s="10"/>
      <c r="F46" s="23">
        <f>ROUND(4*F32/1000/(PI()*(F44*0.0254)^2),2)+0.01</f>
        <v>0.52</v>
      </c>
      <c r="G46" s="17" t="s">
        <v>22</v>
      </c>
      <c r="H46" s="10"/>
      <c r="I46" s="10"/>
      <c r="J46" s="10"/>
      <c r="K46" s="10"/>
      <c r="L46" s="9"/>
      <c r="M46" s="8"/>
      <c r="N46" s="1">
        <f>1000/N47</f>
        <v>0.16666666666666666</v>
      </c>
      <c r="O46" s="1"/>
      <c r="S46" s="2">
        <f>+PI()*1.2</f>
        <v>3.7699111843077517</v>
      </c>
    </row>
    <row r="47" spans="1:19" ht="13.5" customHeight="1">
      <c r="A47" s="8"/>
      <c r="B47" s="9"/>
      <c r="C47" s="11"/>
      <c r="E47" s="10"/>
      <c r="F47" s="16"/>
      <c r="G47" s="10"/>
      <c r="H47" s="10"/>
      <c r="I47" s="10"/>
      <c r="J47" s="10"/>
      <c r="K47" s="10"/>
      <c r="L47" s="9"/>
      <c r="M47" s="8"/>
      <c r="N47" s="1">
        <f>3*50*40</f>
        <v>6000</v>
      </c>
      <c r="O47" s="1"/>
      <c r="S47" s="2">
        <f>+S46*0.5</f>
        <v>1.8849555921538759</v>
      </c>
    </row>
    <row r="48" ht="12.75">
      <c r="N48" s="2">
        <f>12*N46</f>
        <v>2</v>
      </c>
    </row>
    <row r="51" ht="15">
      <c r="D51" s="9"/>
    </row>
    <row r="52" ht="15">
      <c r="D52" s="9"/>
    </row>
    <row r="53" ht="15">
      <c r="D53" s="9"/>
    </row>
    <row r="54" ht="15">
      <c r="D54" s="24"/>
    </row>
    <row r="55" ht="15">
      <c r="D55" s="24"/>
    </row>
    <row r="56" ht="15">
      <c r="D56" s="24"/>
    </row>
    <row r="57" ht="15">
      <c r="D57" s="24"/>
    </row>
  </sheetData>
  <sheetProtection/>
  <printOptions/>
  <pageMargins left="0.75" right="0.75" top="1" bottom="1" header="0.511811023" footer="0.51181102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Maria Eugenia Bejarano</cp:lastModifiedBy>
  <cp:lastPrinted>2012-06-15T09:35:35Z</cp:lastPrinted>
  <dcterms:created xsi:type="dcterms:W3CDTF">2011-05-09T00:46:53Z</dcterms:created>
  <dcterms:modified xsi:type="dcterms:W3CDTF">2014-03-10T15:57:11Z</dcterms:modified>
  <cp:category/>
  <cp:version/>
  <cp:contentType/>
  <cp:contentStatus/>
</cp:coreProperties>
</file>