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595" tabRatio="962" activeTab="11"/>
  </bookViews>
  <sheets>
    <sheet name="FORMULAS" sheetId="1" r:id="rId1"/>
    <sheet name="VOL. TANQUE (UNICO)" sheetId="2" r:id="rId2"/>
    <sheet name="RUTA CRITICA PRESIÓN" sheetId="3" r:id="rId3"/>
    <sheet name="C.D.T. PRESIÓN" sheetId="4" r:id="rId4"/>
    <sheet name="N.P.S.H. PRESIÓN" sheetId="5" r:id="rId5"/>
    <sheet name="TANQUE HIDRO PRESIÓN" sheetId="6" r:id="rId6"/>
    <sheet name="EYECTORAS A.R." sheetId="7" state="hidden" r:id="rId7"/>
    <sheet name="EYECTORAS A.LL." sheetId="8" state="hidden" r:id="rId8"/>
    <sheet name="BAR" sheetId="9" state="hidden" r:id="rId9"/>
    <sheet name="COLECTORES A.R." sheetId="10" r:id="rId10"/>
    <sheet name="BALL (RMS)" sheetId="11" r:id="rId11"/>
    <sheet name="COLECTORES A.LL. (RMS)" sheetId="12" r:id="rId12"/>
    <sheet name="VOL. ALMACENAMIENTO R.C.I" sheetId="13" r:id="rId13"/>
    <sheet name="CRITICA INCENDIO" sheetId="14" r:id="rId14"/>
    <sheet name="C.D.T. INCENDIO" sheetId="15" r:id="rId15"/>
    <sheet name="TRAMPA GRASAS" sheetId="16" r:id="rId16"/>
    <sheet name="UH" sheetId="17" state="hidden" r:id="rId17"/>
    <sheet name="Hoja2" sheetId="18" state="hidden" r:id="rId18"/>
  </sheets>
  <definedNames>
    <definedName name="_xlnm.Print_Area" localSheetId="10">'BALL (RMS)'!$A$1:$J$31</definedName>
    <definedName name="_xlnm.Print_Area" localSheetId="8">'BAR'!$A$2:$J$25</definedName>
    <definedName name="_xlnm.Print_Area" localSheetId="14">'C.D.T. INCENDIO'!$B$1:$O$52</definedName>
    <definedName name="_xlnm.Print_Area" localSheetId="3">'C.D.T. PRESIÓN'!$B$2:$V$56</definedName>
    <definedName name="_xlnm.Print_Area" localSheetId="11">'COLECTORES A.LL. (RMS)'!$A$1:$S$60</definedName>
    <definedName name="_xlnm.Print_Area" localSheetId="9">'COLECTORES A.R.'!$B$3:$T$32</definedName>
    <definedName name="_xlnm.Print_Area" localSheetId="13">'CRITICA INCENDIO'!$A$1:$R$20</definedName>
    <definedName name="_xlnm.Print_Area" localSheetId="7">'EYECTORAS A.LL.'!$A$1:$Q$63</definedName>
    <definedName name="_xlnm.Print_Area" localSheetId="6">'EYECTORAS A.R.'!$A$1:$Q$59</definedName>
    <definedName name="_xlnm.Print_Area" localSheetId="0">'FORMULAS'!$A$1:$O$63</definedName>
    <definedName name="_xlnm.Print_Area" localSheetId="4">'N.P.S.H. PRESIÓN'!$B$3:$M$50</definedName>
    <definedName name="_xlnm.Print_Area" localSheetId="2">'RUTA CRITICA PRESIÓN'!$B$2:$R$34</definedName>
    <definedName name="_xlnm.Print_Area" localSheetId="5">'TANQUE HIDRO PRESIÓN'!$B$3:$M$46</definedName>
    <definedName name="_xlnm.Print_Area" localSheetId="15">'TRAMPA GRASAS'!$B$2:$O$75</definedName>
    <definedName name="_xlnm.Print_Area" localSheetId="12">'VOL. ALMACENAMIENTO R.C.I'!$A$2:$M$51</definedName>
    <definedName name="_xlnm.Print_Area" localSheetId="1">'VOL. TANQUE (UNICO)'!$B$2:$N$54</definedName>
  </definedNames>
  <calcPr fullCalcOnLoad="1"/>
</workbook>
</file>

<file path=xl/comments14.xml><?xml version="1.0" encoding="utf-8"?>
<comments xmlns="http://schemas.openxmlformats.org/spreadsheetml/2006/main">
  <authors>
    <author>Preferred Customer</author>
  </authors>
  <commentList>
    <comment ref="P12" authorId="0">
      <text>
        <r>
          <rPr>
            <b/>
            <sz val="8"/>
            <rFont val="Tahoma"/>
            <family val="2"/>
          </rPr>
          <t>PERDIDAS ANTES DE MEDIDOR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10"/>
            <rFont val="Tahoma"/>
            <family val="2"/>
          </rPr>
          <t>AG-SCH40
AG-SCH80
CU-K
CU-L
CU-M
PVCP
CPVC</t>
        </r>
      </text>
    </comment>
    <comment ref="E14" authorId="0">
      <text>
        <r>
          <rPr>
            <b/>
            <sz val="10"/>
            <rFont val="Tahoma"/>
            <family val="2"/>
          </rPr>
          <t>AG-SCH40
AG-SCH80
CU-K
CU-L
CU-M
PVCP
CPVC</t>
        </r>
      </text>
    </comment>
    <comment ref="E15" authorId="0">
      <text>
        <r>
          <rPr>
            <b/>
            <sz val="10"/>
            <rFont val="Tahoma"/>
            <family val="2"/>
          </rPr>
          <t>AG-SCH40
AG-SCH80
CU-K
CU-L
CU-M
PVCP
CPVC</t>
        </r>
      </text>
    </comment>
    <comment ref="Y31" authorId="0">
      <text>
        <r>
          <rPr>
            <b/>
            <sz val="12"/>
            <rFont val="Tahoma"/>
            <family val="2"/>
          </rPr>
          <t>MATERIAL</t>
        </r>
      </text>
    </comment>
    <comment ref="AB31" authorId="0">
      <text>
        <r>
          <rPr>
            <b/>
            <sz val="12"/>
            <rFont val="Tahoma"/>
            <family val="2"/>
          </rPr>
          <t>DIAMETRO</t>
        </r>
        <r>
          <rPr>
            <sz val="10"/>
            <rFont val="Tahoma"/>
            <family val="2"/>
          </rPr>
          <t xml:space="preserve">
</t>
        </r>
      </text>
    </comment>
    <comment ref="Y32" authorId="0">
      <text>
        <r>
          <rPr>
            <b/>
            <sz val="12"/>
            <rFont val="Tahoma"/>
            <family val="2"/>
          </rPr>
          <t>MATERIAL</t>
        </r>
      </text>
    </comment>
    <comment ref="AB32" authorId="0">
      <text>
        <r>
          <rPr>
            <b/>
            <sz val="12"/>
            <rFont val="Tahoma"/>
            <family val="2"/>
          </rPr>
          <t>DIAMETRO</t>
        </r>
        <r>
          <rPr>
            <sz val="10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PERDIDAS DESPUES DE MEDIDOR</t>
        </r>
      </text>
    </comment>
  </commentList>
</comments>
</file>

<file path=xl/comments15.xml><?xml version="1.0" encoding="utf-8"?>
<comments xmlns="http://schemas.openxmlformats.org/spreadsheetml/2006/main">
  <authors>
    <author>Preferred Customer</author>
  </authors>
  <commentList>
    <comment ref="L21" authorId="0">
      <text>
        <r>
          <rPr>
            <b/>
            <sz val="8"/>
            <rFont val="Tahoma"/>
            <family val="2"/>
          </rPr>
          <t xml:space="preserve">ESTE VALOR CORRESPONDE ALA PRESION EN EL PUNTO MAS CRECANO A LA BOMBA, CALCULADO EN LA HOJA CRITICA INCENDIO.
</t>
        </r>
      </text>
    </comment>
  </commentList>
</comments>
</file>

<file path=xl/comments2.xml><?xml version="1.0" encoding="utf-8"?>
<comments xmlns="http://schemas.openxmlformats.org/spreadsheetml/2006/main">
  <authors>
    <author>Preferred Customer</author>
  </authors>
  <commentList>
    <comment ref="J17" authorId="0">
      <text>
        <r>
          <rPr>
            <b/>
            <sz val="8"/>
            <rFont val="Tahoma"/>
            <family val="2"/>
          </rPr>
          <t xml:space="preserve">Consumo Promedio Diario 
Estrato 2-3: 120Lts
Estrato 4-5: 200Lts
Estrato 6   : 250Lts </t>
        </r>
      </text>
    </comment>
    <comment ref="G31" authorId="0">
      <text>
        <r>
          <rPr>
            <b/>
            <sz val="8"/>
            <rFont val="Tahoma"/>
            <family val="2"/>
          </rPr>
          <t>Tiempo Llenado 
Entre 6 y 8 Horas, Máximo  12 Horas
para Bogotá</t>
        </r>
      </text>
    </comment>
    <comment ref="G21" authorId="0">
      <text>
        <r>
          <rPr>
            <b/>
            <sz val="8"/>
            <rFont val="Tahoma"/>
            <family val="2"/>
          </rPr>
          <t>HOSPITALES:2 DIAS
ESTRATOS  ALTOS: 2 O MAS DIAS S/ DISPONIBILIDAD</t>
        </r>
      </text>
    </comment>
    <comment ref="W52" authorId="0">
      <text>
        <r>
          <rPr>
            <b/>
            <sz val="12"/>
            <rFont val="Tahoma"/>
            <family val="2"/>
          </rPr>
          <t>MATERIAL</t>
        </r>
      </text>
    </comment>
    <comment ref="Z52" authorId="0">
      <text>
        <r>
          <rPr>
            <b/>
            <sz val="12"/>
            <rFont val="Tahoma"/>
            <family val="2"/>
          </rPr>
          <t>DIAMETRO</t>
        </r>
        <r>
          <rPr>
            <sz val="10"/>
            <rFont val="Tahoma"/>
            <family val="2"/>
          </rPr>
          <t xml:space="preserve">
</t>
        </r>
      </text>
    </comment>
    <comment ref="W53" authorId="0">
      <text>
        <r>
          <rPr>
            <b/>
            <sz val="12"/>
            <rFont val="Tahoma"/>
            <family val="2"/>
          </rPr>
          <t>MATERIAL</t>
        </r>
      </text>
    </comment>
    <comment ref="Z53" authorId="0">
      <text>
        <r>
          <rPr>
            <b/>
            <sz val="12"/>
            <rFont val="Tahoma"/>
            <family val="2"/>
          </rPr>
          <t>DIAMETRO</t>
        </r>
        <r>
          <rPr>
            <sz val="10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10"/>
            <rFont val="Tahoma"/>
            <family val="2"/>
          </rPr>
          <t>AG-SCH40
AG-SCH80
CU-K
CU-L
CU-M
PVCP
CPVC</t>
        </r>
      </text>
    </comment>
  </commentList>
</comments>
</file>

<file path=xl/comments3.xml><?xml version="1.0" encoding="utf-8"?>
<comments xmlns="http://schemas.openxmlformats.org/spreadsheetml/2006/main">
  <authors>
    <author>Preferred Customer</author>
  </authors>
  <commentList>
    <comment ref="Q12" authorId="0">
      <text>
        <r>
          <rPr>
            <b/>
            <sz val="8"/>
            <rFont val="Tahoma"/>
            <family val="2"/>
          </rPr>
          <t>10 m sanitario fluxometro, 18.5 ducha griferia nacional</t>
        </r>
        <r>
          <rPr>
            <sz val="8"/>
            <rFont val="Tahoma"/>
            <family val="2"/>
          </rPr>
          <t xml:space="preserve">
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SACARLO POR CADA ACCESORIO
SE TIENE POR APROXIMACIÓN </t>
        </r>
        <r>
          <rPr>
            <sz val="8"/>
            <rFont val="Tahoma"/>
            <family val="2"/>
          </rPr>
          <t xml:space="preserve">
</t>
        </r>
      </text>
    </comment>
    <comment ref="Q32" authorId="0">
      <text>
        <r>
          <rPr>
            <b/>
            <sz val="8"/>
            <rFont val="Tahoma"/>
            <family val="2"/>
          </rPr>
          <t>IGUALARLO AL ULTIMO DATO DE PRESIÓN EN EL ÚLTIMO PUNTO DE LA RUTA CRITICA DE ESTA HOJA</t>
        </r>
      </text>
    </comment>
    <comment ref="G32" authorId="0">
      <text>
        <r>
          <rPr>
            <b/>
            <sz val="8"/>
            <rFont val="Tahoma"/>
            <family val="2"/>
          </rPr>
          <t>IGUALARLO AL ULTIMO DATO DE CAUDALEN EL ÚLTIMO PUNTO DE LA RUTA CRITICA DE ESTA HOJA</t>
        </r>
      </text>
    </comment>
    <comment ref="P33" authorId="0">
      <text>
        <r>
          <rPr>
            <b/>
            <sz val="8"/>
            <rFont val="Tahoma"/>
            <family val="2"/>
          </rPr>
          <t>PERDIDAS DESPUES DE MEDIDOR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PERDIDAS ANTES DE MEDIDOR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10"/>
            <rFont val="Tahoma"/>
            <family val="2"/>
          </rPr>
          <t>AG-SCH40
AG-SCH80
CU-K
CU-L
CU-M
PVCP
CPVC</t>
        </r>
      </text>
    </comment>
    <comment ref="E14" authorId="0">
      <text>
        <r>
          <rPr>
            <b/>
            <sz val="10"/>
            <rFont val="Tahoma"/>
            <family val="2"/>
          </rPr>
          <t>AG-SCH40
AG-SCH80
CU-K
CU-L
CU-M
PVCP
CPVC</t>
        </r>
      </text>
    </comment>
    <comment ref="E15" authorId="0">
      <text>
        <r>
          <rPr>
            <b/>
            <sz val="10"/>
            <rFont val="Tahoma"/>
            <family val="2"/>
          </rPr>
          <t>AG-SCH40
AG-SCH80
CU-K
CU-L
CU-M
PVCP
CPVC</t>
        </r>
      </text>
    </comment>
    <comment ref="E16" authorId="0">
      <text>
        <r>
          <rPr>
            <b/>
            <sz val="10"/>
            <rFont val="Tahoma"/>
            <family val="2"/>
          </rPr>
          <t>AG-SCH40
AG-SCH80
CU-K
CU-L
CU-M
PVCP
CPVC</t>
        </r>
      </text>
    </comment>
    <comment ref="E17" authorId="0">
      <text>
        <r>
          <rPr>
            <b/>
            <sz val="10"/>
            <rFont val="Tahoma"/>
            <family val="2"/>
          </rPr>
          <t>AG-SCH40
AG-SCH80
CU-K
CU-L
CU-M
PVCP
CPVC</t>
        </r>
      </text>
    </comment>
    <comment ref="E18" authorId="0">
      <text>
        <r>
          <rPr>
            <b/>
            <sz val="10"/>
            <rFont val="Tahoma"/>
            <family val="2"/>
          </rPr>
          <t>AG-SCH40
AG-SCH80
CU-K
CU-L
CU-M
PVCP
CPVC</t>
        </r>
      </text>
    </comment>
    <comment ref="E19" authorId="0">
      <text>
        <r>
          <rPr>
            <b/>
            <sz val="10"/>
            <rFont val="Tahoma"/>
            <family val="2"/>
          </rPr>
          <t>AG-SCH40
AG-SCH80
CU-K
CU-L
CU-M
PVCP
CPVC</t>
        </r>
      </text>
    </comment>
    <comment ref="E20" authorId="0">
      <text>
        <r>
          <rPr>
            <b/>
            <sz val="10"/>
            <rFont val="Tahoma"/>
            <family val="2"/>
          </rPr>
          <t>AG-SCH40
AG-SCH80
CU-K
CU-L
CU-M
PVCP
CPVC</t>
        </r>
      </text>
    </comment>
    <comment ref="E21" authorId="0">
      <text>
        <r>
          <rPr>
            <b/>
            <sz val="10"/>
            <rFont val="Tahoma"/>
            <family val="2"/>
          </rPr>
          <t>AG-SCH40
AG-SCH80
CU-K
CU-L
CU-M
PVCP
CPVC</t>
        </r>
      </text>
    </comment>
    <comment ref="E22" authorId="0">
      <text>
        <r>
          <rPr>
            <b/>
            <sz val="10"/>
            <rFont val="Tahoma"/>
            <family val="2"/>
          </rPr>
          <t>AG-SCH40
AG-SCH80
CU-K
CU-L
CU-M
PVCP
CPVC</t>
        </r>
      </text>
    </comment>
    <comment ref="E23" authorId="0">
      <text>
        <r>
          <rPr>
            <b/>
            <sz val="10"/>
            <rFont val="Tahoma"/>
            <family val="2"/>
          </rPr>
          <t>AG-SCH40
AG-SCH80
CU-K
CU-L
CU-M
PVCP
CPVC</t>
        </r>
      </text>
    </comment>
    <comment ref="E24" authorId="0">
      <text>
        <r>
          <rPr>
            <b/>
            <sz val="10"/>
            <rFont val="Tahoma"/>
            <family val="2"/>
          </rPr>
          <t>AG-SCH40
AG-SCH80
CU-K
CU-L
CU-M
PVCP
CPVC</t>
        </r>
      </text>
    </comment>
    <comment ref="E25" authorId="0">
      <text>
        <r>
          <rPr>
            <b/>
            <sz val="10"/>
            <rFont val="Tahoma"/>
            <family val="2"/>
          </rPr>
          <t>AG-SCH40
AG-SCH80
CU-K
CU-L
CU-M
PVCP
CPVC</t>
        </r>
      </text>
    </comment>
    <comment ref="E26" authorId="0">
      <text>
        <r>
          <rPr>
            <b/>
            <sz val="10"/>
            <rFont val="Tahoma"/>
            <family val="2"/>
          </rPr>
          <t>AG-SCH40
AG-SCH80
CU-K
CU-L
CU-M
PVCP
CPVC</t>
        </r>
      </text>
    </comment>
    <comment ref="E27" authorId="0">
      <text>
        <r>
          <rPr>
            <b/>
            <sz val="10"/>
            <rFont val="Tahoma"/>
            <family val="2"/>
          </rPr>
          <t>AG-SCH40
AG-SCH80
CU-K
CU-L
CU-M
PVCP
CPVC</t>
        </r>
      </text>
    </comment>
    <comment ref="E28" authorId="0">
      <text>
        <r>
          <rPr>
            <b/>
            <sz val="10"/>
            <rFont val="Tahoma"/>
            <family val="2"/>
          </rPr>
          <t>AG-SCH40
AG-SCH80
CU-K
CU-L
CU-M
PVCP
CPVC</t>
        </r>
      </text>
    </comment>
    <comment ref="E29" authorId="0">
      <text>
        <r>
          <rPr>
            <b/>
            <sz val="10"/>
            <rFont val="Tahoma"/>
            <family val="2"/>
          </rPr>
          <t>AG-SCH40
AG-SCH80
CU-K
CU-L
CU-M
PVCP
CPVC</t>
        </r>
      </text>
    </comment>
    <comment ref="E30" authorId="0">
      <text>
        <r>
          <rPr>
            <b/>
            <sz val="10"/>
            <rFont val="Tahoma"/>
            <family val="2"/>
          </rPr>
          <t>AG-SCH40
AG-SCH80
CU-K
CU-L
CU-M
PVCP
CPVC</t>
        </r>
      </text>
    </comment>
  </commentList>
</comments>
</file>

<file path=xl/comments4.xml><?xml version="1.0" encoding="utf-8"?>
<comments xmlns="http://schemas.openxmlformats.org/spreadsheetml/2006/main">
  <authors>
    <author>Preferred Customer</author>
  </authors>
  <commentList>
    <comment ref="I26" authorId="0">
      <text>
        <r>
          <rPr>
            <b/>
            <sz val="8"/>
            <rFont val="Tahoma"/>
            <family val="2"/>
          </rPr>
          <t>Distancia entre la union con la bomba y la valvula de piso.</t>
        </r>
      </text>
    </comment>
    <comment ref="L17" authorId="0">
      <text>
        <r>
          <rPr>
            <b/>
            <sz val="8"/>
            <rFont val="Tahoma"/>
            <family val="2"/>
          </rPr>
          <t>SI SE MODELO CON EPANET, ESTE YA LAS TIENE EN CUENTA ASI QUE CELDA VACIA</t>
        </r>
      </text>
    </comment>
    <comment ref="L21" authorId="0">
      <text>
        <r>
          <rPr>
            <b/>
            <sz val="8"/>
            <rFont val="Tahoma"/>
            <family val="2"/>
          </rPr>
          <t>ESTE VALOR CORRESPONDE ALA PRESION EN EL PUNTO MAS CRECANO A LA BOMBA, CALCULADO EN LA HOJA RUTA CRITICA PRESIÓN.
SI SE MODELO CON EPANET, ESTE VALOR CORRESPONDE A LA PRESION EN EL NUDO SIGUIENTE A LA BOMBA</t>
        </r>
      </text>
    </comment>
    <comment ref="G8" authorId="0">
      <text>
        <r>
          <rPr>
            <b/>
            <sz val="8"/>
            <rFont val="Tahoma"/>
            <family val="2"/>
          </rPr>
          <t>SI SE MODELO CON EPANET, ESTE DATO NO SE UTILIZA, ASI QUE CELDA VACIA</t>
        </r>
      </text>
    </comment>
    <comment ref="M8" authorId="0">
      <text>
        <r>
          <rPr>
            <b/>
            <sz val="8"/>
            <rFont val="Tahoma"/>
            <family val="2"/>
          </rPr>
          <t>SI SE MODELO CON EPANET, ESTE DATO CORRESPONDE AL QUE ARROJA COMO RESULTADO EL PROGRAMA.</t>
        </r>
      </text>
    </comment>
  </commentList>
</comments>
</file>

<file path=xl/comments6.xml><?xml version="1.0" encoding="utf-8"?>
<comments xmlns="http://schemas.openxmlformats.org/spreadsheetml/2006/main">
  <authors>
    <author>Preferred Customer</author>
  </authors>
  <commentList>
    <comment ref="G39" authorId="0">
      <text>
        <r>
          <rPr>
            <b/>
            <sz val="8"/>
            <rFont val="Tahoma"/>
            <family val="2"/>
          </rPr>
          <t>SEGÚN CATALOGOS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SEGÚN CATALOGOS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Preferred Customer</author>
  </authors>
  <commentList>
    <comment ref="H11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REVISAR CON NTC 1500</t>
        </r>
      </text>
    </comment>
    <comment ref="H12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REVISAR CON NTC 1500</t>
        </r>
      </text>
    </comment>
    <comment ref="H14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REVISAR CON NTC 1500</t>
        </r>
      </text>
    </comment>
    <comment ref="H15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REVISAR CON NTC 1500</t>
        </r>
      </text>
    </comment>
    <comment ref="H16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REVISAR CON NTC 1500</t>
        </r>
      </text>
    </comment>
    <comment ref="H17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REVISAR CON NTC 1500</t>
        </r>
      </text>
    </comment>
    <comment ref="H18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REVISAR CON NTC 1500</t>
        </r>
      </text>
    </comment>
    <comment ref="H13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REVISAR CON NTC 1500</t>
        </r>
      </text>
    </comment>
  </commentList>
</comments>
</file>

<file path=xl/sharedStrings.xml><?xml version="1.0" encoding="utf-8"?>
<sst xmlns="http://schemas.openxmlformats.org/spreadsheetml/2006/main" count="1011" uniqueCount="483">
  <si>
    <t>CONTIENE:</t>
  </si>
  <si>
    <t>CALCULO DE ACOMETIDA Y VOLUMEN TANQUE DE ALMACENAMIENTO</t>
  </si>
  <si>
    <t>HOJA</t>
  </si>
  <si>
    <t>DE</t>
  </si>
  <si>
    <t>1. CALCULO VOLUMEN ALMACENAMIENTO</t>
  </si>
  <si>
    <t>UNIDADES HABITACIONALES</t>
  </si>
  <si>
    <t>=</t>
  </si>
  <si>
    <t>TOTAL PERSONAS EN UNIDADES HABITACIONALES</t>
  </si>
  <si>
    <t>CONSUMO PROMEDIO DIARIO</t>
  </si>
  <si>
    <t>LTS/PERSONA/DIA</t>
  </si>
  <si>
    <t>CONSUMO TOTAL DIARIO</t>
  </si>
  <si>
    <t>m3</t>
  </si>
  <si>
    <t>VOLUMEN DE DISEÑO</t>
  </si>
  <si>
    <t>2. CALCULO ACOMETIDA</t>
  </si>
  <si>
    <t>HORAS</t>
  </si>
  <si>
    <t>SEG</t>
  </si>
  <si>
    <t>CAUDAL (Q) = VOLUMEN TANQUE / TIEMPO DE LLENADO</t>
  </si>
  <si>
    <t>Lt/s</t>
  </si>
  <si>
    <t>LONGITUD ACOMETIDA</t>
  </si>
  <si>
    <t>MT</t>
  </si>
  <si>
    <t>PRESION EN LA RED</t>
  </si>
  <si>
    <t>MCA</t>
  </si>
  <si>
    <t>PERDIDA UNITARIA (J)</t>
  </si>
  <si>
    <t>M / M</t>
  </si>
  <si>
    <t>C</t>
  </si>
  <si>
    <t>PVC</t>
  </si>
  <si>
    <t>UTILIZANDO LA FORMULA DE HAZEN WILLIAMS:</t>
  </si>
  <si>
    <t>Q</t>
  </si>
  <si>
    <t>metros</t>
  </si>
  <si>
    <t>Aproximadamente</t>
  </si>
  <si>
    <t>VELOCIDAD (V)</t>
  </si>
  <si>
    <t>m/s</t>
  </si>
  <si>
    <t>VOLUMEN CONTRA INCENDIO</t>
  </si>
  <si>
    <t xml:space="preserve">CONTIENE:       </t>
  </si>
  <si>
    <t>TRAMO</t>
  </si>
  <si>
    <t>UNIDADES HUNTER</t>
  </si>
  <si>
    <t>CAUDAL</t>
  </si>
  <si>
    <t xml:space="preserve">DIAMETRO </t>
  </si>
  <si>
    <t>VELOCIDAD</t>
  </si>
  <si>
    <t>LONGITUD (METROS)</t>
  </si>
  <si>
    <t>PERDIDA UNITARIA</t>
  </si>
  <si>
    <t>PERDIDA TOTAL</t>
  </si>
  <si>
    <t xml:space="preserve">PRESION EXTREMO </t>
  </si>
  <si>
    <t>HG</t>
  </si>
  <si>
    <t>CU</t>
  </si>
  <si>
    <t>A</t>
  </si>
  <si>
    <t xml:space="preserve"> (Lts/seg)</t>
  </si>
  <si>
    <t xml:space="preserve"> (pulg)</t>
  </si>
  <si>
    <t>(m/s)</t>
  </si>
  <si>
    <t>VERT.</t>
  </si>
  <si>
    <t>HORIZ.</t>
  </si>
  <si>
    <t>ACCES.</t>
  </si>
  <si>
    <t>TOTAL</t>
  </si>
  <si>
    <t>(m/m)</t>
  </si>
  <si>
    <t>(m)</t>
  </si>
  <si>
    <t>FINAL (m)</t>
  </si>
  <si>
    <t>NUMERO TOTAL UNIDADES HUNTER</t>
  </si>
  <si>
    <t>CAUDAL (Q) :</t>
  </si>
  <si>
    <t>LT/S</t>
  </si>
  <si>
    <t>gpm</t>
  </si>
  <si>
    <t>PRESION EN PUNTO CRITICO</t>
  </si>
  <si>
    <t>m.c.a</t>
  </si>
  <si>
    <t>PERDIDAS  A LA SALIDA DEL MEDIDOR</t>
  </si>
  <si>
    <t>PERDIDAS EN MEDIDOR CRITICO</t>
  </si>
  <si>
    <t>PERDIDAS EN LA DESCARGA</t>
  </si>
  <si>
    <t>ALTURA ESTATICA EN LA DESCARGA</t>
  </si>
  <si>
    <t>PRESION NECESARIA EN LA DESCARGA</t>
  </si>
  <si>
    <t>ALTURA ESTATICA EN LA SUCCION (He)</t>
  </si>
  <si>
    <t>LONGITUDES</t>
  </si>
  <si>
    <t>LONGITUD TUBERIA</t>
  </si>
  <si>
    <t>L =</t>
  </si>
  <si>
    <t>LONGITUD EQUIVALENTE</t>
  </si>
  <si>
    <t>LE =</t>
  </si>
  <si>
    <t>LONGITUD TOTAL</t>
  </si>
  <si>
    <t>LT =</t>
  </si>
  <si>
    <t>PARA D=</t>
  </si>
  <si>
    <t>PULG.</t>
  </si>
  <si>
    <t>C :</t>
  </si>
  <si>
    <t>H.G.</t>
  </si>
  <si>
    <t>Q =</t>
  </si>
  <si>
    <t>LTS/SEG</t>
  </si>
  <si>
    <t>V =</t>
  </si>
  <si>
    <t>m / s</t>
  </si>
  <si>
    <t>Js =</t>
  </si>
  <si>
    <t>m / m</t>
  </si>
  <si>
    <t>PERDIDAS EN LA SUCCION (Hf)</t>
  </si>
  <si>
    <t>LT x J =</t>
  </si>
  <si>
    <t>m</t>
  </si>
  <si>
    <t>CABEZA DINAMICA TOTAL (C.D.T.)</t>
  </si>
  <si>
    <t>C.D.T DISEÑO =</t>
  </si>
  <si>
    <t>POTENCIA =</t>
  </si>
  <si>
    <t>Q x Y x Ht</t>
  </si>
  <si>
    <t>CON EFICIENCIA (n) =</t>
  </si>
  <si>
    <t>%</t>
  </si>
  <si>
    <t>76 x n</t>
  </si>
  <si>
    <t>x 1,0 x</t>
  </si>
  <si>
    <t>POTENCIA DE DISEÑO=</t>
  </si>
  <si>
    <t>H.P.</t>
  </si>
  <si>
    <t>x</t>
  </si>
  <si>
    <t xml:space="preserve">SE INSTALARA(N) </t>
  </si>
  <si>
    <t>BOMBA(S) PARA EL</t>
  </si>
  <si>
    <t>% DEL CAUDAL TOTAL C/U</t>
  </si>
  <si>
    <t xml:space="preserve">CALCULO DE LA CABEZA NETA DE SUCCION </t>
  </si>
  <si>
    <t>DISPONIBLE N.P.S.H.</t>
  </si>
  <si>
    <t>(CALCULO EN METROS DE COLUMNA DE AGUA)</t>
  </si>
  <si>
    <t>ALTITUD =</t>
  </si>
  <si>
    <t>Metros sobre el nivel del mar</t>
  </si>
  <si>
    <t>PRESION ATMOSFERICA</t>
  </si>
  <si>
    <t>Po =</t>
  </si>
  <si>
    <t>Hsl = He + Hf DE SUCCION =</t>
  </si>
  <si>
    <t>PRESION DE VAPOR</t>
  </si>
  <si>
    <t>Pv =</t>
  </si>
  <si>
    <t>CABEZA DE VELOCIDAD (SUCCION)</t>
  </si>
  <si>
    <t>DIAMETRO DE SUCCION</t>
  </si>
  <si>
    <t>N.P.S.H. = Po - Hsl - Pv + v^2 / 2g  + Ds / 2</t>
  </si>
  <si>
    <t>N.P.S.H. =</t>
  </si>
  <si>
    <t>FORMULAS UTILIZADAS EN EL DISEÑO HIDROSANITARIO</t>
  </si>
  <si>
    <t>1. DESCRIPCION DEL PROYECTO</t>
  </si>
  <si>
    <t>2. REDES DE SUMINISTRO</t>
  </si>
  <si>
    <t xml:space="preserve">Para el calculo de caudales hidráulicos se toman las unidades de Hunter. </t>
  </si>
  <si>
    <t xml:space="preserve">Para el cálculo de las pérdidas por fricción en las tuberías de suministro, se utiliza la fórmula </t>
  </si>
  <si>
    <t>de "HAZEN WILLIAMS".</t>
  </si>
  <si>
    <t>DONDE :</t>
  </si>
  <si>
    <t>J :</t>
  </si>
  <si>
    <t>Pérdidas por fricción</t>
  </si>
  <si>
    <t>: m/Km.</t>
  </si>
  <si>
    <t xml:space="preserve"> Q :</t>
  </si>
  <si>
    <t>Caudal transportado</t>
  </si>
  <si>
    <t>: Lts/seg.</t>
  </si>
  <si>
    <t>Diámetro Nominal</t>
  </si>
  <si>
    <t>: mts</t>
  </si>
  <si>
    <t>Coeficiente de rugosidad.</t>
  </si>
  <si>
    <t>Cobre = 140</t>
  </si>
  <si>
    <t>PVC = 150</t>
  </si>
  <si>
    <t xml:space="preserve">Para el cálculo de presión  en los extremos se utiliza la ecuación  de " BERNOULLI ". </t>
  </si>
  <si>
    <t>Donde:</t>
  </si>
  <si>
    <t xml:space="preserve"> = Long. Tubería  +  Long. equivalente por</t>
  </si>
  <si>
    <t xml:space="preserve">   accesorios.</t>
  </si>
  <si>
    <t xml:space="preserve"> = Peso específico del agua.</t>
  </si>
  <si>
    <t>3. REDES DE DESAGUES</t>
  </si>
  <si>
    <t>Para el cálculo de las tuberías de desague se utiliza la fórmula de  " MANNING ".</t>
  </si>
  <si>
    <t>V :</t>
  </si>
  <si>
    <t>velocidad en m/s</t>
  </si>
  <si>
    <t>n:</t>
  </si>
  <si>
    <t>coeficiente de manning</t>
  </si>
  <si>
    <t>R:</t>
  </si>
  <si>
    <t>Radio hidraulico en m.</t>
  </si>
  <si>
    <t>S :</t>
  </si>
  <si>
    <t>Pendiente en tanto por uno</t>
  </si>
  <si>
    <t>Con:</t>
  </si>
  <si>
    <t>n  =</t>
  </si>
  <si>
    <t>: Tubería de gres.</t>
  </si>
  <si>
    <t>: Tubería PVCS  ó NOVAFORT/ RIBLOCK</t>
  </si>
  <si>
    <t>NUMERO DE PERSONAS POR UNIDAD</t>
  </si>
  <si>
    <t>DIMENSIONES DE TANQUE DE ALMACENAMIENTO</t>
  </si>
  <si>
    <t>PROFUNDIDAD</t>
  </si>
  <si>
    <t>RESERVA PARA</t>
  </si>
  <si>
    <t>DIAS</t>
  </si>
  <si>
    <t>LARGO</t>
  </si>
  <si>
    <t>ANCHO</t>
  </si>
  <si>
    <t>VOLUMEN TOTAL DEL TANQUE</t>
  </si>
  <si>
    <t>AREA</t>
  </si>
  <si>
    <t>m2</t>
  </si>
  <si>
    <t>VOLUMEN</t>
  </si>
  <si>
    <t>TIEMPO DE LLENADO (T)=</t>
  </si>
  <si>
    <t>DIAMETRO INTERNO</t>
  </si>
  <si>
    <t>pulg.</t>
  </si>
  <si>
    <t>CALCULO DE RUTA CRITICA EQUIPO DE PRESION</t>
  </si>
  <si>
    <t>MAT</t>
  </si>
  <si>
    <t>(in)/(mm)</t>
  </si>
  <si>
    <t>(pl-mm)</t>
  </si>
  <si>
    <t>más alejado del cuarto de bombas.</t>
  </si>
  <si>
    <t>DIAMETRO</t>
  </si>
  <si>
    <t>lps/Casa</t>
  </si>
  <si>
    <t>lps/Porteria</t>
  </si>
  <si>
    <t>CALCULO CABEZA DINAMICA TOTAL EQUIPO DE PRESION</t>
  </si>
  <si>
    <t>SUCCION SEMIPOSITIVA</t>
  </si>
  <si>
    <t>DIAM</t>
  </si>
  <si>
    <t>LE.</t>
  </si>
  <si>
    <t>SUCCION NEGATIVA</t>
  </si>
  <si>
    <t>CALCULO DEL N.P.S.H. DISPONIBLE EQUIPO DE PRESION</t>
  </si>
  <si>
    <t>(2g)</t>
  </si>
  <si>
    <t>Ds</t>
  </si>
  <si>
    <t>CALCULO DEL TANQUE HIDROACUMULADOR</t>
  </si>
  <si>
    <t>DATOS</t>
  </si>
  <si>
    <t>POTENCIA</t>
  </si>
  <si>
    <t>CAUDAL TOTAL DE BOMBEO (QT) B.Lider</t>
  </si>
  <si>
    <t>C.D.T.</t>
  </si>
  <si>
    <t>m.c.a.</t>
  </si>
  <si>
    <t>P.S.I.</t>
  </si>
  <si>
    <t>RANGO DE PRESIONES</t>
  </si>
  <si>
    <t>PRESION INICIAL</t>
  </si>
  <si>
    <t xml:space="preserve"> (Pa)</t>
  </si>
  <si>
    <t>PRESION FINAL</t>
  </si>
  <si>
    <t xml:space="preserve"> (Pb)</t>
  </si>
  <si>
    <t>TIEMPO DE REGULACION (T)</t>
  </si>
  <si>
    <t>min</t>
  </si>
  <si>
    <t>seg</t>
  </si>
  <si>
    <t>CALCULOS</t>
  </si>
  <si>
    <t>CAUDAL DE DISEÑO DEL TANQUE:</t>
  </si>
  <si>
    <t>QM = QT x</t>
  </si>
  <si>
    <t>T min.</t>
  </si>
  <si>
    <t>VOLUMEN DE REGULACION:</t>
  </si>
  <si>
    <t>1-3</t>
  </si>
  <si>
    <t>VR = QM x T/4</t>
  </si>
  <si>
    <t>LTS</t>
  </si>
  <si>
    <t>3-5</t>
  </si>
  <si>
    <t>5-7,5</t>
  </si>
  <si>
    <t>VOLUMEN DEL TANQUE:</t>
  </si>
  <si>
    <t>7,5-15</t>
  </si>
  <si>
    <t>VT = VR x</t>
  </si>
  <si>
    <t>Pb + 14,7 P.S.I.</t>
  </si>
  <si>
    <t>15-30</t>
  </si>
  <si>
    <t>Pb - Pa</t>
  </si>
  <si>
    <t>sobre 30</t>
  </si>
  <si>
    <t>SE INSTALARA(N)</t>
  </si>
  <si>
    <t xml:space="preserve">TANQUES HIDROACUMULADORES </t>
  </si>
  <si>
    <t>LTS DE CAPACIDAD  (C/U)</t>
  </si>
  <si>
    <t>T</t>
  </si>
  <si>
    <t>UNIDADES</t>
  </si>
  <si>
    <t xml:space="preserve">CALCULO BAJANTES </t>
  </si>
  <si>
    <t>AGUAS RESIDUALES</t>
  </si>
  <si>
    <t xml:space="preserve">BAJANTE </t>
  </si>
  <si>
    <t>LONG.</t>
  </si>
  <si>
    <t>AGUAS NEGRAS No.</t>
  </si>
  <si>
    <t xml:space="preserve">MAXIMO </t>
  </si>
  <si>
    <t>TOTAL BAJANTE</t>
  </si>
  <si>
    <t xml:space="preserve"> (LT/SEG)</t>
  </si>
  <si>
    <t>DISEÑO (Pulg)</t>
  </si>
  <si>
    <t>DISEÑO REVENT.</t>
  </si>
  <si>
    <t>1</t>
  </si>
  <si>
    <t>TUBERIA PVC       RDE 21</t>
  </si>
  <si>
    <t>2</t>
  </si>
  <si>
    <t>Cubierta</t>
  </si>
  <si>
    <t>CALCULO BAJANTES</t>
  </si>
  <si>
    <t>AGUAS LLUVIAS</t>
  </si>
  <si>
    <t>AGUAS LLUVIAS No.</t>
  </si>
  <si>
    <t>DRENADA (m2)</t>
  </si>
  <si>
    <t>CAUDAL (lts/seg)</t>
  </si>
  <si>
    <t>Q = C x I x A</t>
  </si>
  <si>
    <t>Q= CAUDAL POR BAJANTE:</t>
  </si>
  <si>
    <t>(lts/seg)</t>
  </si>
  <si>
    <t>C=COEFICIENTE DE PERMEABILIDAD:</t>
  </si>
  <si>
    <t>Para Cubiertas</t>
  </si>
  <si>
    <t>I=INTENSIDAD DE LA LLUVIA:</t>
  </si>
  <si>
    <t>(mm/hora)</t>
  </si>
  <si>
    <t>A=AREA TRIBUTARIA:</t>
  </si>
  <si>
    <t>(m2)</t>
  </si>
  <si>
    <t>PENDIENTE</t>
  </si>
  <si>
    <t>Q. TUBO LLENO</t>
  </si>
  <si>
    <t>V. TUBO LLENO</t>
  </si>
  <si>
    <t>Q/qo</t>
  </si>
  <si>
    <t>LONGITUD</t>
  </si>
  <si>
    <t>(%)</t>
  </si>
  <si>
    <t>(m/seg)</t>
  </si>
  <si>
    <t>INICIAL</t>
  </si>
  <si>
    <t>FINAL</t>
  </si>
  <si>
    <t>PRIM</t>
  </si>
  <si>
    <t>AREA DRENADA</t>
  </si>
  <si>
    <r>
      <t xml:space="preserve">f </t>
    </r>
    <r>
      <rPr>
        <sz val="14"/>
        <rFont val="Arial"/>
        <family val="2"/>
      </rPr>
      <t>:</t>
    </r>
  </si>
  <si>
    <r>
      <t xml:space="preserve">V 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 </t>
    </r>
  </si>
  <si>
    <t>CONTIENE:   CALCULO EQUIPO DESAGUES DE AGUAS RESIDUALES</t>
  </si>
  <si>
    <t>HOJA:</t>
  </si>
  <si>
    <t>CALCULO EQUIPO DESAGUES DE AGUAS RESIDUALES</t>
  </si>
  <si>
    <t>1. CALCULO DE CAUDALES</t>
  </si>
  <si>
    <t>1.1 POR AREAS DESCUBIERTAS</t>
  </si>
  <si>
    <t>AREA DESCUBIERTA:</t>
  </si>
  <si>
    <t>COEFICIENTE DE PERMEABILIDAD (I)</t>
  </si>
  <si>
    <t>INTENSIDAD DE LLUVIA</t>
  </si>
  <si>
    <t>mm/h</t>
  </si>
  <si>
    <t xml:space="preserve">CAUDAL </t>
  </si>
  <si>
    <t>Q1:</t>
  </si>
  <si>
    <t>1.2 POR UNIDADES HUNTER</t>
  </si>
  <si>
    <t>NUMERO DE UNIDADES</t>
  </si>
  <si>
    <t>U.H.</t>
  </si>
  <si>
    <t>Q2:</t>
  </si>
  <si>
    <t>AREA A DRENAR CIMENTACION</t>
  </si>
  <si>
    <t>1.4 CAUDAL POR LAVADO DE TANQUES</t>
  </si>
  <si>
    <t>2. CALCULO CABEZA DINAMICA TOTAL</t>
  </si>
  <si>
    <t>ALTURA ESTATICA (He)</t>
  </si>
  <si>
    <t>mts</t>
  </si>
  <si>
    <t>LONG. TOTAL = LONG. DE TUBERIA + LONG. EQUIVALENTE</t>
  </si>
  <si>
    <t xml:space="preserve">PARA Q= </t>
  </si>
  <si>
    <t>Lts/seg</t>
  </si>
  <si>
    <t>ø =</t>
  </si>
  <si>
    <t xml:space="preserve">C = </t>
  </si>
  <si>
    <t>PVCP</t>
  </si>
  <si>
    <t>mts/s</t>
  </si>
  <si>
    <t>J =</t>
  </si>
  <si>
    <t>mts/mts</t>
  </si>
  <si>
    <t>PERDIDAS (HF) = J * LTOTAL</t>
  </si>
  <si>
    <t>HF =</t>
  </si>
  <si>
    <t xml:space="preserve">mts </t>
  </si>
  <si>
    <t>C.D.T. = HE + HF</t>
  </si>
  <si>
    <t>C.D.T =</t>
  </si>
  <si>
    <t>3. CALCULO DE POTENCIA</t>
  </si>
  <si>
    <t>POT =</t>
  </si>
  <si>
    <t>P =</t>
  </si>
  <si>
    <t xml:space="preserve">    76 x n</t>
  </si>
  <si>
    <t>4. CÁLCULO VOLÚMEN POZO DE BOMBEO</t>
  </si>
  <si>
    <t xml:space="preserve">V = Q * Tretención </t>
  </si>
  <si>
    <t>TIEMPO DE RETENCION</t>
  </si>
  <si>
    <t xml:space="preserve">V =  </t>
  </si>
  <si>
    <t>VOLUMEN DE DISEÑO:</t>
  </si>
  <si>
    <t>DIMENSIONES:</t>
  </si>
  <si>
    <t>Bx L</t>
  </si>
  <si>
    <t>B:</t>
  </si>
  <si>
    <t>L:</t>
  </si>
  <si>
    <t>AREA:</t>
  </si>
  <si>
    <t>PROFUNDIDAD:</t>
  </si>
  <si>
    <t>COEFICIENTE DE INFILTRACIÓN</t>
  </si>
  <si>
    <t>LTS/SEG/m2</t>
  </si>
  <si>
    <r>
      <t>Sector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Coeficiente de Escorrentía (C)</t>
    </r>
  </si>
  <si>
    <t>Para las áreas industriales, institucionales o para las comerciales y residenciales que incluyan áreas clasificables en más de un sector, el coeficiente de escorrentía del área en estudio se estimará como el promedio ponderado dado por la siguiente expresión:</t>
  </si>
  <si>
    <t xml:space="preserve">1. Comercial. </t>
  </si>
  <si>
    <t>2. Desarrollo residencial con casas contiguas y predominio de zonas duras.</t>
  </si>
  <si>
    <t xml:space="preserve">3. Desarrollos residenciales multifamiliares con bloques contiguos y con zonas duras entre ellos. </t>
  </si>
  <si>
    <t>4. Desarrollos residenciales unifamiliares con casa contiguas y predominio de jardines.</t>
  </si>
  <si>
    <t>5. Residencial con casas rodeadas de jardines.</t>
  </si>
  <si>
    <t xml:space="preserve">6. Desarrollos residenciales con multifamiliares apreciablemente separados. </t>
  </si>
  <si>
    <t xml:space="preserve">7. Areas recreacionales con predominio de zonas verdes y cementerios tipo jardines. </t>
  </si>
  <si>
    <t>msnm</t>
  </si>
  <si>
    <t>P1 = 1013.3 / EXP [Z /(8430.15 - Z * 0.09514)]</t>
  </si>
  <si>
    <t>donde:</t>
  </si>
  <si>
    <t>P1 = Presión en Hpa a la altitud Z</t>
  </si>
  <si>
    <t>Z = altitud en m</t>
  </si>
  <si>
    <t>Presión Hpa</t>
  </si>
  <si>
    <t>Presión psi</t>
  </si>
  <si>
    <t>Presión mca</t>
  </si>
  <si>
    <t>Acero Galvanizado = 120</t>
  </si>
  <si>
    <t xml:space="preserve">datos de entrada </t>
  </si>
  <si>
    <t>PLG</t>
  </si>
  <si>
    <t>Pvs = 6,11 * exp [(17,27 * T) / (237,3 + T)] </t>
  </si>
  <si>
    <t>PV = Presión de Vapor en HPa</t>
  </si>
  <si>
    <t>T= temperatura en °C</t>
  </si>
  <si>
    <t>°C</t>
  </si>
  <si>
    <t>Temperatura del Agua a</t>
  </si>
  <si>
    <t>REDONDEAR A CRITERIO Y SEGÚN DISPONIBILIDAD EN MERCADO</t>
  </si>
  <si>
    <t>CALCULO EQUIPO DESAGUES DE AGUAS LLUVIAS</t>
  </si>
  <si>
    <t>QT= Q1+Q2=</t>
  </si>
  <si>
    <t>PROFUNDIDAD MINIMA :</t>
  </si>
  <si>
    <t>1.2 POR DRENAJE DE CIMENTACION</t>
  </si>
  <si>
    <t>QT= Q1+Q2+Q3=</t>
  </si>
  <si>
    <t>1.3 CAUDAL POR LAVADO DE TANQUES</t>
  </si>
  <si>
    <t xml:space="preserve">POTENCIA BOMBA LIDER </t>
  </si>
  <si>
    <t>TUBERIA ACERO CED.40</t>
  </si>
  <si>
    <t>TUBERIA ACERO CED.80</t>
  </si>
  <si>
    <t>TUBERIA COBRE TIPO K</t>
  </si>
  <si>
    <t>TUBERIA COBRE TIPO L</t>
  </si>
  <si>
    <t>TUBERIA COBRE TIPO M</t>
  </si>
  <si>
    <t xml:space="preserve">TUBERIA CPVC       </t>
  </si>
  <si>
    <t>TUBERIA   H.G. LIVIANA</t>
  </si>
  <si>
    <t>DIAMETROS REALES EN MILIMETROS</t>
  </si>
  <si>
    <t>DIAMETRO NOMINAL</t>
  </si>
  <si>
    <t xml:space="preserve">TUBERIA   H.G. PESADA     </t>
  </si>
  <si>
    <t>DIAMETROS REALES EN PULGADAS</t>
  </si>
  <si>
    <t>DIAMETRO INTERNO EN mm</t>
  </si>
  <si>
    <t>Plg ó mm</t>
  </si>
  <si>
    <t>DIAMETRO INTERNO EN Plg</t>
  </si>
  <si>
    <t>NECESARIO (Plg)</t>
  </si>
  <si>
    <t>DE DISEÑO (pulg)</t>
  </si>
  <si>
    <t>DIAMETRO TUB. LAVADO =</t>
  </si>
  <si>
    <t>ALTURA LAMINA DE AGUA =</t>
  </si>
  <si>
    <t>cm</t>
  </si>
  <si>
    <r>
      <t>Q = 0,0226 x d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x h</t>
    </r>
    <r>
      <rPr>
        <b/>
        <vertAlign val="superscript"/>
        <sz val="11"/>
        <rFont val="Arial"/>
        <family val="2"/>
      </rPr>
      <t>1/2</t>
    </r>
  </si>
  <si>
    <t>TIPO DE RIESGO</t>
  </si>
  <si>
    <t>CAUDAL POR GABINETE</t>
  </si>
  <si>
    <t>ÁREA ROCIADORES</t>
  </si>
  <si>
    <t>DENSIDAD DE DISEÑO</t>
  </si>
  <si>
    <t>CAUDAL ROCIADORES</t>
  </si>
  <si>
    <t>PERDIDA HIDRÁULICA</t>
  </si>
  <si>
    <t>ALTURA DE PISO</t>
  </si>
  <si>
    <t>REDUCCIÓN DE ÁREA</t>
  </si>
  <si>
    <t>CAUDAL TOTAL CONTRA INCENDIO</t>
  </si>
  <si>
    <t>NÚMERO DE GABINETES</t>
  </si>
  <si>
    <t>ft2</t>
  </si>
  <si>
    <t>TIEMPO DE ATENCIÓN</t>
  </si>
  <si>
    <t>VOLÚMEN REQUERIDO</t>
  </si>
  <si>
    <t>VOLÚMEN DE ALMACENAMIENTO C.I. EN RECINTO</t>
  </si>
  <si>
    <t>CALCULO VOLUMEN TANQUE ALMACENAMIENTO RED CONTRAINCENDIO</t>
  </si>
  <si>
    <t>(LIDER)</t>
  </si>
  <si>
    <t>(SUPLENCIA)</t>
  </si>
  <si>
    <t>&lt;0.85</t>
  </si>
  <si>
    <t>&lt;5m/s</t>
  </si>
  <si>
    <t>5° PISO</t>
  </si>
  <si>
    <t>4° PISO</t>
  </si>
  <si>
    <t>3° PISO</t>
  </si>
  <si>
    <t>2° PISO</t>
  </si>
  <si>
    <t>1° PISO</t>
  </si>
  <si>
    <t>SOTANO</t>
  </si>
  <si>
    <t>WC Publico</t>
  </si>
  <si>
    <t>&lt; 5m/S</t>
  </si>
  <si>
    <t>Potencia</t>
  </si>
  <si>
    <t>Comercial</t>
  </si>
  <si>
    <t>Suministro</t>
  </si>
  <si>
    <t>Sanitario Tanque</t>
  </si>
  <si>
    <t>Total</t>
  </si>
  <si>
    <t>Lavamanos</t>
  </si>
  <si>
    <t>Ducha</t>
  </si>
  <si>
    <t>Lavaplatos</t>
  </si>
  <si>
    <t>Lavadora</t>
  </si>
  <si>
    <t>Lavadero</t>
  </si>
  <si>
    <t>Piso</t>
  </si>
  <si>
    <t>1°</t>
  </si>
  <si>
    <t>2°</t>
  </si>
  <si>
    <t>Descripcion</t>
  </si>
  <si>
    <t>Area</t>
  </si>
  <si>
    <t>Apto 1</t>
  </si>
  <si>
    <t>98m2</t>
  </si>
  <si>
    <t>Apto 2</t>
  </si>
  <si>
    <t>62m2</t>
  </si>
  <si>
    <t>Duplex 1</t>
  </si>
  <si>
    <t>139m2</t>
  </si>
  <si>
    <t>Duplex 2</t>
  </si>
  <si>
    <t>118m2</t>
  </si>
  <si>
    <t>3°</t>
  </si>
  <si>
    <t>Duplex 3</t>
  </si>
  <si>
    <t>149m2</t>
  </si>
  <si>
    <t>4°</t>
  </si>
  <si>
    <t>Duplex 4</t>
  </si>
  <si>
    <t>198m2</t>
  </si>
  <si>
    <t>5°</t>
  </si>
  <si>
    <t>CALCULO ACOMETIDA COLECTOR AGUAS RESIDUALES</t>
  </si>
  <si>
    <t>CALCULO ACOMETIDA COLECTOR AGUAS LLUVIAS</t>
  </si>
  <si>
    <t>CALCULO DE RUTA CRITICA EQUIPO CONTRA INCENDIO</t>
  </si>
  <si>
    <t>mm</t>
  </si>
  <si>
    <t>que es el punto más alejado del cuarto de bombas.</t>
  </si>
  <si>
    <t>CALCULO CABEZA DINAMICA TOTAL EQUIPO CONTRA INCENDIO</t>
  </si>
  <si>
    <t>Se toma como punto critico el gabinete mas alejado del cuarto de Bombas</t>
  </si>
  <si>
    <t>CPVC</t>
  </si>
  <si>
    <t>Institucional I3</t>
  </si>
  <si>
    <t>CALCULO DE TRAMPA DE GRASAS</t>
  </si>
  <si>
    <t>A. CALCULO DE TRAMPA DE GRASAS TEORICO</t>
  </si>
  <si>
    <t>1. DETERMINACION DE VOLUMEN DE LAVAPLATOS</t>
  </si>
  <si>
    <t>ANCHO=</t>
  </si>
  <si>
    <t>LARGO=</t>
  </si>
  <si>
    <t>PROFUNDIDAD=</t>
  </si>
  <si>
    <t>VOLUMEN=</t>
  </si>
  <si>
    <t>Lt</t>
  </si>
  <si>
    <t>Gal</t>
  </si>
  <si>
    <t>2. DETERMINACION VOLUMEN REAL DE TRATAMIENTO (75%)</t>
  </si>
  <si>
    <t>3. OBTENCION DE CAUDAL DE EVACUACION PARA DOS MINUTOS DE RETENCION</t>
  </si>
  <si>
    <t>GPM</t>
  </si>
  <si>
    <t>4. ANALIZAZNDO EL VALOR DEL CAUDAL EN LA TABLA B SE OBTIENE</t>
  </si>
  <si>
    <t>TPG= 20GPM o 1.26 Lt/s</t>
  </si>
  <si>
    <t>A. CALCULO DE DIMENSION RAS 2000 TITULO E</t>
  </si>
  <si>
    <t>1. VERIFICACION DE CAUDAL DE DISEÑO DE ACUERDO A TABLA E.3.1 (Cocina Restaurante)</t>
  </si>
  <si>
    <t>Q=</t>
  </si>
  <si>
    <t>Lt/m</t>
  </si>
  <si>
    <t>2. OBTENCION AREA APROXIMADA (0.25m2 x Lt/s)</t>
  </si>
  <si>
    <t>A=</t>
  </si>
  <si>
    <t>3. DETERMINACION LONGITUDES APROXIMADAS SEGÚN RELACION (1:4 hasta 1:18)</t>
  </si>
  <si>
    <t>Se debe seleccionar la TG con el primer dato del caudal de evacaucion, aunque se verifica el cumplimiento minimo de las</t>
  </si>
  <si>
    <t>dimensiones sugeridas por el RAS 2000.</t>
  </si>
  <si>
    <t xml:space="preserve"> Punto crítico: Se toma como punto crítico sanitario zona administrativa. Ver planos Suministro Agua Fria.</t>
  </si>
  <si>
    <t>CALCULO VOLUMEN ALMACENAMIENTO RED CONTRA INCENDIO</t>
  </si>
  <si>
    <t>3</t>
  </si>
  <si>
    <t>COTAS CLAVES ENTRADA</t>
  </si>
  <si>
    <t>COTAS CLAVES SALIDA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</si>
  <si>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</si>
  <si>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</si>
  <si>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</si>
  <si>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</si>
  <si>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</si>
  <si>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</si>
  <si>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</si>
  <si>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</si>
  <si>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</si>
  <si>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</si>
  <si>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</si>
  <si>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</si>
  <si>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</si>
  <si>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</si>
  <si>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</si>
  <si>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Dom AR</t>
  </si>
  <si>
    <t>IDENT.</t>
  </si>
  <si>
    <t>Inicial</t>
  </si>
  <si>
    <t>CALCULO COLECTORES AR - VER PLANO H-005</t>
  </si>
  <si>
    <t>Ident.</t>
  </si>
  <si>
    <t>CALCULO COLECTORES ALL - VER PLANO ALL-001</t>
  </si>
  <si>
    <t>PZ 20</t>
  </si>
  <si>
    <t>PZ Exist</t>
  </si>
  <si>
    <t>---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</si>
</sst>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0.0"/>
    <numFmt numFmtId="193" formatCode="#,##0.0"/>
    <numFmt numFmtId="194" formatCode="#,##0.000"/>
    <numFmt numFmtId="195" formatCode="0.000"/>
    <numFmt numFmtId="196" formatCode="0.00000"/>
    <numFmt numFmtId="197" formatCode="0.0000"/>
    <numFmt numFmtId="198" formatCode="0.000000"/>
    <numFmt numFmtId="199" formatCode="#.##"/>
    <numFmt numFmtId="200" formatCode="#.####"/>
    <numFmt numFmtId="201" formatCode="_-* #.##0.00\ [$€]_-;\-* #.##0.00\ [$€]_-;_-* &quot;-&quot;??\ [$€]_-;_-@_-"/>
    <numFmt numFmtId="202" formatCode="#"/>
    <numFmt numFmtId="203" formatCode="#.00"/>
    <numFmt numFmtId="204" formatCode="0.0000000"/>
    <numFmt numFmtId="205" formatCode="_ [$€-2]\ * #,##0.00_ ;_ [$€-2]\ * \-#,##0.00_ ;_ [$€-2]\ * &quot;-&quot;??_ 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#.#"/>
    <numFmt numFmtId="211" formatCode="0.0%"/>
    <numFmt numFmtId="212" formatCode="_-* #,##0.000\ _P_t_s_-;\-* #,##0.000\ _P_t_s_-;_-* &quot;-&quot;??\ _P_t_s_-;_-@_-"/>
    <numFmt numFmtId="213" formatCode="_-* #,##0\ _P_t_s_-;\-* #,##0\ _P_t_s_-;_-* &quot;-&quot;??\ _P_t_s_-;_-@_-"/>
    <numFmt numFmtId="214" formatCode="_-* #,##0.0\ _P_t_s_-;\-* #,##0.0\ _P_t_s_-;_-* &quot;-&quot;??\ _P_t_s_-;_-@_-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4"/>
      <name val="Symbol"/>
      <family val="1"/>
    </font>
    <font>
      <sz val="13"/>
      <name val="Arial"/>
      <family val="2"/>
    </font>
    <font>
      <sz val="9"/>
      <name val="Arial"/>
      <family val="2"/>
    </font>
    <font>
      <vertAlign val="superscript"/>
      <sz val="12"/>
      <name val="Arial"/>
      <family val="2"/>
    </font>
    <font>
      <b/>
      <sz val="15"/>
      <name val="Arial"/>
      <family val="2"/>
    </font>
    <font>
      <sz val="11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sz val="10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vertAlign val="superscript"/>
      <sz val="11"/>
      <name val="Arial"/>
      <family val="2"/>
    </font>
    <font>
      <b/>
      <sz val="7"/>
      <name val="Arial"/>
      <family val="2"/>
    </font>
    <font>
      <u val="single"/>
      <sz val="1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omic Sans MS"/>
      <family val="4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5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7" fillId="6" borderId="0" applyNumberFormat="0" applyBorder="0" applyAlignment="0" applyProtection="0"/>
    <xf numFmtId="0" fontId="18" fillId="11" borderId="1" applyNumberFormat="0" applyAlignment="0" applyProtection="0"/>
    <xf numFmtId="0" fontId="19" fillId="12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22" fillId="7" borderId="1" applyNumberFormat="0" applyAlignment="0" applyProtection="0"/>
    <xf numFmtId="20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17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4" fillId="7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5" fillId="11" borderId="5" applyNumberFormat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1" fillId="0" borderId="8" applyNumberFormat="0" applyFill="0" applyAlignment="0" applyProtection="0"/>
    <xf numFmtId="0" fontId="30" fillId="0" borderId="9" applyNumberFormat="0" applyFill="0" applyAlignment="0" applyProtection="0"/>
  </cellStyleXfs>
  <cellXfs count="1104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5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 vertical="center"/>
    </xf>
    <xf numFmtId="0" fontId="6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4" xfId="0" applyFont="1" applyBorder="1" applyAlignment="1">
      <alignment vertical="center"/>
    </xf>
    <xf numFmtId="0" fontId="8" fillId="0" borderId="15" xfId="0" applyFont="1" applyBorder="1" applyAlignment="1">
      <alignment horizontal="centerContinuous" vertical="justify"/>
    </xf>
    <xf numFmtId="0" fontId="8" fillId="0" borderId="17" xfId="0" applyFont="1" applyBorder="1" applyAlignment="1">
      <alignment horizontal="centerContinuous" vertical="justify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right"/>
    </xf>
    <xf numFmtId="3" fontId="6" fillId="0" borderId="21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centerContinuous"/>
    </xf>
    <xf numFmtId="3" fontId="7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9" fillId="0" borderId="22" xfId="0" applyFont="1" applyBorder="1" applyAlignment="1">
      <alignment horizontal="center" vertical="justify"/>
    </xf>
    <xf numFmtId="4" fontId="9" fillId="0" borderId="2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4" fontId="9" fillId="0" borderId="23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justify"/>
    </xf>
    <xf numFmtId="0" fontId="6" fillId="0" borderId="24" xfId="0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Continuous"/>
    </xf>
    <xf numFmtId="4" fontId="0" fillId="0" borderId="0" xfId="0" applyNumberFormat="1" applyBorder="1" applyAlignment="1">
      <alignment/>
    </xf>
    <xf numFmtId="4" fontId="7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4" fontId="13" fillId="0" borderId="15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centerContinuous"/>
    </xf>
    <xf numFmtId="0" fontId="6" fillId="0" borderId="15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horizontal="centerContinuous"/>
    </xf>
    <xf numFmtId="0" fontId="6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Continuous" vertical="justify"/>
    </xf>
    <xf numFmtId="0" fontId="8" fillId="0" borderId="17" xfId="0" applyFont="1" applyFill="1" applyBorder="1" applyAlignment="1">
      <alignment horizontal="centerContinuous" vertical="justify"/>
    </xf>
    <xf numFmtId="0" fontId="7" fillId="0" borderId="14" xfId="0" applyFont="1" applyFill="1" applyBorder="1" applyAlignment="1">
      <alignment vertical="center"/>
    </xf>
    <xf numFmtId="4" fontId="7" fillId="0" borderId="15" xfId="0" applyNumberFormat="1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6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2" fontId="6" fillId="0" borderId="20" xfId="0" applyNumberFormat="1" applyFont="1" applyFill="1" applyBorder="1" applyAlignment="1">
      <alignment horizontal="center" vertical="center"/>
    </xf>
    <xf numFmtId="0" fontId="6" fillId="18" borderId="0" xfId="0" applyFont="1" applyFill="1" applyBorder="1" applyAlignment="1">
      <alignment/>
    </xf>
    <xf numFmtId="4" fontId="6" fillId="0" borderId="2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13" fontId="6" fillId="0" borderId="2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right"/>
    </xf>
    <xf numFmtId="3" fontId="6" fillId="0" borderId="21" xfId="0" applyNumberFormat="1" applyFont="1" applyFill="1" applyBorder="1" applyAlignment="1">
      <alignment horizontal="right"/>
    </xf>
    <xf numFmtId="3" fontId="6" fillId="0" borderId="19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Continuous"/>
    </xf>
    <xf numFmtId="3" fontId="7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194" fontId="6" fillId="0" borderId="0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/>
    </xf>
    <xf numFmtId="194" fontId="6" fillId="0" borderId="11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/>
    </xf>
    <xf numFmtId="194" fontId="8" fillId="0" borderId="0" xfId="0" applyNumberFormat="1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 vertical="center"/>
    </xf>
    <xf numFmtId="1" fontId="9" fillId="0" borderId="15" xfId="0" applyNumberFormat="1" applyFont="1" applyFill="1" applyBorder="1" applyAlignment="1">
      <alignment vertical="center"/>
    </xf>
    <xf numFmtId="2" fontId="8" fillId="0" borderId="15" xfId="0" applyNumberFormat="1" applyFont="1" applyFill="1" applyBorder="1" applyAlignment="1">
      <alignment horizontal="center" vertical="justify"/>
    </xf>
    <xf numFmtId="4" fontId="13" fillId="0" borderId="15" xfId="0" applyNumberFormat="1" applyFont="1" applyFill="1" applyBorder="1" applyAlignment="1">
      <alignment horizontal="centerContinuous" vertical="center"/>
    </xf>
    <xf numFmtId="49" fontId="9" fillId="0" borderId="15" xfId="0" applyNumberFormat="1" applyFont="1" applyFill="1" applyBorder="1" applyAlignment="1">
      <alignment horizontal="centerContinuous" vertical="justify"/>
    </xf>
    <xf numFmtId="4" fontId="9" fillId="0" borderId="15" xfId="0" applyNumberFormat="1" applyFont="1" applyFill="1" applyBorder="1" applyAlignment="1">
      <alignment horizontal="centerContinuous" vertical="justify"/>
    </xf>
    <xf numFmtId="4" fontId="9" fillId="0" borderId="17" xfId="0" applyNumberFormat="1" applyFont="1" applyFill="1" applyBorder="1" applyAlignment="1">
      <alignment horizontal="centerContinuous" vertical="justify"/>
    </xf>
    <xf numFmtId="1" fontId="9" fillId="0" borderId="22" xfId="0" applyNumberFormat="1" applyFont="1" applyFill="1" applyBorder="1" applyAlignment="1">
      <alignment horizontal="left" vertical="center"/>
    </xf>
    <xf numFmtId="1" fontId="9" fillId="0" borderId="22" xfId="0" applyNumberFormat="1" applyFont="1" applyFill="1" applyBorder="1" applyAlignment="1">
      <alignment horizontal="centerContinuous" vertical="center"/>
    </xf>
    <xf numFmtId="2" fontId="9" fillId="0" borderId="22" xfId="0" applyNumberFormat="1" applyFont="1" applyFill="1" applyBorder="1" applyAlignment="1">
      <alignment horizontal="center" vertical="justify"/>
    </xf>
    <xf numFmtId="4" fontId="9" fillId="0" borderId="22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justify"/>
    </xf>
    <xf numFmtId="4" fontId="9" fillId="0" borderId="14" xfId="0" applyNumberFormat="1" applyFont="1" applyFill="1" applyBorder="1" applyAlignment="1">
      <alignment horizontal="centerContinuous" vertical="center"/>
    </xf>
    <xf numFmtId="4" fontId="9" fillId="0" borderId="15" xfId="0" applyNumberFormat="1" applyFont="1" applyFill="1" applyBorder="1" applyAlignment="1">
      <alignment horizontal="centerContinuous" vertical="center"/>
    </xf>
    <xf numFmtId="194" fontId="9" fillId="0" borderId="22" xfId="0" applyNumberFormat="1" applyFont="1" applyFill="1" applyBorder="1" applyAlignment="1">
      <alignment horizontal="center" vertical="justify"/>
    </xf>
    <xf numFmtId="4" fontId="9" fillId="0" borderId="22" xfId="0" applyNumberFormat="1" applyFont="1" applyFill="1" applyBorder="1" applyAlignment="1">
      <alignment horizontal="center" vertical="justify"/>
    </xf>
    <xf numFmtId="0" fontId="7" fillId="0" borderId="0" xfId="0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 horizontal="centerContinuous"/>
    </xf>
    <xf numFmtId="1" fontId="9" fillId="0" borderId="25" xfId="0" applyNumberFormat="1" applyFont="1" applyFill="1" applyBorder="1" applyAlignment="1">
      <alignment horizontal="left" vertical="center"/>
    </xf>
    <xf numFmtId="2" fontId="9" fillId="0" borderId="23" xfId="0" applyNumberFormat="1" applyFont="1" applyFill="1" applyBorder="1" applyAlignment="1">
      <alignment horizontal="center"/>
    </xf>
    <xf numFmtId="4" fontId="9" fillId="0" borderId="23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" fontId="9" fillId="0" borderId="26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194" fontId="9" fillId="0" borderId="23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Continuous"/>
    </xf>
    <xf numFmtId="2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 vertical="justify"/>
    </xf>
    <xf numFmtId="49" fontId="7" fillId="0" borderId="0" xfId="0" applyNumberFormat="1" applyFont="1" applyFill="1" applyBorder="1" applyAlignment="1">
      <alignment horizontal="center" vertical="justify"/>
    </xf>
    <xf numFmtId="194" fontId="7" fillId="0" borderId="0" xfId="0" applyNumberFormat="1" applyFont="1" applyFill="1" applyBorder="1" applyAlignment="1">
      <alignment horizontal="center" vertical="justify"/>
    </xf>
    <xf numFmtId="1" fontId="11" fillId="0" borderId="27" xfId="0" applyNumberFormat="1" applyFont="1" applyFill="1" applyBorder="1" applyAlignment="1" quotePrefix="1">
      <alignment horizontal="left" vertical="center"/>
    </xf>
    <xf numFmtId="1" fontId="6" fillId="0" borderId="28" xfId="0" applyNumberFormat="1" applyFont="1" applyFill="1" applyBorder="1" applyAlignment="1">
      <alignment vertical="center"/>
    </xf>
    <xf numFmtId="2" fontId="6" fillId="0" borderId="29" xfId="0" applyNumberFormat="1" applyFont="1" applyFill="1" applyBorder="1" applyAlignment="1">
      <alignment horizontal="center"/>
    </xf>
    <xf numFmtId="4" fontId="6" fillId="0" borderId="29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" fontId="6" fillId="0" borderId="29" xfId="0" applyNumberFormat="1" applyFont="1" applyFill="1" applyBorder="1" applyAlignment="1">
      <alignment/>
    </xf>
    <xf numFmtId="194" fontId="0" fillId="0" borderId="29" xfId="0" applyNumberFormat="1" applyFont="1" applyFill="1" applyBorder="1" applyAlignment="1">
      <alignment horizontal="center"/>
    </xf>
    <xf numFmtId="4" fontId="6" fillId="0" borderId="30" xfId="0" applyNumberFormat="1" applyFont="1" applyFill="1" applyBorder="1" applyAlignment="1">
      <alignment horizontal="center"/>
    </xf>
    <xf numFmtId="1" fontId="6" fillId="0" borderId="31" xfId="0" applyNumberFormat="1" applyFont="1" applyFill="1" applyBorder="1" applyAlignment="1">
      <alignment vertical="center"/>
    </xf>
    <xf numFmtId="2" fontId="6" fillId="0" borderId="32" xfId="0" applyNumberFormat="1" applyFont="1" applyFill="1" applyBorder="1" applyAlignment="1">
      <alignment horizontal="center"/>
    </xf>
    <xf numFmtId="4" fontId="6" fillId="0" borderId="32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4" fontId="6" fillId="0" borderId="32" xfId="0" applyNumberFormat="1" applyFont="1" applyFill="1" applyBorder="1" applyAlignment="1">
      <alignment/>
    </xf>
    <xf numFmtId="194" fontId="0" fillId="0" borderId="32" xfId="0" applyNumberFormat="1" applyFont="1" applyFill="1" applyBorder="1" applyAlignment="1">
      <alignment horizontal="center"/>
    </xf>
    <xf numFmtId="4" fontId="6" fillId="0" borderId="33" xfId="0" applyNumberFormat="1" applyFont="1" applyFill="1" applyBorder="1" applyAlignment="1">
      <alignment horizontal="center"/>
    </xf>
    <xf numFmtId="1" fontId="6" fillId="0" borderId="34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2" fontId="11" fillId="0" borderId="20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vertical="center"/>
    </xf>
    <xf numFmtId="194" fontId="6" fillId="0" borderId="20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4" fontId="6" fillId="0" borderId="35" xfId="0" applyNumberFormat="1" applyFont="1" applyFill="1" applyBorder="1" applyAlignment="1">
      <alignment horizontal="center" vertical="center"/>
    </xf>
    <xf numFmtId="12" fontId="6" fillId="0" borderId="2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195" fontId="6" fillId="0" borderId="0" xfId="0" applyNumberFormat="1" applyFont="1" applyFill="1" applyBorder="1" applyAlignment="1">
      <alignment horizontal="center"/>
    </xf>
    <xf numFmtId="195" fontId="6" fillId="0" borderId="0" xfId="0" applyNumberFormat="1" applyFont="1" applyFill="1" applyAlignment="1">
      <alignment horizontal="center"/>
    </xf>
    <xf numFmtId="2" fontId="6" fillId="0" borderId="0" xfId="0" applyNumberFormat="1" applyFont="1" applyFill="1" applyBorder="1" applyAlignment="1">
      <alignment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36" xfId="0" applyNumberFormat="1" applyFont="1" applyFill="1" applyBorder="1" applyAlignment="1">
      <alignment horizontal="center" vertical="center"/>
    </xf>
    <xf numFmtId="4" fontId="6" fillId="0" borderId="24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" fontId="7" fillId="0" borderId="24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vertical="center"/>
    </xf>
    <xf numFmtId="4" fontId="6" fillId="0" borderId="24" xfId="0" applyNumberFormat="1" applyFont="1" applyFill="1" applyBorder="1" applyAlignment="1">
      <alignment vertical="center"/>
    </xf>
    <xf numFmtId="4" fontId="6" fillId="0" borderId="37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right"/>
    </xf>
    <xf numFmtId="2" fontId="6" fillId="0" borderId="21" xfId="0" applyNumberFormat="1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right"/>
    </xf>
    <xf numFmtId="194" fontId="6" fillId="0" borderId="21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19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194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8" fillId="0" borderId="15" xfId="0" applyFont="1" applyFill="1" applyBorder="1" applyAlignment="1">
      <alignment vertical="justify"/>
    </xf>
    <xf numFmtId="1" fontId="6" fillId="0" borderId="31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94" fontId="6" fillId="0" borderId="3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horizontal="centerContinuous" vertical="center"/>
    </xf>
    <xf numFmtId="193" fontId="12" fillId="0" borderId="2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31" xfId="0" applyFont="1" applyFill="1" applyBorder="1" applyAlignment="1">
      <alignment horizontal="centerContinuous" vertical="center"/>
    </xf>
    <xf numFmtId="193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193" fontId="7" fillId="0" borderId="2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Continuous" vertical="center"/>
    </xf>
    <xf numFmtId="0" fontId="7" fillId="0" borderId="15" xfId="0" applyFont="1" applyFill="1" applyBorder="1" applyAlignment="1">
      <alignment horizontal="left" vertical="center"/>
    </xf>
    <xf numFmtId="4" fontId="9" fillId="0" borderId="17" xfId="0" applyNumberFormat="1" applyFont="1" applyFill="1" applyBorder="1" applyAlignment="1">
      <alignment horizontal="left" vertical="center"/>
    </xf>
    <xf numFmtId="0" fontId="13" fillId="0" borderId="14" xfId="0" applyFont="1" applyFill="1" applyBorder="1" applyAlignment="1">
      <alignment vertical="center"/>
    </xf>
    <xf numFmtId="1" fontId="10" fillId="0" borderId="15" xfId="0" applyNumberFormat="1" applyFont="1" applyFill="1" applyBorder="1" applyAlignment="1" quotePrefix="1">
      <alignment horizontal="center" vertical="center"/>
    </xf>
    <xf numFmtId="4" fontId="13" fillId="0" borderId="1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1" fillId="0" borderId="14" xfId="0" applyFont="1" applyFill="1" applyBorder="1" applyAlignment="1">
      <alignment horizontal="centerContinuous" vertical="center"/>
    </xf>
    <xf numFmtId="0" fontId="11" fillId="0" borderId="15" xfId="0" applyFont="1" applyFill="1" applyBorder="1" applyAlignment="1">
      <alignment horizontal="centerContinuous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 quotePrefix="1">
      <alignment horizontal="center" vertical="center"/>
    </xf>
    <xf numFmtId="1" fontId="6" fillId="0" borderId="15" xfId="0" applyNumberFormat="1" applyFont="1" applyFill="1" applyBorder="1" applyAlignment="1">
      <alignment horizontal="centerContinuous"/>
    </xf>
    <xf numFmtId="1" fontId="11" fillId="0" borderId="15" xfId="0" applyNumberFormat="1" applyFont="1" applyFill="1" applyBorder="1" applyAlignment="1">
      <alignment horizontal="centerContinuous"/>
    </xf>
    <xf numFmtId="1" fontId="6" fillId="0" borderId="0" xfId="0" applyNumberFormat="1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Continuous" vertical="center"/>
    </xf>
    <xf numFmtId="0" fontId="11" fillId="0" borderId="21" xfId="0" applyFont="1" applyFill="1" applyBorder="1" applyAlignment="1">
      <alignment horizontal="center"/>
    </xf>
    <xf numFmtId="0" fontId="7" fillId="0" borderId="0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centerContinuous" vertical="center"/>
    </xf>
    <xf numFmtId="0" fontId="35" fillId="0" borderId="0" xfId="0" applyFont="1" applyFill="1" applyBorder="1" applyAlignment="1">
      <alignment horizontal="left" vertical="center"/>
    </xf>
    <xf numFmtId="4" fontId="10" fillId="0" borderId="15" xfId="0" applyNumberFormat="1" applyFont="1" applyFill="1" applyBorder="1" applyAlignment="1">
      <alignment horizontal="centerContinuous" vertical="justify"/>
    </xf>
    <xf numFmtId="0" fontId="10" fillId="0" borderId="14" xfId="0" applyFont="1" applyFill="1" applyBorder="1" applyAlignment="1">
      <alignment horizontal="centerContinuous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19" borderId="2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left" vertical="center"/>
    </xf>
    <xf numFmtId="4" fontId="6" fillId="19" borderId="20" xfId="0" applyNumberFormat="1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10" fillId="0" borderId="14" xfId="0" applyFont="1" applyFill="1" applyBorder="1" applyAlignment="1">
      <alignment horizontal="centerContinuous" vertical="center"/>
    </xf>
    <xf numFmtId="2" fontId="6" fillId="19" borderId="20" xfId="0" applyNumberFormat="1" applyFont="1" applyFill="1" applyBorder="1" applyAlignment="1">
      <alignment horizontal="centerContinuous" vertical="center"/>
    </xf>
    <xf numFmtId="0" fontId="7" fillId="5" borderId="38" xfId="0" applyFont="1" applyFill="1" applyBorder="1" applyAlignment="1">
      <alignment horizontal="center"/>
    </xf>
    <xf numFmtId="0" fontId="7" fillId="5" borderId="2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5" borderId="39" xfId="0" applyFont="1" applyFill="1" applyBorder="1" applyAlignment="1">
      <alignment/>
    </xf>
    <xf numFmtId="0" fontId="6" fillId="5" borderId="33" xfId="0" applyFont="1" applyFill="1" applyBorder="1" applyAlignment="1">
      <alignment/>
    </xf>
    <xf numFmtId="0" fontId="6" fillId="0" borderId="31" xfId="0" applyFont="1" applyFill="1" applyBorder="1" applyAlignment="1">
      <alignment horizontal="centerContinuous"/>
    </xf>
    <xf numFmtId="16" fontId="7" fillId="5" borderId="34" xfId="0" applyNumberFormat="1" applyFont="1" applyFill="1" applyBorder="1" applyAlignment="1" quotePrefix="1">
      <alignment horizontal="center"/>
    </xf>
    <xf numFmtId="192" fontId="6" fillId="5" borderId="35" xfId="0" applyNumberFormat="1" applyFont="1" applyFill="1" applyBorder="1" applyAlignment="1">
      <alignment horizontal="center"/>
    </xf>
    <xf numFmtId="3" fontId="6" fillId="19" borderId="20" xfId="0" applyNumberFormat="1" applyFont="1" applyFill="1" applyBorder="1" applyAlignment="1">
      <alignment horizontal="centerContinuous" vertical="center"/>
    </xf>
    <xf numFmtId="0" fontId="7" fillId="5" borderId="34" xfId="0" applyFont="1" applyFill="1" applyBorder="1" applyAlignment="1" quotePrefix="1">
      <alignment horizontal="center"/>
    </xf>
    <xf numFmtId="1" fontId="6" fillId="0" borderId="31" xfId="0" applyNumberFormat="1" applyFont="1" applyFill="1" applyBorder="1" applyAlignment="1">
      <alignment horizontal="centerContinuous" vertical="center"/>
    </xf>
    <xf numFmtId="0" fontId="7" fillId="5" borderId="34" xfId="0" applyFont="1" applyFill="1" applyBorder="1" applyAlignment="1">
      <alignment horizontal="center"/>
    </xf>
    <xf numFmtId="0" fontId="7" fillId="5" borderId="40" xfId="0" applyFont="1" applyFill="1" applyBorder="1" applyAlignment="1">
      <alignment horizontal="center"/>
    </xf>
    <xf numFmtId="192" fontId="6" fillId="5" borderId="37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4" fontId="6" fillId="0" borderId="16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4" fontId="13" fillId="0" borderId="17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centerContinuous"/>
    </xf>
    <xf numFmtId="0" fontId="9" fillId="0" borderId="14" xfId="0" applyFont="1" applyFill="1" applyBorder="1" applyAlignment="1">
      <alignment horizontal="centerContinuous" vertical="justify"/>
    </xf>
    <xf numFmtId="0" fontId="9" fillId="0" borderId="17" xfId="0" applyFont="1" applyFill="1" applyBorder="1" applyAlignment="1">
      <alignment horizontal="centerContinuous" vertical="justify"/>
    </xf>
    <xf numFmtId="0" fontId="9" fillId="0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justify"/>
    </xf>
    <xf numFmtId="0" fontId="9" fillId="0" borderId="23" xfId="0" applyFont="1" applyFill="1" applyBorder="1" applyAlignment="1">
      <alignment horizontal="center" vertical="justify"/>
    </xf>
    <xf numFmtId="0" fontId="9" fillId="0" borderId="2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justify"/>
    </xf>
    <xf numFmtId="0" fontId="9" fillId="0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justify"/>
    </xf>
    <xf numFmtId="4" fontId="6" fillId="0" borderId="29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36" fillId="0" borderId="0" xfId="0" applyNumberFormat="1" applyFont="1" applyFill="1" applyBorder="1" applyAlignment="1" applyProtection="1">
      <alignment/>
      <protection locked="0"/>
    </xf>
    <xf numFmtId="13" fontId="7" fillId="0" borderId="0" xfId="0" applyNumberFormat="1" applyFont="1" applyFill="1" applyBorder="1" applyAlignment="1">
      <alignment horizontal="center"/>
    </xf>
    <xf numFmtId="0" fontId="6" fillId="0" borderId="34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" fontId="6" fillId="0" borderId="15" xfId="0" applyNumberFormat="1" applyFont="1" applyFill="1" applyBorder="1" applyAlignment="1">
      <alignment horizontal="centerContinuous" vertical="center"/>
    </xf>
    <xf numFmtId="0" fontId="8" fillId="0" borderId="13" xfId="0" applyFont="1" applyFill="1" applyBorder="1" applyAlignment="1">
      <alignment/>
    </xf>
    <xf numFmtId="4" fontId="1" fillId="0" borderId="15" xfId="0" applyNumberFormat="1" applyFont="1" applyFill="1" applyBorder="1" applyAlignment="1">
      <alignment horizontal="centerContinuous" vertical="center"/>
    </xf>
    <xf numFmtId="0" fontId="13" fillId="0" borderId="14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6" fillId="0" borderId="21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4" fontId="6" fillId="0" borderId="15" xfId="0" applyNumberFormat="1" applyFont="1" applyBorder="1" applyAlignment="1">
      <alignment horizontal="centerContinuous"/>
    </xf>
    <xf numFmtId="0" fontId="9" fillId="0" borderId="17" xfId="0" applyFont="1" applyBorder="1" applyAlignment="1">
      <alignment horizontal="left" vertical="top"/>
    </xf>
    <xf numFmtId="0" fontId="1" fillId="0" borderId="15" xfId="0" applyFont="1" applyBorder="1" applyAlignment="1">
      <alignment horizontal="center" vertical="justify"/>
    </xf>
    <xf numFmtId="0" fontId="1" fillId="0" borderId="17" xfId="0" applyFont="1" applyBorder="1" applyAlignment="1">
      <alignment horizontal="center" vertical="justify"/>
    </xf>
    <xf numFmtId="4" fontId="9" fillId="0" borderId="0" xfId="0" applyNumberFormat="1" applyFont="1" applyBorder="1" applyAlignment="1">
      <alignment horizontal="centerContinuous" vertical="center"/>
    </xf>
    <xf numFmtId="3" fontId="10" fillId="0" borderId="17" xfId="0" applyNumberFormat="1" applyFont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justify"/>
    </xf>
    <xf numFmtId="0" fontId="9" fillId="0" borderId="23" xfId="0" applyFont="1" applyBorder="1" applyAlignment="1">
      <alignment horizontal="center" vertical="justify"/>
    </xf>
    <xf numFmtId="0" fontId="9" fillId="0" borderId="23" xfId="0" applyFont="1" applyBorder="1" applyAlignment="1">
      <alignment horizontal="center" vertical="justify"/>
    </xf>
    <xf numFmtId="4" fontId="9" fillId="0" borderId="23" xfId="0" applyNumberFormat="1" applyFont="1" applyBorder="1" applyAlignment="1">
      <alignment horizontal="center" vertical="justify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justify"/>
    </xf>
    <xf numFmtId="4" fontId="6" fillId="0" borderId="29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/>
    </xf>
    <xf numFmtId="4" fontId="6" fillId="0" borderId="21" xfId="0" applyNumberFormat="1" applyFont="1" applyBorder="1" applyAlignment="1">
      <alignment/>
    </xf>
    <xf numFmtId="0" fontId="7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4" fontId="0" fillId="0" borderId="0" xfId="0" applyNumberFormat="1" applyAlignment="1">
      <alignment/>
    </xf>
    <xf numFmtId="195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21" xfId="0" applyBorder="1" applyAlignment="1">
      <alignment/>
    </xf>
    <xf numFmtId="0" fontId="7" fillId="0" borderId="21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1" fontId="13" fillId="0" borderId="15" xfId="0" applyNumberFormat="1" applyFont="1" applyFill="1" applyBorder="1" applyAlignment="1" quotePrefix="1">
      <alignment horizontal="center" vertical="center"/>
    </xf>
    <xf numFmtId="0" fontId="9" fillId="0" borderId="22" xfId="0" applyFont="1" applyFill="1" applyBorder="1" applyAlignment="1">
      <alignment vertical="center"/>
    </xf>
    <xf numFmtId="49" fontId="9" fillId="0" borderId="23" xfId="0" applyNumberFormat="1" applyFont="1" applyFill="1" applyBorder="1" applyAlignment="1">
      <alignment horizontal="centerContinuous"/>
    </xf>
    <xf numFmtId="0" fontId="9" fillId="0" borderId="23" xfId="0" applyFont="1" applyFill="1" applyBorder="1" applyAlignment="1">
      <alignment/>
    </xf>
    <xf numFmtId="4" fontId="6" fillId="0" borderId="3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/>
    </xf>
    <xf numFmtId="193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Continuous"/>
    </xf>
    <xf numFmtId="4" fontId="6" fillId="0" borderId="0" xfId="0" applyNumberFormat="1" applyFont="1" applyFill="1" applyBorder="1" applyAlignment="1">
      <alignment horizontal="centerContinuous"/>
    </xf>
    <xf numFmtId="49" fontId="0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2" fontId="6" fillId="0" borderId="11" xfId="0" applyNumberFormat="1" applyFont="1" applyBorder="1" applyAlignment="1">
      <alignment/>
    </xf>
    <xf numFmtId="0" fontId="6" fillId="0" borderId="14" xfId="0" applyFont="1" applyBorder="1" applyAlignment="1">
      <alignment/>
    </xf>
    <xf numFmtId="2" fontId="6" fillId="0" borderId="15" xfId="0" applyNumberFormat="1" applyFont="1" applyBorder="1" applyAlignment="1">
      <alignment horizontal="centerContinuous"/>
    </xf>
    <xf numFmtId="4" fontId="6" fillId="0" borderId="15" xfId="0" applyNumberFormat="1" applyFont="1" applyBorder="1" applyAlignment="1">
      <alignment horizontal="centerContinuous" vertical="center"/>
    </xf>
    <xf numFmtId="2" fontId="8" fillId="0" borderId="0" xfId="0" applyNumberFormat="1" applyFont="1" applyBorder="1" applyAlignment="1">
      <alignment/>
    </xf>
    <xf numFmtId="4" fontId="1" fillId="0" borderId="15" xfId="0" applyNumberFormat="1" applyFont="1" applyBorder="1" applyAlignment="1">
      <alignment horizontal="centerContinuous" vertical="center"/>
    </xf>
    <xf numFmtId="2" fontId="1" fillId="0" borderId="15" xfId="0" applyNumberFormat="1" applyFont="1" applyBorder="1" applyAlignment="1">
      <alignment horizontal="centerContinuous" vertical="center"/>
    </xf>
    <xf numFmtId="0" fontId="9" fillId="0" borderId="15" xfId="0" applyFont="1" applyBorder="1" applyAlignment="1">
      <alignment horizontal="centerContinuous" vertical="center"/>
    </xf>
    <xf numFmtId="1" fontId="10" fillId="0" borderId="15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2" fontId="7" fillId="0" borderId="0" xfId="0" applyNumberFormat="1" applyFont="1" applyBorder="1" applyAlignment="1">
      <alignment/>
    </xf>
    <xf numFmtId="0" fontId="7" fillId="0" borderId="15" xfId="0" applyFont="1" applyBorder="1" applyAlignment="1">
      <alignment horizontal="center" vertical="justify"/>
    </xf>
    <xf numFmtId="0" fontId="7" fillId="0" borderId="0" xfId="0" applyFont="1" applyBorder="1" applyAlignment="1">
      <alignment/>
    </xf>
    <xf numFmtId="2" fontId="6" fillId="0" borderId="21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centerContinuous"/>
    </xf>
    <xf numFmtId="2" fontId="0" fillId="0" borderId="0" xfId="0" applyNumberFormat="1" applyBorder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11" borderId="10" xfId="0" applyFont="1" applyFill="1" applyBorder="1" applyAlignment="1">
      <alignment/>
    </xf>
    <xf numFmtId="0" fontId="7" fillId="11" borderId="11" xfId="0" applyFont="1" applyFill="1" applyBorder="1" applyAlignment="1">
      <alignment/>
    </xf>
    <xf numFmtId="0" fontId="7" fillId="11" borderId="12" xfId="0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11" borderId="13" xfId="0" applyFont="1" applyFill="1" applyBorder="1" applyAlignment="1">
      <alignment/>
    </xf>
    <xf numFmtId="0" fontId="7" fillId="11" borderId="14" xfId="0" applyFont="1" applyFill="1" applyBorder="1" applyAlignment="1">
      <alignment/>
    </xf>
    <xf numFmtId="0" fontId="7" fillId="11" borderId="15" xfId="0" applyFont="1" applyFill="1" applyBorder="1" applyAlignment="1">
      <alignment/>
    </xf>
    <xf numFmtId="0" fontId="7" fillId="11" borderId="15" xfId="0" applyFont="1" applyFill="1" applyBorder="1" applyAlignment="1">
      <alignment horizontal="centerContinuous" vertical="center"/>
    </xf>
    <xf numFmtId="0" fontId="7" fillId="11" borderId="15" xfId="0" applyFont="1" applyFill="1" applyBorder="1" applyAlignment="1">
      <alignment horizontal="centerContinuous"/>
    </xf>
    <xf numFmtId="4" fontId="9" fillId="11" borderId="17" xfId="0" applyNumberFormat="1" applyFont="1" applyFill="1" applyBorder="1" applyAlignment="1">
      <alignment horizontal="left" vertical="center"/>
    </xf>
    <xf numFmtId="0" fontId="7" fillId="11" borderId="16" xfId="0" applyFont="1" applyFill="1" applyBorder="1" applyAlignment="1">
      <alignment/>
    </xf>
    <xf numFmtId="0" fontId="9" fillId="11" borderId="0" xfId="0" applyFont="1" applyFill="1" applyBorder="1" applyAlignment="1">
      <alignment/>
    </xf>
    <xf numFmtId="0" fontId="13" fillId="11" borderId="14" xfId="0" applyFont="1" applyFill="1" applyBorder="1" applyAlignment="1">
      <alignment vertical="center"/>
    </xf>
    <xf numFmtId="0" fontId="9" fillId="11" borderId="15" xfId="0" applyFont="1" applyFill="1" applyBorder="1" applyAlignment="1">
      <alignment vertical="justify"/>
    </xf>
    <xf numFmtId="4" fontId="7" fillId="11" borderId="15" xfId="0" applyNumberFormat="1" applyFont="1" applyFill="1" applyBorder="1" applyAlignment="1">
      <alignment horizontal="centerContinuous" vertical="center"/>
    </xf>
    <xf numFmtId="0" fontId="9" fillId="11" borderId="15" xfId="0" applyFont="1" applyFill="1" applyBorder="1" applyAlignment="1">
      <alignment horizontal="centerContinuous" vertical="justify"/>
    </xf>
    <xf numFmtId="0" fontId="9" fillId="11" borderId="17" xfId="0" applyFont="1" applyFill="1" applyBorder="1" applyAlignment="1">
      <alignment horizontal="centerContinuous" vertical="justify"/>
    </xf>
    <xf numFmtId="0" fontId="1" fillId="11" borderId="14" xfId="0" applyNumberFormat="1" applyFont="1" applyFill="1" applyBorder="1" applyAlignment="1">
      <alignment horizontal="center" vertical="center"/>
    </xf>
    <xf numFmtId="4" fontId="1" fillId="11" borderId="15" xfId="0" applyNumberFormat="1" applyFont="1" applyFill="1" applyBorder="1" applyAlignment="1">
      <alignment horizontal="center" vertical="center"/>
    </xf>
    <xf numFmtId="3" fontId="10" fillId="11" borderId="17" xfId="0" applyNumberFormat="1" applyFont="1" applyFill="1" applyBorder="1" applyAlignment="1">
      <alignment horizontal="center" vertical="center"/>
    </xf>
    <xf numFmtId="0" fontId="10" fillId="11" borderId="13" xfId="0" applyFont="1" applyFill="1" applyBorder="1" applyAlignment="1">
      <alignment/>
    </xf>
    <xf numFmtId="2" fontId="10" fillId="11" borderId="0" xfId="0" applyNumberFormat="1" applyFont="1" applyFill="1" applyBorder="1" applyAlignment="1">
      <alignment horizontal="centerContinuous" vertical="center"/>
    </xf>
    <xf numFmtId="2" fontId="10" fillId="11" borderId="0" xfId="0" applyNumberFormat="1" applyFont="1" applyFill="1" applyBorder="1" applyAlignment="1">
      <alignment horizontal="centerContinuous"/>
    </xf>
    <xf numFmtId="0" fontId="10" fillId="11" borderId="16" xfId="0" applyFont="1" applyFill="1" applyBorder="1" applyAlignment="1">
      <alignment/>
    </xf>
    <xf numFmtId="0" fontId="10" fillId="11" borderId="14" xfId="0" applyFont="1" applyFill="1" applyBorder="1" applyAlignment="1">
      <alignment horizontal="centerContinuous" vertical="center"/>
    </xf>
    <xf numFmtId="0" fontId="10" fillId="11" borderId="15" xfId="0" applyFont="1" applyFill="1" applyBorder="1" applyAlignment="1">
      <alignment horizontal="centerContinuous" vertical="center"/>
    </xf>
    <xf numFmtId="0" fontId="10" fillId="11" borderId="17" xfId="0" applyFont="1" applyFill="1" applyBorder="1" applyAlignment="1">
      <alignment horizontal="centerContinuous" vertical="center"/>
    </xf>
    <xf numFmtId="0" fontId="10" fillId="11" borderId="0" xfId="0" applyFont="1" applyFill="1" applyBorder="1" applyAlignment="1">
      <alignment vertical="center"/>
    </xf>
    <xf numFmtId="0" fontId="10" fillId="11" borderId="0" xfId="0" applyFont="1" applyFill="1" applyBorder="1" applyAlignment="1">
      <alignment/>
    </xf>
    <xf numFmtId="0" fontId="7" fillId="11" borderId="0" xfId="0" applyFont="1" applyFill="1" applyBorder="1" applyAlignment="1">
      <alignment/>
    </xf>
    <xf numFmtId="0" fontId="6" fillId="11" borderId="0" xfId="0" applyFont="1" applyFill="1" applyBorder="1" applyAlignment="1">
      <alignment vertical="center"/>
    </xf>
    <xf numFmtId="0" fontId="7" fillId="11" borderId="0" xfId="0" applyFont="1" applyFill="1" applyBorder="1" applyAlignment="1">
      <alignment vertical="center"/>
    </xf>
    <xf numFmtId="0" fontId="10" fillId="11" borderId="0" xfId="0" applyFont="1" applyFill="1" applyBorder="1" applyAlignment="1">
      <alignment horizontal="left" vertical="center"/>
    </xf>
    <xf numFmtId="4" fontId="10" fillId="11" borderId="31" xfId="0" applyNumberFormat="1" applyFont="1" applyFill="1" applyBorder="1" applyAlignment="1">
      <alignment/>
    </xf>
    <xf numFmtId="202" fontId="10" fillId="11" borderId="31" xfId="0" applyNumberFormat="1" applyFont="1" applyFill="1" applyBorder="1" applyAlignment="1">
      <alignment/>
    </xf>
    <xf numFmtId="0" fontId="10" fillId="11" borderId="0" xfId="0" applyFont="1" applyFill="1" applyBorder="1" applyAlignment="1">
      <alignment horizontal="center" vertical="center"/>
    </xf>
    <xf numFmtId="4" fontId="10" fillId="0" borderId="31" xfId="0" applyNumberFormat="1" applyFont="1" applyBorder="1" applyAlignment="1">
      <alignment horizontal="center" vertical="center"/>
    </xf>
    <xf numFmtId="2" fontId="10" fillId="11" borderId="31" xfId="0" applyNumberFormat="1" applyFont="1" applyFill="1" applyBorder="1" applyAlignment="1">
      <alignment/>
    </xf>
    <xf numFmtId="192" fontId="10" fillId="11" borderId="0" xfId="0" applyNumberFormat="1" applyFont="1" applyFill="1" applyBorder="1" applyAlignment="1">
      <alignment/>
    </xf>
    <xf numFmtId="0" fontId="10" fillId="11" borderId="0" xfId="0" applyFont="1" applyFill="1" applyBorder="1" applyAlignment="1">
      <alignment horizontal="right" vertical="center"/>
    </xf>
    <xf numFmtId="0" fontId="6" fillId="11" borderId="0" xfId="0" applyFont="1" applyFill="1" applyBorder="1" applyAlignment="1">
      <alignment horizontal="left" vertical="center"/>
    </xf>
    <xf numFmtId="0" fontId="11" fillId="11" borderId="0" xfId="0" applyFont="1" applyFill="1" applyBorder="1" applyAlignment="1">
      <alignment/>
    </xf>
    <xf numFmtId="0" fontId="6" fillId="11" borderId="0" xfId="0" applyFont="1" applyFill="1" applyBorder="1" applyAlignment="1">
      <alignment horizontal="right" vertical="center"/>
    </xf>
    <xf numFmtId="0" fontId="10" fillId="11" borderId="41" xfId="0" applyFont="1" applyFill="1" applyBorder="1" applyAlignment="1">
      <alignment horizontal="center"/>
    </xf>
    <xf numFmtId="0" fontId="11" fillId="11" borderId="0" xfId="0" applyFont="1" applyFill="1" applyBorder="1" applyAlignment="1">
      <alignment horizontal="right" vertical="center"/>
    </xf>
    <xf numFmtId="4" fontId="10" fillId="11" borderId="31" xfId="0" applyNumberFormat="1" applyFont="1" applyFill="1" applyBorder="1" applyAlignment="1">
      <alignment horizontal="center" vertical="center"/>
    </xf>
    <xf numFmtId="0" fontId="11" fillId="11" borderId="0" xfId="0" applyFont="1" applyFill="1" applyBorder="1" applyAlignment="1">
      <alignment vertical="center"/>
    </xf>
    <xf numFmtId="0" fontId="39" fillId="11" borderId="0" xfId="0" applyFont="1" applyFill="1" applyBorder="1" applyAlignment="1">
      <alignment horizontal="center" vertical="center"/>
    </xf>
    <xf numFmtId="0" fontId="11" fillId="11" borderId="0" xfId="0" applyFont="1" applyFill="1" applyBorder="1" applyAlignment="1" quotePrefix="1">
      <alignment horizontal="center" vertical="center"/>
    </xf>
    <xf numFmtId="4" fontId="10" fillId="11" borderId="0" xfId="0" applyNumberFormat="1" applyFont="1" applyFill="1" applyBorder="1" applyAlignment="1">
      <alignment/>
    </xf>
    <xf numFmtId="0" fontId="40" fillId="11" borderId="0" xfId="0" applyFont="1" applyFill="1" applyBorder="1" applyAlignment="1">
      <alignment vertical="center"/>
    </xf>
    <xf numFmtId="0" fontId="10" fillId="11" borderId="0" xfId="0" applyFont="1" applyFill="1" applyBorder="1" applyAlignment="1">
      <alignment horizontal="left"/>
    </xf>
    <xf numFmtId="4" fontId="10" fillId="11" borderId="20" xfId="0" applyNumberFormat="1" applyFont="1" applyFill="1" applyBorder="1" applyAlignment="1">
      <alignment horizontal="center" vertical="center"/>
    </xf>
    <xf numFmtId="194" fontId="10" fillId="11" borderId="20" xfId="0" applyNumberFormat="1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right"/>
    </xf>
    <xf numFmtId="2" fontId="10" fillId="11" borderId="20" xfId="0" applyNumberFormat="1" applyFont="1" applyFill="1" applyBorder="1" applyAlignment="1">
      <alignment horizontal="center"/>
    </xf>
    <xf numFmtId="2" fontId="10" fillId="11" borderId="32" xfId="0" applyNumberFormat="1" applyFont="1" applyFill="1" applyBorder="1" applyAlignment="1">
      <alignment horizontal="center"/>
    </xf>
    <xf numFmtId="0" fontId="10" fillId="11" borderId="15" xfId="0" applyFont="1" applyFill="1" applyBorder="1" applyAlignment="1">
      <alignment horizontal="centerContinuous"/>
    </xf>
    <xf numFmtId="0" fontId="10" fillId="11" borderId="17" xfId="0" applyFont="1" applyFill="1" applyBorder="1" applyAlignment="1">
      <alignment horizontal="centerContinuous"/>
    </xf>
    <xf numFmtId="0" fontId="10" fillId="11" borderId="0" xfId="0" applyFont="1" applyFill="1" applyBorder="1" applyAlignment="1">
      <alignment horizontal="centerContinuous" vertical="center"/>
    </xf>
    <xf numFmtId="0" fontId="10" fillId="11" borderId="0" xfId="0" applyFont="1" applyFill="1" applyBorder="1" applyAlignment="1">
      <alignment horizontal="centerContinuous"/>
    </xf>
    <xf numFmtId="0" fontId="7" fillId="11" borderId="0" xfId="0" applyFont="1" applyFill="1" applyBorder="1" applyAlignment="1">
      <alignment horizontal="right"/>
    </xf>
    <xf numFmtId="0" fontId="6" fillId="11" borderId="31" xfId="0" applyFont="1" applyFill="1" applyBorder="1" applyAlignment="1">
      <alignment vertical="center"/>
    </xf>
    <xf numFmtId="0" fontId="10" fillId="11" borderId="0" xfId="0" applyFont="1" applyFill="1" applyBorder="1" applyAlignment="1">
      <alignment horizontal="center"/>
    </xf>
    <xf numFmtId="2" fontId="11" fillId="11" borderId="31" xfId="0" applyNumberFormat="1" applyFont="1" applyFill="1" applyBorder="1" applyAlignment="1">
      <alignment horizontal="center" vertical="center"/>
    </xf>
    <xf numFmtId="2" fontId="11" fillId="11" borderId="31" xfId="0" applyNumberFormat="1" applyFont="1" applyFill="1" applyBorder="1" applyAlignment="1" quotePrefix="1">
      <alignment horizontal="center" vertical="center"/>
    </xf>
    <xf numFmtId="2" fontId="10" fillId="11" borderId="0" xfId="0" applyNumberFormat="1" applyFont="1" applyFill="1" applyBorder="1" applyAlignment="1">
      <alignment horizontal="center" vertical="center"/>
    </xf>
    <xf numFmtId="2" fontId="10" fillId="11" borderId="0" xfId="0" applyNumberFormat="1" applyFont="1" applyFill="1" applyBorder="1" applyAlignment="1">
      <alignment vertical="center"/>
    </xf>
    <xf numFmtId="0" fontId="6" fillId="11" borderId="42" xfId="0" applyFont="1" applyFill="1" applyBorder="1" applyAlignment="1">
      <alignment vertical="center"/>
    </xf>
    <xf numFmtId="2" fontId="6" fillId="11" borderId="0" xfId="0" applyNumberFormat="1" applyFont="1" applyFill="1" applyBorder="1" applyAlignment="1">
      <alignment horizontal="center" vertical="center"/>
    </xf>
    <xf numFmtId="1" fontId="11" fillId="11" borderId="0" xfId="0" applyNumberFormat="1" applyFont="1" applyFill="1" applyBorder="1" applyAlignment="1">
      <alignment horizontal="center" vertical="center"/>
    </xf>
    <xf numFmtId="2" fontId="11" fillId="11" borderId="0" xfId="0" applyNumberFormat="1" applyFont="1" applyFill="1" applyBorder="1" applyAlignment="1" quotePrefix="1">
      <alignment horizontal="center" vertical="center"/>
    </xf>
    <xf numFmtId="0" fontId="7" fillId="11" borderId="0" xfId="0" applyFont="1" applyFill="1" applyBorder="1" applyAlignment="1">
      <alignment horizontal="centerContinuous" vertical="center"/>
    </xf>
    <xf numFmtId="0" fontId="10" fillId="11" borderId="0" xfId="0" applyFont="1" applyFill="1" applyBorder="1" applyAlignment="1">
      <alignment horizontal="center" vertical="justify"/>
    </xf>
    <xf numFmtId="0" fontId="11" fillId="11" borderId="0" xfId="0" applyFont="1" applyFill="1" applyBorder="1" applyAlignment="1">
      <alignment horizontal="left" vertical="center"/>
    </xf>
    <xf numFmtId="0" fontId="6" fillId="11" borderId="0" xfId="0" applyFont="1" applyFill="1" applyBorder="1" applyAlignment="1">
      <alignment/>
    </xf>
    <xf numFmtId="0" fontId="11" fillId="11" borderId="0" xfId="0" applyFont="1" applyFill="1" applyBorder="1" applyAlignment="1">
      <alignment horizontal="center" vertical="center"/>
    </xf>
    <xf numFmtId="3" fontId="11" fillId="11" borderId="31" xfId="0" applyNumberFormat="1" applyFont="1" applyFill="1" applyBorder="1" applyAlignment="1">
      <alignment horizontal="center" vertical="center"/>
    </xf>
    <xf numFmtId="3" fontId="10" fillId="11" borderId="0" xfId="0" applyNumberFormat="1" applyFont="1" applyFill="1" applyBorder="1" applyAlignment="1">
      <alignment horizontal="center" vertical="center"/>
    </xf>
    <xf numFmtId="3" fontId="11" fillId="11" borderId="0" xfId="0" applyNumberFormat="1" applyFont="1" applyFill="1" applyBorder="1" applyAlignment="1">
      <alignment horizontal="center" vertical="center"/>
    </xf>
    <xf numFmtId="0" fontId="10" fillId="11" borderId="0" xfId="0" applyFont="1" applyFill="1" applyBorder="1" applyAlignment="1" quotePrefix="1">
      <alignment horizontal="left"/>
    </xf>
    <xf numFmtId="0" fontId="7" fillId="11" borderId="0" xfId="0" applyFont="1" applyFill="1" applyBorder="1" applyAlignment="1">
      <alignment horizontal="centerContinuous"/>
    </xf>
    <xf numFmtId="0" fontId="7" fillId="11" borderId="0" xfId="0" applyFont="1" applyFill="1" applyBorder="1" applyAlignment="1">
      <alignment horizontal="left"/>
    </xf>
    <xf numFmtId="3" fontId="7" fillId="0" borderId="13" xfId="0" applyNumberFormat="1" applyFont="1" applyBorder="1" applyAlignment="1">
      <alignment horizontal="right"/>
    </xf>
    <xf numFmtId="3" fontId="10" fillId="11" borderId="18" xfId="0" applyNumberFormat="1" applyFont="1" applyFill="1" applyBorder="1" applyAlignment="1">
      <alignment horizontal="right"/>
    </xf>
    <xf numFmtId="3" fontId="10" fillId="11" borderId="21" xfId="0" applyNumberFormat="1" applyFont="1" applyFill="1" applyBorder="1" applyAlignment="1">
      <alignment horizontal="right"/>
    </xf>
    <xf numFmtId="3" fontId="10" fillId="11" borderId="19" xfId="0" applyNumberFormat="1" applyFont="1" applyFill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197" fontId="10" fillId="11" borderId="31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3" fontId="1" fillId="0" borderId="15" xfId="0" applyNumberFormat="1" applyFont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4" fontId="6" fillId="0" borderId="16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8" xfId="0" applyBorder="1" applyAlignment="1">
      <alignment/>
    </xf>
    <xf numFmtId="4" fontId="6" fillId="0" borderId="19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192" fontId="11" fillId="0" borderId="2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" fontId="6" fillId="0" borderId="0" xfId="0" applyNumberFormat="1" applyFont="1" applyFill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" fontId="0" fillId="0" borderId="40" xfId="0" applyNumberFormat="1" applyBorder="1" applyAlignment="1">
      <alignment/>
    </xf>
    <xf numFmtId="192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37" xfId="0" applyNumberFormat="1" applyBorder="1" applyAlignment="1">
      <alignment/>
    </xf>
    <xf numFmtId="0" fontId="0" fillId="0" borderId="40" xfId="0" applyBorder="1" applyAlignment="1">
      <alignment/>
    </xf>
    <xf numFmtId="2" fontId="7" fillId="0" borderId="14" xfId="0" applyNumberFormat="1" applyFont="1" applyFill="1" applyBorder="1" applyAlignment="1">
      <alignment vertical="center"/>
    </xf>
    <xf numFmtId="0" fontId="6" fillId="16" borderId="0" xfId="0" applyFont="1" applyFill="1" applyBorder="1" applyAlignment="1">
      <alignment/>
    </xf>
    <xf numFmtId="0" fontId="6" fillId="0" borderId="20" xfId="0" applyFont="1" applyFill="1" applyBorder="1" applyAlignment="1">
      <alignment horizontal="centerContinuous" vertical="center"/>
    </xf>
    <xf numFmtId="2" fontId="10" fillId="11" borderId="0" xfId="0" applyNumberFormat="1" applyFont="1" applyFill="1" applyBorder="1" applyAlignment="1">
      <alignment/>
    </xf>
    <xf numFmtId="192" fontId="10" fillId="11" borderId="0" xfId="0" applyNumberFormat="1" applyFont="1" applyFill="1" applyBorder="1" applyAlignment="1">
      <alignment horizontal="center" vertical="center"/>
    </xf>
    <xf numFmtId="192" fontId="6" fillId="19" borderId="20" xfId="0" applyNumberFormat="1" applyFont="1" applyFill="1" applyBorder="1" applyAlignment="1">
      <alignment horizontal="centerContinuous" vertical="center"/>
    </xf>
    <xf numFmtId="0" fontId="7" fillId="16" borderId="0" xfId="0" applyFont="1" applyFill="1" applyBorder="1" applyAlignment="1">
      <alignment/>
    </xf>
    <xf numFmtId="1" fontId="7" fillId="0" borderId="15" xfId="0" applyNumberFormat="1" applyFont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3" fontId="13" fillId="0" borderId="17" xfId="0" applyNumberFormat="1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/>
    </xf>
    <xf numFmtId="13" fontId="7" fillId="5" borderId="34" xfId="0" applyNumberFormat="1" applyFont="1" applyFill="1" applyBorder="1" applyAlignment="1">
      <alignment horizontal="center"/>
    </xf>
    <xf numFmtId="13" fontId="7" fillId="5" borderId="40" xfId="0" applyNumberFormat="1" applyFont="1" applyFill="1" applyBorder="1" applyAlignment="1">
      <alignment horizontal="center"/>
    </xf>
    <xf numFmtId="195" fontId="7" fillId="20" borderId="0" xfId="0" applyNumberFormat="1" applyFont="1" applyFill="1" applyBorder="1" applyAlignment="1">
      <alignment horizontal="center"/>
    </xf>
    <xf numFmtId="0" fontId="6" fillId="21" borderId="0" xfId="0" applyFont="1" applyFill="1" applyBorder="1" applyAlignment="1">
      <alignment horizontal="center"/>
    </xf>
    <xf numFmtId="0" fontId="6" fillId="21" borderId="0" xfId="0" applyFont="1" applyFill="1" applyBorder="1" applyAlignment="1">
      <alignment/>
    </xf>
    <xf numFmtId="49" fontId="7" fillId="16" borderId="32" xfId="0" applyNumberFormat="1" applyFont="1" applyFill="1" applyBorder="1" applyAlignment="1">
      <alignment horizontal="center" vertical="center"/>
    </xf>
    <xf numFmtId="195" fontId="0" fillId="0" borderId="20" xfId="0" applyNumberFormat="1" applyBorder="1" applyAlignment="1">
      <alignment horizontal="center"/>
    </xf>
    <xf numFmtId="195" fontId="0" fillId="0" borderId="35" xfId="0" applyNumberFormat="1" applyBorder="1" applyAlignment="1">
      <alignment horizontal="center"/>
    </xf>
    <xf numFmtId="195" fontId="0" fillId="0" borderId="24" xfId="0" applyNumberFormat="1" applyBorder="1" applyAlignment="1">
      <alignment horizontal="center"/>
    </xf>
    <xf numFmtId="195" fontId="0" fillId="0" borderId="37" xfId="0" applyNumberFormat="1" applyBorder="1" applyAlignment="1">
      <alignment horizontal="center"/>
    </xf>
    <xf numFmtId="192" fontId="6" fillId="0" borderId="29" xfId="0" applyNumberFormat="1" applyFont="1" applyFill="1" applyBorder="1" applyAlignment="1">
      <alignment horizontal="center" vertical="center"/>
    </xf>
    <xf numFmtId="192" fontId="6" fillId="0" borderId="20" xfId="0" applyNumberFormat="1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vertical="center"/>
    </xf>
    <xf numFmtId="0" fontId="6" fillId="7" borderId="0" xfId="0" applyFont="1" applyFill="1" applyBorder="1" applyAlignment="1">
      <alignment/>
    </xf>
    <xf numFmtId="0" fontId="6" fillId="7" borderId="26" xfId="0" applyFont="1" applyFill="1" applyBorder="1" applyAlignment="1">
      <alignment/>
    </xf>
    <xf numFmtId="0" fontId="6" fillId="7" borderId="20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1" fontId="6" fillId="7" borderId="34" xfId="0" applyNumberFormat="1" applyFont="1" applyFill="1" applyBorder="1" applyAlignment="1">
      <alignment horizontal="center" vertical="center"/>
    </xf>
    <xf numFmtId="1" fontId="6" fillId="7" borderId="20" xfId="0" applyNumberFormat="1" applyFont="1" applyFill="1" applyBorder="1" applyAlignment="1">
      <alignment horizontal="center" vertical="center"/>
    </xf>
    <xf numFmtId="12" fontId="6" fillId="7" borderId="20" xfId="0" applyNumberFormat="1" applyFont="1" applyFill="1" applyBorder="1" applyAlignment="1">
      <alignment horizontal="center" vertical="center"/>
    </xf>
    <xf numFmtId="4" fontId="6" fillId="7" borderId="20" xfId="0" applyNumberFormat="1" applyFont="1" applyFill="1" applyBorder="1" applyAlignment="1">
      <alignment horizontal="center" vertical="center"/>
    </xf>
    <xf numFmtId="4" fontId="6" fillId="7" borderId="35" xfId="0" applyNumberFormat="1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13" fontId="6" fillId="7" borderId="20" xfId="0" applyNumberFormat="1" applyFont="1" applyFill="1" applyBorder="1" applyAlignment="1">
      <alignment horizontal="center" vertical="center"/>
    </xf>
    <xf numFmtId="1" fontId="14" fillId="7" borderId="31" xfId="0" applyNumberFormat="1" applyFont="1" applyFill="1" applyBorder="1" applyAlignment="1">
      <alignment horizontal="centerContinuous" vertical="center"/>
    </xf>
    <xf numFmtId="1" fontId="14" fillId="7" borderId="31" xfId="0" applyNumberFormat="1" applyFont="1" applyFill="1" applyBorder="1" applyAlignment="1">
      <alignment horizontal="center" vertical="center"/>
    </xf>
    <xf numFmtId="0" fontId="11" fillId="7" borderId="31" xfId="0" applyFont="1" applyFill="1" applyBorder="1" applyAlignment="1">
      <alignment/>
    </xf>
    <xf numFmtId="2" fontId="6" fillId="7" borderId="20" xfId="0" applyNumberFormat="1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4" fontId="6" fillId="7" borderId="29" xfId="0" applyNumberFormat="1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horizontal="center" vertical="center"/>
    </xf>
    <xf numFmtId="4" fontId="6" fillId="7" borderId="41" xfId="0" applyNumberFormat="1" applyFont="1" applyFill="1" applyBorder="1" applyAlignment="1">
      <alignment horizontal="center" vertical="center"/>
    </xf>
    <xf numFmtId="1" fontId="6" fillId="7" borderId="43" xfId="0" applyNumberFormat="1" applyFont="1" applyFill="1" applyBorder="1" applyAlignment="1">
      <alignment horizontal="center" vertical="center"/>
    </xf>
    <xf numFmtId="0" fontId="6" fillId="7" borderId="27" xfId="0" applyFont="1" applyFill="1" applyBorder="1" applyAlignment="1" quotePrefix="1">
      <alignment horizontal="center" vertical="center"/>
    </xf>
    <xf numFmtId="0" fontId="6" fillId="7" borderId="34" xfId="0" applyFont="1" applyFill="1" applyBorder="1" applyAlignment="1" quotePrefix="1">
      <alignment horizontal="center" vertical="center"/>
    </xf>
    <xf numFmtId="202" fontId="6" fillId="7" borderId="29" xfId="0" applyNumberFormat="1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6" fillId="7" borderId="20" xfId="0" applyNumberFormat="1" applyFont="1" applyFill="1" applyBorder="1" applyAlignment="1">
      <alignment horizontal="center" vertical="center"/>
    </xf>
    <xf numFmtId="0" fontId="6" fillId="7" borderId="35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1" fontId="7" fillId="7" borderId="0" xfId="0" applyNumberFormat="1" applyFont="1" applyFill="1" applyAlignment="1">
      <alignment horizontal="center"/>
    </xf>
    <xf numFmtId="16" fontId="6" fillId="7" borderId="27" xfId="0" applyNumberFormat="1" applyFont="1" applyFill="1" applyBorder="1" applyAlignment="1" quotePrefix="1">
      <alignment horizontal="center" vertical="center"/>
    </xf>
    <xf numFmtId="0" fontId="10" fillId="7" borderId="31" xfId="0" applyFont="1" applyFill="1" applyBorder="1" applyAlignment="1">
      <alignment/>
    </xf>
    <xf numFmtId="0" fontId="7" fillId="7" borderId="0" xfId="0" applyFont="1" applyFill="1" applyBorder="1" applyAlignment="1">
      <alignment/>
    </xf>
    <xf numFmtId="0" fontId="10" fillId="7" borderId="0" xfId="0" applyFont="1" applyFill="1" applyBorder="1" applyAlignment="1">
      <alignment/>
    </xf>
    <xf numFmtId="0" fontId="10" fillId="7" borderId="31" xfId="0" applyFont="1" applyFill="1" applyBorder="1" applyAlignment="1">
      <alignment horizontal="center" vertical="center"/>
    </xf>
    <xf numFmtId="0" fontId="10" fillId="7" borderId="41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vertical="center"/>
    </xf>
    <xf numFmtId="1" fontId="11" fillId="7" borderId="0" xfId="0" applyNumberFormat="1" applyFont="1" applyFill="1" applyBorder="1" applyAlignment="1">
      <alignment horizontal="center" vertical="center"/>
    </xf>
    <xf numFmtId="1" fontId="14" fillId="7" borderId="26" xfId="0" applyNumberFormat="1" applyFont="1" applyFill="1" applyBorder="1" applyAlignment="1">
      <alignment horizontal="center" vertical="center"/>
    </xf>
    <xf numFmtId="1" fontId="6" fillId="7" borderId="0" xfId="0" applyNumberFormat="1" applyFont="1" applyFill="1" applyBorder="1" applyAlignment="1">
      <alignment horizontal="centerContinuous"/>
    </xf>
    <xf numFmtId="0" fontId="6" fillId="7" borderId="0" xfId="0" applyFont="1" applyFill="1" applyBorder="1" applyAlignment="1">
      <alignment horizontal="right" vertical="center"/>
    </xf>
    <xf numFmtId="0" fontId="0" fillId="7" borderId="0" xfId="0" applyFill="1" applyBorder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195" fontId="7" fillId="0" borderId="16" xfId="0" applyNumberFormat="1" applyFont="1" applyBorder="1" applyAlignment="1">
      <alignment/>
    </xf>
    <xf numFmtId="0" fontId="8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4" fontId="7" fillId="7" borderId="35" xfId="0" applyNumberFormat="1" applyFont="1" applyFill="1" applyBorder="1" applyAlignment="1">
      <alignment horizontal="center" vertical="center"/>
    </xf>
    <xf numFmtId="13" fontId="6" fillId="7" borderId="20" xfId="0" applyNumberFormat="1" applyFont="1" applyFill="1" applyBorder="1" applyAlignment="1">
      <alignment vertical="center"/>
    </xf>
    <xf numFmtId="2" fontId="7" fillId="0" borderId="2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Continuous"/>
    </xf>
    <xf numFmtId="0" fontId="9" fillId="0" borderId="0" xfId="0" applyFont="1" applyFill="1" applyBorder="1" applyAlignment="1">
      <alignment/>
    </xf>
    <xf numFmtId="3" fontId="6" fillId="0" borderId="40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22" borderId="47" xfId="0" applyFont="1" applyFill="1" applyBorder="1" applyAlignment="1">
      <alignment horizontal="center" vertical="center"/>
    </xf>
    <xf numFmtId="0" fontId="1" fillId="22" borderId="48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" fillId="22" borderId="36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95" fontId="6" fillId="0" borderId="20" xfId="0" applyNumberFormat="1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47" fillId="0" borderId="0" xfId="0" applyFont="1" applyFill="1" applyBorder="1" applyAlignment="1">
      <alignment/>
    </xf>
    <xf numFmtId="0" fontId="6" fillId="0" borderId="0" xfId="54" applyFont="1" applyFill="1" applyBorder="1">
      <alignment/>
      <protection/>
    </xf>
    <xf numFmtId="1" fontId="6" fillId="0" borderId="0" xfId="54" applyNumberFormat="1" applyFont="1" applyFill="1" applyBorder="1">
      <alignment/>
      <protection/>
    </xf>
    <xf numFmtId="2" fontId="6" fillId="0" borderId="0" xfId="54" applyNumberFormat="1" applyFont="1" applyFill="1" applyBorder="1" applyAlignment="1">
      <alignment horizontal="center"/>
      <protection/>
    </xf>
    <xf numFmtId="4" fontId="6" fillId="0" borderId="0" xfId="54" applyNumberFormat="1" applyFont="1" applyFill="1" applyBorder="1" applyAlignment="1">
      <alignment horizontal="center"/>
      <protection/>
    </xf>
    <xf numFmtId="49" fontId="6" fillId="0" borderId="0" xfId="54" applyNumberFormat="1" applyFont="1" applyFill="1" applyBorder="1" applyAlignment="1">
      <alignment horizontal="center"/>
      <protection/>
    </xf>
    <xf numFmtId="4" fontId="6" fillId="0" borderId="0" xfId="54" applyNumberFormat="1" applyFont="1" applyFill="1" applyBorder="1">
      <alignment/>
      <protection/>
    </xf>
    <xf numFmtId="194" fontId="6" fillId="0" borderId="0" xfId="54" applyNumberFormat="1" applyFont="1" applyFill="1" applyBorder="1" applyAlignment="1">
      <alignment horizontal="center"/>
      <protection/>
    </xf>
    <xf numFmtId="0" fontId="6" fillId="0" borderId="10" xfId="54" applyFont="1" applyFill="1" applyBorder="1">
      <alignment/>
      <protection/>
    </xf>
    <xf numFmtId="1" fontId="6" fillId="0" borderId="11" xfId="54" applyNumberFormat="1" applyFont="1" applyFill="1" applyBorder="1">
      <alignment/>
      <protection/>
    </xf>
    <xf numFmtId="2" fontId="6" fillId="0" borderId="11" xfId="54" applyNumberFormat="1" applyFont="1" applyFill="1" applyBorder="1" applyAlignment="1">
      <alignment horizontal="center"/>
      <protection/>
    </xf>
    <xf numFmtId="4" fontId="6" fillId="0" borderId="11" xfId="54" applyNumberFormat="1" applyFont="1" applyFill="1" applyBorder="1" applyAlignment="1">
      <alignment horizontal="center"/>
      <protection/>
    </xf>
    <xf numFmtId="49" fontId="6" fillId="0" borderId="11" xfId="54" applyNumberFormat="1" applyFont="1" applyFill="1" applyBorder="1" applyAlignment="1">
      <alignment horizontal="center"/>
      <protection/>
    </xf>
    <xf numFmtId="4" fontId="6" fillId="0" borderId="11" xfId="54" applyNumberFormat="1" applyFont="1" applyFill="1" applyBorder="1">
      <alignment/>
      <protection/>
    </xf>
    <xf numFmtId="194" fontId="6" fillId="0" borderId="11" xfId="54" applyNumberFormat="1" applyFont="1" applyFill="1" applyBorder="1" applyAlignment="1">
      <alignment horizontal="center"/>
      <protection/>
    </xf>
    <xf numFmtId="0" fontId="6" fillId="0" borderId="12" xfId="54" applyFont="1" applyFill="1" applyBorder="1">
      <alignment/>
      <protection/>
    </xf>
    <xf numFmtId="0" fontId="6" fillId="0" borderId="13" xfId="54" applyFont="1" applyFill="1" applyBorder="1">
      <alignment/>
      <protection/>
    </xf>
    <xf numFmtId="0" fontId="7" fillId="0" borderId="14" xfId="54" applyFont="1" applyFill="1" applyBorder="1">
      <alignment/>
      <protection/>
    </xf>
    <xf numFmtId="0" fontId="6" fillId="0" borderId="15" xfId="54" applyFont="1" applyFill="1" applyBorder="1">
      <alignment/>
      <protection/>
    </xf>
    <xf numFmtId="2" fontId="6" fillId="0" borderId="15" xfId="54" applyNumberFormat="1" applyFont="1" applyFill="1" applyBorder="1">
      <alignment/>
      <protection/>
    </xf>
    <xf numFmtId="0" fontId="7" fillId="0" borderId="15" xfId="54" applyFont="1" applyFill="1" applyBorder="1" applyAlignment="1">
      <alignment horizontal="centerContinuous" vertical="center"/>
      <protection/>
    </xf>
    <xf numFmtId="0" fontId="6" fillId="0" borderId="15" xfId="54" applyFont="1" applyFill="1" applyBorder="1" applyAlignment="1">
      <alignment horizontal="centerContinuous" vertical="center"/>
      <protection/>
    </xf>
    <xf numFmtId="0" fontId="6" fillId="0" borderId="15" xfId="54" applyFont="1" applyFill="1" applyBorder="1" applyAlignment="1">
      <alignment horizontal="centerContinuous"/>
      <protection/>
    </xf>
    <xf numFmtId="0" fontId="6" fillId="0" borderId="17" xfId="54" applyFont="1" applyFill="1" applyBorder="1" applyAlignment="1">
      <alignment horizontal="centerContinuous"/>
      <protection/>
    </xf>
    <xf numFmtId="0" fontId="6" fillId="0" borderId="16" xfId="54" applyFont="1" applyFill="1" applyBorder="1">
      <alignment/>
      <protection/>
    </xf>
    <xf numFmtId="1" fontId="8" fillId="0" borderId="0" xfId="54" applyNumberFormat="1" applyFont="1" applyFill="1" applyBorder="1">
      <alignment/>
      <protection/>
    </xf>
    <xf numFmtId="2" fontId="8" fillId="0" borderId="0" xfId="54" applyNumberFormat="1" applyFont="1" applyFill="1" applyBorder="1" applyAlignment="1">
      <alignment horizontal="center"/>
      <protection/>
    </xf>
    <xf numFmtId="4" fontId="8" fillId="0" borderId="0" xfId="54" applyNumberFormat="1" applyFont="1" applyFill="1" applyBorder="1" applyAlignment="1">
      <alignment horizontal="center"/>
      <protection/>
    </xf>
    <xf numFmtId="49" fontId="8" fillId="0" borderId="0" xfId="54" applyNumberFormat="1" applyFont="1" applyFill="1" applyBorder="1" applyAlignment="1">
      <alignment horizontal="center"/>
      <protection/>
    </xf>
    <xf numFmtId="4" fontId="8" fillId="0" borderId="0" xfId="54" applyNumberFormat="1" applyFont="1" applyFill="1" applyBorder="1">
      <alignment/>
      <protection/>
    </xf>
    <xf numFmtId="194" fontId="8" fillId="0" borderId="0" xfId="54" applyNumberFormat="1" applyFont="1" applyFill="1" applyBorder="1" applyAlignment="1">
      <alignment horizontal="center"/>
      <protection/>
    </xf>
    <xf numFmtId="1" fontId="9" fillId="0" borderId="14" xfId="54" applyNumberFormat="1" applyFont="1" applyFill="1" applyBorder="1" applyAlignment="1">
      <alignment vertical="center"/>
      <protection/>
    </xf>
    <xf numFmtId="1" fontId="9" fillId="0" borderId="15" xfId="54" applyNumberFormat="1" applyFont="1" applyFill="1" applyBorder="1" applyAlignment="1">
      <alignment vertical="center"/>
      <protection/>
    </xf>
    <xf numFmtId="2" fontId="8" fillId="0" borderId="15" xfId="54" applyNumberFormat="1" applyFont="1" applyFill="1" applyBorder="1" applyAlignment="1">
      <alignment horizontal="center" vertical="justify"/>
      <protection/>
    </xf>
    <xf numFmtId="4" fontId="13" fillId="0" borderId="15" xfId="54" applyNumberFormat="1" applyFont="1" applyFill="1" applyBorder="1" applyAlignment="1">
      <alignment horizontal="centerContinuous" vertical="center"/>
      <protection/>
    </xf>
    <xf numFmtId="49" fontId="9" fillId="0" borderId="15" xfId="54" applyNumberFormat="1" applyFont="1" applyFill="1" applyBorder="1" applyAlignment="1">
      <alignment horizontal="centerContinuous" vertical="justify"/>
      <protection/>
    </xf>
    <xf numFmtId="4" fontId="9" fillId="0" borderId="15" xfId="54" applyNumberFormat="1" applyFont="1" applyFill="1" applyBorder="1" applyAlignment="1">
      <alignment horizontal="centerContinuous" vertical="justify"/>
      <protection/>
    </xf>
    <xf numFmtId="4" fontId="9" fillId="0" borderId="17" xfId="54" applyNumberFormat="1" applyFont="1" applyFill="1" applyBorder="1" applyAlignment="1">
      <alignment horizontal="centerContinuous" vertical="justify"/>
      <protection/>
    </xf>
    <xf numFmtId="0" fontId="7" fillId="0" borderId="14" xfId="54" applyFont="1" applyFill="1" applyBorder="1" applyAlignment="1">
      <alignment vertical="center"/>
      <protection/>
    </xf>
    <xf numFmtId="1" fontId="10" fillId="0" borderId="15" xfId="54" applyNumberFormat="1" applyFont="1" applyFill="1" applyBorder="1" applyAlignment="1" quotePrefix="1">
      <alignment horizontal="center" vertical="center"/>
      <protection/>
    </xf>
    <xf numFmtId="4" fontId="7" fillId="0" borderId="15" xfId="54" applyNumberFormat="1" applyFont="1" applyFill="1" applyBorder="1" applyAlignment="1">
      <alignment horizontal="center" vertical="center"/>
      <protection/>
    </xf>
    <xf numFmtId="3" fontId="10" fillId="0" borderId="17" xfId="54" applyNumberFormat="1" applyFont="1" applyFill="1" applyBorder="1" applyAlignment="1">
      <alignment horizontal="center" vertical="center"/>
      <protection/>
    </xf>
    <xf numFmtId="1" fontId="9" fillId="0" borderId="22" xfId="54" applyNumberFormat="1" applyFont="1" applyFill="1" applyBorder="1" applyAlignment="1">
      <alignment horizontal="centerContinuous" vertical="center"/>
      <protection/>
    </xf>
    <xf numFmtId="2" fontId="9" fillId="0" borderId="22" xfId="54" applyNumberFormat="1" applyFont="1" applyFill="1" applyBorder="1" applyAlignment="1">
      <alignment horizontal="center" vertical="justify"/>
      <protection/>
    </xf>
    <xf numFmtId="4" fontId="9" fillId="0" borderId="22" xfId="54" applyNumberFormat="1" applyFont="1" applyFill="1" applyBorder="1" applyAlignment="1">
      <alignment horizontal="center" vertical="center"/>
      <protection/>
    </xf>
    <xf numFmtId="49" fontId="9" fillId="0" borderId="22" xfId="54" applyNumberFormat="1" applyFont="1" applyFill="1" applyBorder="1" applyAlignment="1">
      <alignment horizontal="center" vertical="center"/>
      <protection/>
    </xf>
    <xf numFmtId="49" fontId="9" fillId="0" borderId="22" xfId="54" applyNumberFormat="1" applyFont="1" applyFill="1" applyBorder="1" applyAlignment="1">
      <alignment horizontal="center" vertical="justify"/>
      <protection/>
    </xf>
    <xf numFmtId="4" fontId="9" fillId="0" borderId="14" xfId="54" applyNumberFormat="1" applyFont="1" applyFill="1" applyBorder="1" applyAlignment="1">
      <alignment horizontal="centerContinuous" vertical="center"/>
      <protection/>
    </xf>
    <xf numFmtId="4" fontId="9" fillId="0" borderId="15" xfId="54" applyNumberFormat="1" applyFont="1" applyFill="1" applyBorder="1" applyAlignment="1">
      <alignment horizontal="centerContinuous" vertical="center"/>
      <protection/>
    </xf>
    <xf numFmtId="194" fontId="9" fillId="0" borderId="22" xfId="54" applyNumberFormat="1" applyFont="1" applyFill="1" applyBorder="1" applyAlignment="1">
      <alignment horizontal="center" vertical="justify"/>
      <protection/>
    </xf>
    <xf numFmtId="4" fontId="9" fillId="0" borderId="22" xfId="54" applyNumberFormat="1" applyFont="1" applyFill="1" applyBorder="1" applyAlignment="1">
      <alignment horizontal="center" vertical="justify"/>
      <protection/>
    </xf>
    <xf numFmtId="0" fontId="7" fillId="0" borderId="0" xfId="54" applyFont="1" applyFill="1" applyBorder="1" applyAlignment="1">
      <alignment horizontal="center"/>
      <protection/>
    </xf>
    <xf numFmtId="1" fontId="9" fillId="0" borderId="14" xfId="54" applyNumberFormat="1" applyFont="1" applyFill="1" applyBorder="1" applyAlignment="1">
      <alignment horizontal="centerContinuous"/>
      <protection/>
    </xf>
    <xf numFmtId="1" fontId="9" fillId="0" borderId="25" xfId="54" applyNumberFormat="1" applyFont="1" applyFill="1" applyBorder="1" applyAlignment="1">
      <alignment horizontal="centerContinuous"/>
      <protection/>
    </xf>
    <xf numFmtId="2" fontId="9" fillId="0" borderId="23" xfId="54" applyNumberFormat="1" applyFont="1" applyFill="1" applyBorder="1" applyAlignment="1">
      <alignment horizontal="center"/>
      <protection/>
    </xf>
    <xf numFmtId="4" fontId="9" fillId="0" borderId="23" xfId="54" applyNumberFormat="1" applyFont="1" applyFill="1" applyBorder="1" applyAlignment="1">
      <alignment horizontal="center" vertical="center"/>
      <protection/>
    </xf>
    <xf numFmtId="49" fontId="9" fillId="0" borderId="23" xfId="54" applyNumberFormat="1" applyFont="1" applyFill="1" applyBorder="1" applyAlignment="1">
      <alignment horizontal="center" vertical="center"/>
      <protection/>
    </xf>
    <xf numFmtId="4" fontId="9" fillId="0" borderId="26" xfId="54" applyNumberFormat="1" applyFont="1" applyFill="1" applyBorder="1" applyAlignment="1">
      <alignment horizontal="center" vertical="center"/>
      <protection/>
    </xf>
    <xf numFmtId="4" fontId="9" fillId="0" borderId="17" xfId="54" applyNumberFormat="1" applyFont="1" applyFill="1" applyBorder="1" applyAlignment="1">
      <alignment horizontal="center" vertical="center"/>
      <protection/>
    </xf>
    <xf numFmtId="194" fontId="9" fillId="0" borderId="23" xfId="54" applyNumberFormat="1" applyFont="1" applyFill="1" applyBorder="1" applyAlignment="1">
      <alignment horizontal="center" vertical="center"/>
      <protection/>
    </xf>
    <xf numFmtId="1" fontId="7" fillId="0" borderId="0" xfId="54" applyNumberFormat="1" applyFont="1" applyFill="1" applyBorder="1" applyAlignment="1">
      <alignment horizontal="centerContinuous"/>
      <protection/>
    </xf>
    <xf numFmtId="2" fontId="7" fillId="0" borderId="0" xfId="54" applyNumberFormat="1" applyFont="1" applyFill="1" applyBorder="1" applyAlignment="1">
      <alignment horizontal="center"/>
      <protection/>
    </xf>
    <xf numFmtId="4" fontId="7" fillId="0" borderId="0" xfId="54" applyNumberFormat="1" applyFont="1" applyFill="1" applyBorder="1" applyAlignment="1">
      <alignment horizontal="center" vertical="justify"/>
      <protection/>
    </xf>
    <xf numFmtId="49" fontId="7" fillId="0" borderId="0" xfId="54" applyNumberFormat="1" applyFont="1" applyFill="1" applyBorder="1" applyAlignment="1">
      <alignment horizontal="center" vertical="justify"/>
      <protection/>
    </xf>
    <xf numFmtId="194" fontId="7" fillId="0" borderId="0" xfId="54" applyNumberFormat="1" applyFont="1" applyFill="1" applyBorder="1" applyAlignment="1">
      <alignment horizontal="center" vertical="justify"/>
      <protection/>
    </xf>
    <xf numFmtId="13" fontId="7" fillId="5" borderId="34" xfId="54" applyNumberFormat="1" applyFont="1" applyFill="1" applyBorder="1" applyAlignment="1">
      <alignment horizontal="center"/>
      <protection/>
    </xf>
    <xf numFmtId="195" fontId="0" fillId="0" borderId="20" xfId="54" applyNumberFormat="1" applyBorder="1" applyAlignment="1">
      <alignment horizontal="center"/>
      <protection/>
    </xf>
    <xf numFmtId="195" fontId="0" fillId="0" borderId="35" xfId="54" applyNumberFormat="1" applyBorder="1" applyAlignment="1">
      <alignment horizontal="center"/>
      <protection/>
    </xf>
    <xf numFmtId="1" fontId="10" fillId="7" borderId="27" xfId="54" applyNumberFormat="1" applyFont="1" applyFill="1" applyBorder="1" applyAlignment="1">
      <alignment horizontal="left" vertical="center"/>
      <protection/>
    </xf>
    <xf numFmtId="1" fontId="6" fillId="7" borderId="28" xfId="54" applyNumberFormat="1" applyFont="1" applyFill="1" applyBorder="1" applyAlignment="1">
      <alignment vertical="center"/>
      <protection/>
    </xf>
    <xf numFmtId="2" fontId="6" fillId="7" borderId="29" xfId="54" applyNumberFormat="1" applyFont="1" applyFill="1" applyBorder="1" applyAlignment="1">
      <alignment horizontal="center"/>
      <protection/>
    </xf>
    <xf numFmtId="4" fontId="6" fillId="7" borderId="29" xfId="54" applyNumberFormat="1" applyFont="1" applyFill="1" applyBorder="1" applyAlignment="1">
      <alignment horizontal="center"/>
      <protection/>
    </xf>
    <xf numFmtId="49" fontId="6" fillId="7" borderId="29" xfId="54" applyNumberFormat="1" applyFont="1" applyFill="1" applyBorder="1" applyAlignment="1">
      <alignment horizontal="center"/>
      <protection/>
    </xf>
    <xf numFmtId="4" fontId="6" fillId="7" borderId="29" xfId="54" applyNumberFormat="1" applyFont="1" applyFill="1" applyBorder="1">
      <alignment/>
      <protection/>
    </xf>
    <xf numFmtId="194" fontId="0" fillId="7" borderId="29" xfId="54" applyNumberFormat="1" applyFill="1" applyBorder="1" applyAlignment="1">
      <alignment horizontal="center"/>
      <protection/>
    </xf>
    <xf numFmtId="4" fontId="6" fillId="7" borderId="30" xfId="54" applyNumberFormat="1" applyFont="1" applyFill="1" applyBorder="1" applyAlignment="1">
      <alignment horizontal="center"/>
      <protection/>
    </xf>
    <xf numFmtId="1" fontId="11" fillId="7" borderId="51" xfId="54" applyNumberFormat="1" applyFont="1" applyFill="1" applyBorder="1" applyAlignment="1">
      <alignment horizontal="left" vertical="center"/>
      <protection/>
    </xf>
    <xf numFmtId="1" fontId="6" fillId="7" borderId="31" xfId="54" applyNumberFormat="1" applyFont="1" applyFill="1" applyBorder="1" applyAlignment="1">
      <alignment vertical="center"/>
      <protection/>
    </xf>
    <xf numFmtId="2" fontId="6" fillId="7" borderId="32" xfId="54" applyNumberFormat="1" applyFont="1" applyFill="1" applyBorder="1" applyAlignment="1">
      <alignment horizontal="center"/>
      <protection/>
    </xf>
    <xf numFmtId="4" fontId="6" fillId="7" borderId="32" xfId="54" applyNumberFormat="1" applyFont="1" applyFill="1" applyBorder="1" applyAlignment="1">
      <alignment horizontal="center"/>
      <protection/>
    </xf>
    <xf numFmtId="49" fontId="6" fillId="7" borderId="32" xfId="54" applyNumberFormat="1" applyFont="1" applyFill="1" applyBorder="1" applyAlignment="1">
      <alignment horizontal="center"/>
      <protection/>
    </xf>
    <xf numFmtId="4" fontId="6" fillId="7" borderId="32" xfId="54" applyNumberFormat="1" applyFont="1" applyFill="1" applyBorder="1">
      <alignment/>
      <protection/>
    </xf>
    <xf numFmtId="194" fontId="0" fillId="7" borderId="32" xfId="54" applyNumberFormat="1" applyFill="1" applyBorder="1" applyAlignment="1">
      <alignment horizontal="center"/>
      <protection/>
    </xf>
    <xf numFmtId="4" fontId="6" fillId="7" borderId="33" xfId="54" applyNumberFormat="1" applyFont="1" applyFill="1" applyBorder="1" applyAlignment="1">
      <alignment horizontal="center"/>
      <protection/>
    </xf>
    <xf numFmtId="0" fontId="7" fillId="7" borderId="0" xfId="54" applyFont="1" applyFill="1" applyBorder="1" applyAlignment="1">
      <alignment horizontal="center"/>
      <protection/>
    </xf>
    <xf numFmtId="1" fontId="6" fillId="7" borderId="34" xfId="54" applyNumberFormat="1" applyFont="1" applyFill="1" applyBorder="1" applyAlignment="1">
      <alignment horizontal="center" vertical="center"/>
      <protection/>
    </xf>
    <xf numFmtId="1" fontId="6" fillId="7" borderId="20" xfId="54" applyNumberFormat="1" applyFont="1" applyFill="1" applyBorder="1" applyAlignment="1">
      <alignment horizontal="center" vertical="center"/>
      <protection/>
    </xf>
    <xf numFmtId="2" fontId="11" fillId="7" borderId="20" xfId="54" applyNumberFormat="1" applyFont="1" applyFill="1" applyBorder="1" applyAlignment="1">
      <alignment horizontal="center" vertical="center"/>
      <protection/>
    </xf>
    <xf numFmtId="2" fontId="11" fillId="18" borderId="20" xfId="54" applyNumberFormat="1" applyFont="1" applyFill="1" applyBorder="1" applyAlignment="1">
      <alignment horizontal="center" vertical="center"/>
      <protection/>
    </xf>
    <xf numFmtId="4" fontId="6" fillId="0" borderId="20" xfId="54" applyNumberFormat="1" applyFont="1" applyFill="1" applyBorder="1" applyAlignment="1">
      <alignment horizontal="center" vertical="center"/>
      <protection/>
    </xf>
    <xf numFmtId="13" fontId="6" fillId="0" borderId="20" xfId="54" applyNumberFormat="1" applyFont="1" applyFill="1" applyBorder="1" applyAlignment="1">
      <alignment horizontal="center" vertical="center"/>
      <protection/>
    </xf>
    <xf numFmtId="49" fontId="7" fillId="16" borderId="32" xfId="54" applyNumberFormat="1" applyFont="1" applyFill="1" applyBorder="1" applyAlignment="1">
      <alignment horizontal="center" vertical="center"/>
      <protection/>
    </xf>
    <xf numFmtId="4" fontId="6" fillId="0" borderId="20" xfId="54" applyNumberFormat="1" applyFont="1" applyFill="1" applyBorder="1" applyAlignment="1">
      <alignment vertical="center"/>
      <protection/>
    </xf>
    <xf numFmtId="194" fontId="6" fillId="0" borderId="20" xfId="54" applyNumberFormat="1" applyFont="1" applyFill="1" applyBorder="1" applyAlignment="1">
      <alignment horizontal="center" vertical="center"/>
      <protection/>
    </xf>
    <xf numFmtId="4" fontId="7" fillId="0" borderId="20" xfId="54" applyNumberFormat="1" applyFont="1" applyFill="1" applyBorder="1" applyAlignment="1">
      <alignment horizontal="center" vertical="center"/>
      <protection/>
    </xf>
    <xf numFmtId="4" fontId="6" fillId="7" borderId="35" xfId="54" applyNumberFormat="1" applyFont="1" applyFill="1" applyBorder="1" applyAlignment="1">
      <alignment horizontal="center" vertical="center"/>
      <protection/>
    </xf>
    <xf numFmtId="0" fontId="6" fillId="0" borderId="0" xfId="54" applyFont="1" applyBorder="1">
      <alignment/>
      <protection/>
    </xf>
    <xf numFmtId="2" fontId="6" fillId="18" borderId="20" xfId="54" applyNumberFormat="1" applyFont="1" applyFill="1" applyBorder="1" applyAlignment="1">
      <alignment horizontal="center" vertical="center"/>
      <protection/>
    </xf>
    <xf numFmtId="12" fontId="6" fillId="7" borderId="20" xfId="54" applyNumberFormat="1" applyFont="1" applyFill="1" applyBorder="1" applyAlignment="1">
      <alignment horizontal="center" vertical="center"/>
      <protection/>
    </xf>
    <xf numFmtId="2" fontId="6" fillId="7" borderId="20" xfId="54" applyNumberFormat="1" applyFont="1" applyFill="1" applyBorder="1" applyAlignment="1">
      <alignment horizontal="center" vertical="center"/>
      <protection/>
    </xf>
    <xf numFmtId="4" fontId="6" fillId="7" borderId="20" xfId="54" applyNumberFormat="1" applyFont="1" applyFill="1" applyBorder="1" applyAlignment="1">
      <alignment horizontal="center" vertical="center"/>
      <protection/>
    </xf>
    <xf numFmtId="4" fontId="6" fillId="0" borderId="35" xfId="54" applyNumberFormat="1" applyFont="1" applyFill="1" applyBorder="1" applyAlignment="1">
      <alignment horizontal="center" vertical="center"/>
      <protection/>
    </xf>
    <xf numFmtId="4" fontId="6" fillId="0" borderId="0" xfId="54" applyNumberFormat="1" applyFont="1" applyBorder="1">
      <alignment/>
      <protection/>
    </xf>
    <xf numFmtId="0" fontId="7" fillId="0" borderId="0" xfId="54" applyFont="1" applyFill="1" applyBorder="1" applyAlignment="1">
      <alignment/>
      <protection/>
    </xf>
    <xf numFmtId="195" fontId="6" fillId="0" borderId="0" xfId="54" applyNumberFormat="1" applyFont="1" applyFill="1" applyBorder="1" applyAlignment="1">
      <alignment horizontal="center"/>
      <protection/>
    </xf>
    <xf numFmtId="195" fontId="6" fillId="0" borderId="0" xfId="54" applyNumberFormat="1" applyFont="1" applyFill="1" applyAlignment="1">
      <alignment horizontal="center"/>
      <protection/>
    </xf>
    <xf numFmtId="4" fontId="6" fillId="0" borderId="0" xfId="54" applyNumberFormat="1" applyFont="1" applyFill="1" applyAlignment="1">
      <alignment horizontal="center"/>
      <protection/>
    </xf>
    <xf numFmtId="13" fontId="7" fillId="5" borderId="40" xfId="54" applyNumberFormat="1" applyFont="1" applyFill="1" applyBorder="1" applyAlignment="1">
      <alignment horizontal="center"/>
      <protection/>
    </xf>
    <xf numFmtId="195" fontId="0" fillId="0" borderId="24" xfId="54" applyNumberFormat="1" applyBorder="1" applyAlignment="1">
      <alignment horizontal="center"/>
      <protection/>
    </xf>
    <xf numFmtId="195" fontId="0" fillId="0" borderId="37" xfId="54" applyNumberFormat="1" applyBorder="1" applyAlignment="1">
      <alignment horizontal="center"/>
      <protection/>
    </xf>
    <xf numFmtId="0" fontId="0" fillId="0" borderId="0" xfId="54">
      <alignment/>
      <protection/>
    </xf>
    <xf numFmtId="1" fontId="6" fillId="0" borderId="34" xfId="54" applyNumberFormat="1" applyFont="1" applyFill="1" applyBorder="1" applyAlignment="1">
      <alignment horizontal="center" vertical="center"/>
      <protection/>
    </xf>
    <xf numFmtId="1" fontId="6" fillId="0" borderId="20" xfId="54" applyNumberFormat="1" applyFont="1" applyFill="1" applyBorder="1" applyAlignment="1">
      <alignment horizontal="center" vertical="center"/>
      <protection/>
    </xf>
    <xf numFmtId="2" fontId="6" fillId="0" borderId="20" xfId="54" applyNumberFormat="1" applyFont="1" applyFill="1" applyBorder="1" applyAlignment="1">
      <alignment horizontal="center" vertical="center"/>
      <protection/>
    </xf>
    <xf numFmtId="12" fontId="6" fillId="0" borderId="20" xfId="54" applyNumberFormat="1" applyFont="1" applyFill="1" applyBorder="1" applyAlignment="1">
      <alignment horizontal="center" vertical="center"/>
      <protection/>
    </xf>
    <xf numFmtId="2" fontId="6" fillId="0" borderId="0" xfId="54" applyNumberFormat="1" applyFont="1" applyFill="1" applyBorder="1">
      <alignment/>
      <protection/>
    </xf>
    <xf numFmtId="0" fontId="6" fillId="21" borderId="0" xfId="54" applyFont="1" applyFill="1" applyBorder="1" applyAlignment="1">
      <alignment horizontal="center"/>
      <protection/>
    </xf>
    <xf numFmtId="0" fontId="6" fillId="21" borderId="0" xfId="54" applyFont="1" applyFill="1" applyBorder="1">
      <alignment/>
      <protection/>
    </xf>
    <xf numFmtId="195" fontId="7" fillId="20" borderId="0" xfId="54" applyNumberFormat="1" applyFont="1" applyFill="1" applyBorder="1" applyAlignment="1">
      <alignment horizontal="center"/>
      <protection/>
    </xf>
    <xf numFmtId="0" fontId="1" fillId="0" borderId="0" xfId="54" applyFont="1" applyFill="1" applyBorder="1" applyAlignment="1">
      <alignment vertical="center" wrapText="1"/>
      <protection/>
    </xf>
    <xf numFmtId="1" fontId="6" fillId="0" borderId="18" xfId="54" applyNumberFormat="1" applyFont="1" applyFill="1" applyBorder="1" applyAlignment="1">
      <alignment horizontal="center" vertical="center"/>
      <protection/>
    </xf>
    <xf numFmtId="1" fontId="6" fillId="0" borderId="36" xfId="54" applyNumberFormat="1" applyFont="1" applyFill="1" applyBorder="1" applyAlignment="1">
      <alignment horizontal="center" vertical="center"/>
      <protection/>
    </xf>
    <xf numFmtId="2" fontId="6" fillId="0" borderId="24" xfId="54" applyNumberFormat="1" applyFont="1" applyFill="1" applyBorder="1" applyAlignment="1">
      <alignment horizontal="center" vertical="center"/>
      <protection/>
    </xf>
    <xf numFmtId="2" fontId="7" fillId="0" borderId="24" xfId="54" applyNumberFormat="1" applyFont="1" applyFill="1" applyBorder="1" applyAlignment="1">
      <alignment horizontal="center" vertical="center"/>
      <protection/>
    </xf>
    <xf numFmtId="49" fontId="6" fillId="0" borderId="24" xfId="54" applyNumberFormat="1" applyFont="1" applyFill="1" applyBorder="1" applyAlignment="1">
      <alignment horizontal="center" vertical="center"/>
      <protection/>
    </xf>
    <xf numFmtId="4" fontId="6" fillId="0" borderId="24" xfId="54" applyNumberFormat="1" applyFont="1" applyFill="1" applyBorder="1" applyAlignment="1">
      <alignment horizontal="center" vertical="center"/>
      <protection/>
    </xf>
    <xf numFmtId="4" fontId="7" fillId="0" borderId="24" xfId="54" applyNumberFormat="1" applyFont="1" applyFill="1" applyBorder="1" applyAlignment="1">
      <alignment vertical="center"/>
      <protection/>
    </xf>
    <xf numFmtId="4" fontId="6" fillId="0" borderId="21" xfId="54" applyNumberFormat="1" applyFont="1" applyFill="1" applyBorder="1" applyAlignment="1">
      <alignment vertical="center"/>
      <protection/>
    </xf>
    <xf numFmtId="4" fontId="6" fillId="0" borderId="24" xfId="54" applyNumberFormat="1" applyFont="1" applyFill="1" applyBorder="1" applyAlignment="1">
      <alignment vertical="center"/>
      <protection/>
    </xf>
    <xf numFmtId="194" fontId="6" fillId="0" borderId="24" xfId="54" applyNumberFormat="1" applyFont="1" applyFill="1" applyBorder="1" applyAlignment="1">
      <alignment horizontal="center" vertical="center"/>
      <protection/>
    </xf>
    <xf numFmtId="4" fontId="7" fillId="0" borderId="24" xfId="54" applyNumberFormat="1" applyFont="1" applyFill="1" applyBorder="1" applyAlignment="1">
      <alignment horizontal="center" vertical="center"/>
      <protection/>
    </xf>
    <xf numFmtId="4" fontId="6" fillId="0" borderId="37" xfId="54" applyNumberFormat="1" applyFont="1" applyFill="1" applyBorder="1" applyAlignment="1">
      <alignment horizontal="center" vertical="center"/>
      <protection/>
    </xf>
    <xf numFmtId="1" fontId="6" fillId="0" borderId="21" xfId="54" applyNumberFormat="1" applyFont="1" applyFill="1" applyBorder="1" applyAlignment="1">
      <alignment horizontal="right"/>
      <protection/>
    </xf>
    <xf numFmtId="2" fontId="6" fillId="0" borderId="21" xfId="54" applyNumberFormat="1" applyFont="1" applyFill="1" applyBorder="1" applyAlignment="1">
      <alignment horizontal="center"/>
      <protection/>
    </xf>
    <xf numFmtId="4" fontId="6" fillId="0" borderId="21" xfId="54" applyNumberFormat="1" applyFont="1" applyFill="1" applyBorder="1" applyAlignment="1">
      <alignment horizontal="center"/>
      <protection/>
    </xf>
    <xf numFmtId="49" fontId="6" fillId="0" borderId="21" xfId="54" applyNumberFormat="1" applyFont="1" applyFill="1" applyBorder="1" applyAlignment="1">
      <alignment horizontal="center"/>
      <protection/>
    </xf>
    <xf numFmtId="4" fontId="6" fillId="0" borderId="21" xfId="54" applyNumberFormat="1" applyFont="1" applyFill="1" applyBorder="1" applyAlignment="1">
      <alignment horizontal="right"/>
      <protection/>
    </xf>
    <xf numFmtId="194" fontId="6" fillId="0" borderId="21" xfId="54" applyNumberFormat="1" applyFont="1" applyFill="1" applyBorder="1" applyAlignment="1">
      <alignment horizontal="center"/>
      <protection/>
    </xf>
    <xf numFmtId="1" fontId="6" fillId="0" borderId="0" xfId="54" applyNumberFormat="1" applyFont="1" applyFill="1" applyBorder="1" applyAlignment="1">
      <alignment horizontal="right"/>
      <protection/>
    </xf>
    <xf numFmtId="4" fontId="6" fillId="0" borderId="0" xfId="54" applyNumberFormat="1" applyFont="1" applyFill="1" applyBorder="1" applyAlignment="1">
      <alignment horizontal="right"/>
      <protection/>
    </xf>
    <xf numFmtId="3" fontId="6" fillId="0" borderId="0" xfId="54" applyNumberFormat="1" applyFont="1" applyFill="1" applyBorder="1" applyAlignment="1">
      <alignment horizontal="right"/>
      <protection/>
    </xf>
    <xf numFmtId="1" fontId="6" fillId="0" borderId="0" xfId="54" applyNumberFormat="1" applyFont="1" applyFill="1" applyBorder="1" applyAlignment="1">
      <alignment horizontal="centerContinuous"/>
      <protection/>
    </xf>
    <xf numFmtId="4" fontId="6" fillId="0" borderId="0" xfId="54" applyNumberFormat="1" applyFont="1" applyFill="1" applyBorder="1" applyAlignment="1">
      <alignment horizontal="centerContinuous"/>
      <protection/>
    </xf>
    <xf numFmtId="3" fontId="6" fillId="0" borderId="0" xfId="54" applyNumberFormat="1" applyFont="1" applyFill="1" applyBorder="1" applyAlignment="1">
      <alignment horizontal="centerContinuous"/>
      <protection/>
    </xf>
    <xf numFmtId="1" fontId="0" fillId="0" borderId="0" xfId="54" applyNumberFormat="1" applyFill="1" applyBorder="1">
      <alignment/>
      <protection/>
    </xf>
    <xf numFmtId="2" fontId="0" fillId="0" borderId="0" xfId="54" applyNumberFormat="1" applyFill="1" applyBorder="1" applyAlignment="1">
      <alignment horizontal="center"/>
      <protection/>
    </xf>
    <xf numFmtId="4" fontId="0" fillId="0" borderId="0" xfId="54" applyNumberFormat="1" applyFill="1" applyBorder="1" applyAlignment="1">
      <alignment horizontal="center"/>
      <protection/>
    </xf>
    <xf numFmtId="49" fontId="0" fillId="0" borderId="0" xfId="54" applyNumberFormat="1" applyFill="1" applyBorder="1" applyAlignment="1">
      <alignment horizontal="center"/>
      <protection/>
    </xf>
    <xf numFmtId="4" fontId="0" fillId="0" borderId="0" xfId="54" applyNumberFormat="1" applyFill="1" applyBorder="1">
      <alignment/>
      <protection/>
    </xf>
    <xf numFmtId="194" fontId="0" fillId="0" borderId="0" xfId="54" applyNumberFormat="1" applyFill="1" applyBorder="1" applyAlignment="1">
      <alignment horizontal="center"/>
      <protection/>
    </xf>
    <xf numFmtId="1" fontId="7" fillId="0" borderId="0" xfId="54" applyNumberFormat="1" applyFont="1" applyFill="1" applyBorder="1">
      <alignment/>
      <protection/>
    </xf>
    <xf numFmtId="4" fontId="7" fillId="0" borderId="0" xfId="54" applyNumberFormat="1" applyFont="1" applyFill="1" applyBorder="1" applyAlignment="1">
      <alignment horizontal="center"/>
      <protection/>
    </xf>
    <xf numFmtId="49" fontId="7" fillId="0" borderId="0" xfId="54" applyNumberFormat="1" applyFont="1" applyFill="1" applyBorder="1" applyAlignment="1">
      <alignment horizontal="center"/>
      <protection/>
    </xf>
    <xf numFmtId="4" fontId="7" fillId="0" borderId="0" xfId="54" applyNumberFormat="1" applyFont="1" applyFill="1" applyBorder="1">
      <alignment/>
      <protection/>
    </xf>
    <xf numFmtId="194" fontId="7" fillId="0" borderId="0" xfId="54" applyNumberFormat="1" applyFont="1" applyFill="1" applyBorder="1" applyAlignment="1">
      <alignment horizontal="center"/>
      <protection/>
    </xf>
    <xf numFmtId="0" fontId="0" fillId="0" borderId="0" xfId="54" applyFill="1" applyBorder="1">
      <alignment/>
      <protection/>
    </xf>
    <xf numFmtId="3" fontId="7" fillId="0" borderId="0" xfId="54" applyNumberFormat="1" applyFont="1" applyFill="1" applyBorder="1">
      <alignment/>
      <protection/>
    </xf>
    <xf numFmtId="0" fontId="6" fillId="0" borderId="11" xfId="54" applyFont="1" applyFill="1" applyBorder="1" applyAlignment="1">
      <alignment horizontal="center"/>
      <protection/>
    </xf>
    <xf numFmtId="4" fontId="6" fillId="0" borderId="12" xfId="54" applyNumberFormat="1" applyFont="1" applyFill="1" applyBorder="1" applyAlignment="1">
      <alignment horizontal="center"/>
      <protection/>
    </xf>
    <xf numFmtId="0" fontId="6" fillId="0" borderId="17" xfId="54" applyFont="1" applyFill="1" applyBorder="1">
      <alignment/>
      <protection/>
    </xf>
    <xf numFmtId="0" fontId="8" fillId="0" borderId="0" xfId="54" applyFont="1" applyFill="1" applyBorder="1">
      <alignment/>
      <protection/>
    </xf>
    <xf numFmtId="0" fontId="9" fillId="0" borderId="14" xfId="54" applyFont="1" applyFill="1" applyBorder="1" applyAlignment="1">
      <alignment vertical="center"/>
      <protection/>
    </xf>
    <xf numFmtId="0" fontId="8" fillId="0" borderId="15" xfId="54" applyFont="1" applyFill="1" applyBorder="1" applyAlignment="1">
      <alignment vertical="justify"/>
      <protection/>
    </xf>
    <xf numFmtId="0" fontId="6" fillId="0" borderId="0" xfId="54" applyFont="1" applyFill="1" applyBorder="1" applyAlignment="1">
      <alignment horizontal="centerContinuous"/>
      <protection/>
    </xf>
    <xf numFmtId="1" fontId="6" fillId="0" borderId="0" xfId="54" applyNumberFormat="1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center" vertical="center"/>
      <protection/>
    </xf>
    <xf numFmtId="0" fontId="6" fillId="0" borderId="0" xfId="54" applyFont="1" applyFill="1" applyBorder="1" applyAlignment="1">
      <alignment vertical="center"/>
      <protection/>
    </xf>
    <xf numFmtId="0" fontId="6" fillId="0" borderId="31" xfId="54" applyFont="1" applyFill="1" applyBorder="1" applyAlignment="1">
      <alignment horizontal="center" vertical="center"/>
      <protection/>
    </xf>
    <xf numFmtId="4" fontId="6" fillId="0" borderId="31" xfId="54" applyNumberFormat="1" applyFont="1" applyFill="1" applyBorder="1" applyAlignment="1">
      <alignment horizontal="center" vertical="center"/>
      <protection/>
    </xf>
    <xf numFmtId="0" fontId="6" fillId="7" borderId="20" xfId="54" applyFont="1" applyFill="1" applyBorder="1" applyAlignment="1">
      <alignment horizontal="center" vertical="center"/>
      <protection/>
    </xf>
    <xf numFmtId="0" fontId="6" fillId="0" borderId="0" xfId="54" applyFont="1" applyFill="1" applyBorder="1" applyAlignment="1">
      <alignment horizontal="left" vertical="center"/>
      <protection/>
    </xf>
    <xf numFmtId="0" fontId="6" fillId="0" borderId="0" xfId="54" applyFont="1" applyFill="1" applyBorder="1" applyAlignment="1">
      <alignment horizontal="right" vertical="center"/>
      <protection/>
    </xf>
    <xf numFmtId="1" fontId="6" fillId="0" borderId="0" xfId="54" applyNumberFormat="1" applyFont="1" applyFill="1" applyBorder="1" applyAlignment="1">
      <alignment horizontal="right" vertical="center"/>
      <protection/>
    </xf>
    <xf numFmtId="13" fontId="6" fillId="7" borderId="20" xfId="54" applyNumberFormat="1" applyFont="1" applyFill="1" applyBorder="1" applyAlignment="1">
      <alignment horizontal="center" vertical="center"/>
      <protection/>
    </xf>
    <xf numFmtId="1" fontId="6" fillId="0" borderId="0" xfId="54" applyNumberFormat="1" applyFont="1" applyFill="1" applyBorder="1" applyAlignment="1">
      <alignment horizontal="center" vertical="center"/>
      <protection/>
    </xf>
    <xf numFmtId="1" fontId="6" fillId="0" borderId="0" xfId="54" applyNumberFormat="1" applyFont="1" applyFill="1" applyBorder="1" applyAlignment="1">
      <alignment vertical="center"/>
      <protection/>
    </xf>
    <xf numFmtId="0" fontId="6" fillId="7" borderId="0" xfId="54" applyFont="1" applyFill="1" applyBorder="1" applyAlignment="1">
      <alignment horizontal="center" vertical="center"/>
      <protection/>
    </xf>
    <xf numFmtId="1" fontId="6" fillId="0" borderId="31" xfId="54" applyNumberFormat="1" applyFont="1" applyFill="1" applyBorder="1" applyAlignment="1">
      <alignment vertical="center"/>
      <protection/>
    </xf>
    <xf numFmtId="1" fontId="6" fillId="0" borderId="0" xfId="54" applyNumberFormat="1" applyFont="1" applyFill="1" applyBorder="1" applyAlignment="1">
      <alignment horizontal="left" vertical="center"/>
      <protection/>
    </xf>
    <xf numFmtId="0" fontId="0" fillId="0" borderId="0" xfId="54" applyFill="1" applyBorder="1" applyAlignment="1">
      <alignment vertical="center"/>
      <protection/>
    </xf>
    <xf numFmtId="194" fontId="6" fillId="0" borderId="31" xfId="54" applyNumberFormat="1" applyFont="1" applyFill="1" applyBorder="1" applyAlignment="1">
      <alignment horizontal="center" vertical="center"/>
      <protection/>
    </xf>
    <xf numFmtId="0" fontId="6" fillId="0" borderId="0" xfId="54" applyFont="1" applyFill="1" applyBorder="1" applyAlignment="1">
      <alignment horizontal="centerContinuous" vertical="center"/>
      <protection/>
    </xf>
    <xf numFmtId="0" fontId="7" fillId="0" borderId="0" xfId="54" applyFont="1" applyFill="1" applyBorder="1" applyAlignment="1">
      <alignment horizontal="centerContinuous" vertical="center"/>
      <protection/>
    </xf>
    <xf numFmtId="0" fontId="6" fillId="0" borderId="0" xfId="54" applyFont="1" applyFill="1" applyBorder="1" applyAlignment="1">
      <alignment horizontal="center"/>
      <protection/>
    </xf>
    <xf numFmtId="0" fontId="12" fillId="0" borderId="0" xfId="54" applyFont="1" applyFill="1" applyBorder="1" applyAlignment="1">
      <alignment horizontal="centerContinuous" vertical="center"/>
      <protection/>
    </xf>
    <xf numFmtId="0" fontId="14" fillId="0" borderId="0" xfId="54" applyFont="1" applyFill="1" applyBorder="1" applyAlignment="1">
      <alignment horizontal="centerContinuous" vertical="center"/>
      <protection/>
    </xf>
    <xf numFmtId="0" fontId="6" fillId="0" borderId="0" xfId="54" applyFont="1" applyFill="1" applyBorder="1" applyAlignment="1">
      <alignment horizontal="right"/>
      <protection/>
    </xf>
    <xf numFmtId="0" fontId="6" fillId="0" borderId="31" xfId="54" applyFont="1" applyFill="1" applyBorder="1" applyAlignment="1">
      <alignment horizontal="centerContinuous" vertical="center"/>
      <protection/>
    </xf>
    <xf numFmtId="193" fontId="6" fillId="0" borderId="31" xfId="54" applyNumberFormat="1" applyFont="1" applyFill="1" applyBorder="1" applyAlignment="1">
      <alignment horizontal="center" vertical="center"/>
      <protection/>
    </xf>
    <xf numFmtId="193" fontId="6" fillId="0" borderId="0" xfId="54" applyNumberFormat="1" applyFont="1" applyFill="1" applyBorder="1" applyAlignment="1">
      <alignment horizontal="center" vertical="center"/>
      <protection/>
    </xf>
    <xf numFmtId="4" fontId="6" fillId="0" borderId="0" xfId="54" applyNumberFormat="1" applyFont="1" applyFill="1" applyBorder="1" applyAlignment="1">
      <alignment horizontal="center" vertical="center"/>
      <protection/>
    </xf>
    <xf numFmtId="0" fontId="7" fillId="0" borderId="0" xfId="54" applyFont="1" applyFill="1" applyBorder="1" applyAlignment="1">
      <alignment horizontal="right" vertical="center"/>
      <protection/>
    </xf>
    <xf numFmtId="193" fontId="7" fillId="0" borderId="20" xfId="54" applyNumberFormat="1" applyFont="1" applyFill="1" applyBorder="1" applyAlignment="1">
      <alignment horizontal="center" vertical="center"/>
      <protection/>
    </xf>
    <xf numFmtId="0" fontId="7" fillId="0" borderId="0" xfId="54" applyFont="1" applyFill="1" applyBorder="1" applyAlignment="1">
      <alignment horizontal="center" vertical="center"/>
      <protection/>
    </xf>
    <xf numFmtId="1" fontId="6" fillId="0" borderId="0" xfId="54" applyNumberFormat="1" applyFont="1" applyFill="1" applyBorder="1" applyAlignment="1">
      <alignment horizontal="centerContinuous" vertical="center"/>
      <protection/>
    </xf>
    <xf numFmtId="1" fontId="14" fillId="0" borderId="31" xfId="54" applyNumberFormat="1" applyFont="1" applyFill="1" applyBorder="1" applyAlignment="1">
      <alignment horizontal="center" vertical="center"/>
      <protection/>
    </xf>
    <xf numFmtId="1" fontId="14" fillId="0" borderId="31" xfId="54" applyNumberFormat="1" applyFont="1" applyFill="1" applyBorder="1" applyAlignment="1">
      <alignment horizontal="centerContinuous" vertical="center"/>
      <protection/>
    </xf>
    <xf numFmtId="1" fontId="14" fillId="7" borderId="31" xfId="54" applyNumberFormat="1" applyFont="1" applyFill="1" applyBorder="1" applyAlignment="1">
      <alignment horizontal="center" vertical="center"/>
      <protection/>
    </xf>
    <xf numFmtId="1" fontId="14" fillId="7" borderId="31" xfId="54" applyNumberFormat="1" applyFont="1" applyFill="1" applyBorder="1" applyAlignment="1">
      <alignment horizontal="centerContinuous" vertical="center"/>
      <protection/>
    </xf>
    <xf numFmtId="3" fontId="6" fillId="0" borderId="18" xfId="54" applyNumberFormat="1" applyFont="1" applyFill="1" applyBorder="1" applyAlignment="1">
      <alignment horizontal="right"/>
      <protection/>
    </xf>
    <xf numFmtId="3" fontId="6" fillId="0" borderId="21" xfId="54" applyNumberFormat="1" applyFont="1" applyFill="1" applyBorder="1" applyAlignment="1">
      <alignment horizontal="right"/>
      <protection/>
    </xf>
    <xf numFmtId="3" fontId="6" fillId="0" borderId="19" xfId="54" applyNumberFormat="1" applyFont="1" applyFill="1" applyBorder="1" applyAlignment="1">
      <alignment horizontal="right"/>
      <protection/>
    </xf>
    <xf numFmtId="0" fontId="7" fillId="7" borderId="0" xfId="0" applyFont="1" applyFill="1" applyBorder="1" applyAlignment="1">
      <alignment horizontal="left" vertical="center"/>
    </xf>
    <xf numFmtId="0" fontId="6" fillId="22" borderId="14" xfId="54" applyFont="1" applyFill="1" applyBorder="1">
      <alignment/>
      <protection/>
    </xf>
    <xf numFmtId="0" fontId="7" fillId="22" borderId="15" xfId="54" applyFont="1" applyFill="1" applyBorder="1" applyAlignment="1">
      <alignment horizontal="left"/>
      <protection/>
    </xf>
    <xf numFmtId="0" fontId="6" fillId="22" borderId="15" xfId="54" applyFont="1" applyFill="1" applyBorder="1" applyAlignment="1">
      <alignment horizontal="centerContinuous"/>
      <protection/>
    </xf>
    <xf numFmtId="1" fontId="6" fillId="22" borderId="15" xfId="54" applyNumberFormat="1" applyFont="1" applyFill="1" applyBorder="1" applyAlignment="1">
      <alignment horizontal="center"/>
      <protection/>
    </xf>
    <xf numFmtId="0" fontId="6" fillId="22" borderId="15" xfId="54" applyFont="1" applyFill="1" applyBorder="1" applyAlignment="1">
      <alignment horizontal="center"/>
      <protection/>
    </xf>
    <xf numFmtId="0" fontId="6" fillId="22" borderId="15" xfId="54" applyFont="1" applyFill="1" applyBorder="1">
      <alignment/>
      <protection/>
    </xf>
    <xf numFmtId="0" fontId="0" fillId="22" borderId="15" xfId="54" applyFont="1" applyFill="1" applyBorder="1">
      <alignment/>
      <protection/>
    </xf>
    <xf numFmtId="4" fontId="6" fillId="22" borderId="15" xfId="54" applyNumberFormat="1" applyFont="1" applyFill="1" applyBorder="1" applyAlignment="1">
      <alignment horizontal="center" vertical="center"/>
      <protection/>
    </xf>
    <xf numFmtId="0" fontId="6" fillId="22" borderId="17" xfId="54" applyFont="1" applyFill="1" applyBorder="1">
      <alignment/>
      <protection/>
    </xf>
    <xf numFmtId="0" fontId="0" fillId="0" borderId="0" xfId="54" applyFont="1" applyFill="1" applyBorder="1">
      <alignment/>
      <protection/>
    </xf>
    <xf numFmtId="191" fontId="6" fillId="0" borderId="20" xfId="49" applyNumberFormat="1" applyFont="1" applyFill="1" applyBorder="1" applyAlignment="1">
      <alignment horizontal="center"/>
    </xf>
    <xf numFmtId="191" fontId="6" fillId="0" borderId="0" xfId="49" applyNumberFormat="1" applyFont="1" applyFill="1" applyBorder="1" applyAlignment="1">
      <alignment horizontal="center"/>
    </xf>
    <xf numFmtId="212" fontId="6" fillId="0" borderId="20" xfId="49" applyNumberFormat="1" applyFont="1" applyFill="1" applyBorder="1" applyAlignment="1">
      <alignment horizontal="center"/>
    </xf>
    <xf numFmtId="213" fontId="6" fillId="0" borderId="20" xfId="49" applyNumberFormat="1" applyFont="1" applyFill="1" applyBorder="1" applyAlignment="1">
      <alignment horizontal="center"/>
    </xf>
    <xf numFmtId="2" fontId="6" fillId="0" borderId="0" xfId="54" applyNumberFormat="1" applyFont="1" applyFill="1" applyBorder="1" applyAlignment="1">
      <alignment horizontal="center" vertical="center"/>
      <protection/>
    </xf>
    <xf numFmtId="213" fontId="6" fillId="0" borderId="0" xfId="49" applyNumberFormat="1" applyFont="1" applyFill="1" applyBorder="1" applyAlignment="1">
      <alignment horizontal="center"/>
    </xf>
    <xf numFmtId="13" fontId="6" fillId="0" borderId="0" xfId="54" applyNumberFormat="1" applyFont="1" applyFill="1" applyBorder="1" applyAlignment="1">
      <alignment vertical="center"/>
      <protection/>
    </xf>
    <xf numFmtId="0" fontId="0" fillId="0" borderId="0" xfId="54" applyFont="1" applyFill="1" applyBorder="1" applyAlignment="1">
      <alignment vertical="center"/>
      <protection/>
    </xf>
    <xf numFmtId="194" fontId="6" fillId="0" borderId="0" xfId="54" applyNumberFormat="1" applyFont="1" applyFill="1" applyBorder="1" applyAlignment="1">
      <alignment horizontal="center" vertical="center"/>
      <protection/>
    </xf>
    <xf numFmtId="0" fontId="7" fillId="0" borderId="0" xfId="54" applyFont="1" applyFill="1" applyBorder="1" applyAlignment="1">
      <alignment vertical="center"/>
      <protection/>
    </xf>
    <xf numFmtId="212" fontId="6" fillId="0" borderId="0" xfId="49" applyNumberFormat="1" applyFont="1" applyFill="1" applyBorder="1" applyAlignment="1">
      <alignment horizontal="center"/>
    </xf>
    <xf numFmtId="0" fontId="6" fillId="0" borderId="20" xfId="54" applyFont="1" applyFill="1" applyBorder="1" applyAlignment="1">
      <alignment horizontal="center"/>
      <protection/>
    </xf>
    <xf numFmtId="0" fontId="6" fillId="0" borderId="20" xfId="54" applyFont="1" applyFill="1" applyBorder="1" applyAlignment="1">
      <alignment horizontal="center" vertical="center"/>
      <protection/>
    </xf>
    <xf numFmtId="1" fontId="14" fillId="0" borderId="0" xfId="54" applyNumberFormat="1" applyFont="1" applyFill="1" applyBorder="1" applyAlignment="1">
      <alignment horizontal="center" vertical="center"/>
      <protection/>
    </xf>
    <xf numFmtId="1" fontId="14" fillId="0" borderId="0" xfId="54" applyNumberFormat="1" applyFont="1" applyFill="1" applyBorder="1" applyAlignment="1">
      <alignment horizontal="centerContinuous" vertical="center"/>
      <protection/>
    </xf>
    <xf numFmtId="0" fontId="3" fillId="0" borderId="0" xfId="54" applyFont="1" applyFill="1" applyBorder="1" applyAlignment="1">
      <alignment vertical="center"/>
      <protection/>
    </xf>
    <xf numFmtId="195" fontId="6" fillId="0" borderId="0" xfId="54" applyNumberFormat="1" applyFont="1" applyFill="1" applyBorder="1">
      <alignment/>
      <protection/>
    </xf>
    <xf numFmtId="0" fontId="0" fillId="0" borderId="0" xfId="0" applyFont="1" applyBorder="1" applyAlignment="1">
      <alignment horizontal="left" vertical="center" wrapText="1"/>
    </xf>
    <xf numFmtId="0" fontId="6" fillId="7" borderId="31" xfId="0" applyFont="1" applyFill="1" applyBorder="1" applyAlignment="1">
      <alignment horizontal="center" vertical="center"/>
    </xf>
    <xf numFmtId="49" fontId="6" fillId="7" borderId="55" xfId="0" applyNumberFormat="1" applyFont="1" applyFill="1" applyBorder="1" applyAlignment="1">
      <alignment horizontal="center" vertical="center"/>
    </xf>
    <xf numFmtId="49" fontId="6" fillId="7" borderId="56" xfId="0" applyNumberFormat="1" applyFont="1" applyFill="1" applyBorder="1" applyAlignment="1">
      <alignment horizontal="center" vertical="center"/>
    </xf>
    <xf numFmtId="0" fontId="6" fillId="7" borderId="57" xfId="0" applyFont="1" applyFill="1" applyBorder="1" applyAlignment="1">
      <alignment horizontal="center" vertical="center"/>
    </xf>
    <xf numFmtId="2" fontId="6" fillId="0" borderId="57" xfId="0" applyNumberFormat="1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4" fontId="6" fillId="0" borderId="57" xfId="0" applyNumberFormat="1" applyFont="1" applyFill="1" applyBorder="1" applyAlignment="1">
      <alignment horizontal="center" vertical="center"/>
    </xf>
    <xf numFmtId="4" fontId="6" fillId="7" borderId="57" xfId="0" applyNumberFormat="1" applyFont="1" applyFill="1" applyBorder="1" applyAlignment="1">
      <alignment horizontal="center" vertical="center"/>
    </xf>
    <xf numFmtId="4" fontId="6" fillId="0" borderId="58" xfId="0" applyNumberFormat="1" applyFont="1" applyFill="1" applyBorder="1" applyAlignment="1">
      <alignment horizontal="center" vertical="center"/>
    </xf>
    <xf numFmtId="49" fontId="6" fillId="7" borderId="34" xfId="0" applyNumberFormat="1" applyFont="1" applyFill="1" applyBorder="1" applyAlignment="1">
      <alignment horizontal="center" vertical="center"/>
    </xf>
    <xf numFmtId="49" fontId="6" fillId="7" borderId="43" xfId="0" applyNumberFormat="1" applyFont="1" applyFill="1" applyBorder="1" applyAlignment="1">
      <alignment horizontal="center" vertical="center"/>
    </xf>
    <xf numFmtId="0" fontId="6" fillId="7" borderId="43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/>
    </xf>
    <xf numFmtId="4" fontId="6" fillId="7" borderId="59" xfId="0" applyNumberFormat="1" applyFont="1" applyFill="1" applyBorder="1" applyAlignment="1">
      <alignment horizontal="center" vertical="center"/>
    </xf>
    <xf numFmtId="4" fontId="6" fillId="0" borderId="59" xfId="0" applyNumberFormat="1" applyFont="1" applyFill="1" applyBorder="1" applyAlignment="1">
      <alignment horizontal="center" vertical="center"/>
    </xf>
    <xf numFmtId="4" fontId="6" fillId="0" borderId="60" xfId="0" applyNumberFormat="1" applyFont="1" applyFill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Continuous" vertical="center"/>
    </xf>
    <xf numFmtId="0" fontId="8" fillId="0" borderId="16" xfId="0" applyFont="1" applyBorder="1" applyAlignment="1">
      <alignment/>
    </xf>
    <xf numFmtId="0" fontId="7" fillId="0" borderId="16" xfId="0" applyFont="1" applyBorder="1" applyAlignment="1">
      <alignment horizontal="center" vertical="justify"/>
    </xf>
    <xf numFmtId="4" fontId="6" fillId="0" borderId="61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3" fontId="6" fillId="7" borderId="20" xfId="0" applyNumberFormat="1" applyFont="1" applyFill="1" applyBorder="1" applyAlignment="1">
      <alignment horizontal="center" vertical="center"/>
    </xf>
    <xf numFmtId="0" fontId="0" fillId="23" borderId="0" xfId="0" applyFont="1" applyFill="1" applyAlignment="1">
      <alignment/>
    </xf>
    <xf numFmtId="0" fontId="6" fillId="23" borderId="10" xfId="0" applyFont="1" applyFill="1" applyBorder="1" applyAlignment="1">
      <alignment/>
    </xf>
    <xf numFmtId="0" fontId="6" fillId="23" borderId="11" xfId="0" applyFont="1" applyFill="1" applyBorder="1" applyAlignment="1">
      <alignment/>
    </xf>
    <xf numFmtId="0" fontId="6" fillId="23" borderId="12" xfId="0" applyFont="1" applyFill="1" applyBorder="1" applyAlignment="1">
      <alignment/>
    </xf>
    <xf numFmtId="0" fontId="6" fillId="23" borderId="0" xfId="0" applyFont="1" applyFill="1" applyBorder="1" applyAlignment="1">
      <alignment/>
    </xf>
    <xf numFmtId="0" fontId="6" fillId="23" borderId="13" xfId="0" applyFont="1" applyFill="1" applyBorder="1" applyAlignment="1">
      <alignment/>
    </xf>
    <xf numFmtId="0" fontId="7" fillId="23" borderId="14" xfId="0" applyFont="1" applyFill="1" applyBorder="1" applyAlignment="1">
      <alignment/>
    </xf>
    <xf numFmtId="0" fontId="6" fillId="23" borderId="15" xfId="0" applyFont="1" applyFill="1" applyBorder="1" applyAlignment="1">
      <alignment/>
    </xf>
    <xf numFmtId="0" fontId="7" fillId="23" borderId="15" xfId="0" applyFont="1" applyFill="1" applyBorder="1" applyAlignment="1">
      <alignment horizontal="centerContinuous" vertical="center"/>
    </xf>
    <xf numFmtId="0" fontId="6" fillId="23" borderId="15" xfId="0" applyFont="1" applyFill="1" applyBorder="1" applyAlignment="1">
      <alignment horizontal="centerContinuous"/>
    </xf>
    <xf numFmtId="0" fontId="6" fillId="23" borderId="15" xfId="0" applyFont="1" applyFill="1" applyBorder="1" applyAlignment="1">
      <alignment horizontal="centerContinuous" vertical="center"/>
    </xf>
    <xf numFmtId="0" fontId="6" fillId="23" borderId="17" xfId="0" applyFont="1" applyFill="1" applyBorder="1" applyAlignment="1">
      <alignment horizontal="centerContinuous"/>
    </xf>
    <xf numFmtId="0" fontId="6" fillId="23" borderId="16" xfId="0" applyFont="1" applyFill="1" applyBorder="1" applyAlignment="1">
      <alignment/>
    </xf>
    <xf numFmtId="0" fontId="8" fillId="23" borderId="0" xfId="0" applyFont="1" applyFill="1" applyBorder="1" applyAlignment="1">
      <alignment/>
    </xf>
    <xf numFmtId="0" fontId="9" fillId="23" borderId="14" xfId="0" applyFont="1" applyFill="1" applyBorder="1" applyAlignment="1">
      <alignment vertical="center"/>
    </xf>
    <xf numFmtId="4" fontId="7" fillId="23" borderId="15" xfId="0" applyNumberFormat="1" applyFont="1" applyFill="1" applyBorder="1" applyAlignment="1">
      <alignment horizontal="centerContinuous" vertical="justify"/>
    </xf>
    <xf numFmtId="4" fontId="9" fillId="23" borderId="15" xfId="0" applyNumberFormat="1" applyFont="1" applyFill="1" applyBorder="1" applyAlignment="1">
      <alignment horizontal="centerContinuous" vertical="justify"/>
    </xf>
    <xf numFmtId="0" fontId="8" fillId="23" borderId="15" xfId="0" applyFont="1" applyFill="1" applyBorder="1" applyAlignment="1">
      <alignment horizontal="centerContinuous" vertical="justify"/>
    </xf>
    <xf numFmtId="0" fontId="8" fillId="23" borderId="17" xfId="0" applyFont="1" applyFill="1" applyBorder="1" applyAlignment="1">
      <alignment horizontal="centerContinuous" vertical="justify"/>
    </xf>
    <xf numFmtId="0" fontId="7" fillId="23" borderId="14" xfId="0" applyFont="1" applyFill="1" applyBorder="1" applyAlignment="1">
      <alignment vertical="center"/>
    </xf>
    <xf numFmtId="0" fontId="10" fillId="23" borderId="15" xfId="0" applyNumberFormat="1" applyFont="1" applyFill="1" applyBorder="1" applyAlignment="1" quotePrefix="1">
      <alignment horizontal="center" vertical="center"/>
    </xf>
    <xf numFmtId="4" fontId="7" fillId="23" borderId="15" xfId="0" applyNumberFormat="1" applyFont="1" applyFill="1" applyBorder="1" applyAlignment="1">
      <alignment horizontal="center" vertical="center"/>
    </xf>
    <xf numFmtId="3" fontId="10" fillId="23" borderId="17" xfId="0" applyNumberFormat="1" applyFont="1" applyFill="1" applyBorder="1" applyAlignment="1">
      <alignment horizontal="center" vertical="center"/>
    </xf>
    <xf numFmtId="0" fontId="6" fillId="23" borderId="18" xfId="0" applyFont="1" applyFill="1" applyBorder="1" applyAlignment="1">
      <alignment/>
    </xf>
    <xf numFmtId="0" fontId="9" fillId="23" borderId="21" xfId="0" applyFont="1" applyFill="1" applyBorder="1" applyAlignment="1">
      <alignment vertical="center"/>
    </xf>
    <xf numFmtId="4" fontId="10" fillId="23" borderId="21" xfId="0" applyNumberFormat="1" applyFont="1" applyFill="1" applyBorder="1" applyAlignment="1">
      <alignment horizontal="centerContinuous" vertical="justify"/>
    </xf>
    <xf numFmtId="4" fontId="9" fillId="23" borderId="21" xfId="0" applyNumberFormat="1" applyFont="1" applyFill="1" applyBorder="1" applyAlignment="1">
      <alignment horizontal="centerContinuous" vertical="justify"/>
    </xf>
    <xf numFmtId="0" fontId="8" fillId="23" borderId="21" xfId="0" applyFont="1" applyFill="1" applyBorder="1" applyAlignment="1">
      <alignment horizontal="centerContinuous" vertical="justify"/>
    </xf>
    <xf numFmtId="0" fontId="8" fillId="23" borderId="21" xfId="0" applyFont="1" applyFill="1" applyBorder="1" applyAlignment="1">
      <alignment/>
    </xf>
    <xf numFmtId="17" fontId="9" fillId="23" borderId="21" xfId="0" applyNumberFormat="1" applyFont="1" applyFill="1" applyBorder="1" applyAlignment="1" quotePrefix="1">
      <alignment horizontal="center" vertical="center"/>
    </xf>
    <xf numFmtId="0" fontId="6" fillId="23" borderId="19" xfId="0" applyFont="1" applyFill="1" applyBorder="1" applyAlignment="1">
      <alignment/>
    </xf>
    <xf numFmtId="0" fontId="0" fillId="23" borderId="0" xfId="0" applyFont="1" applyFill="1" applyBorder="1" applyAlignment="1">
      <alignment/>
    </xf>
    <xf numFmtId="0" fontId="0" fillId="23" borderId="10" xfId="0" applyFont="1" applyFill="1" applyBorder="1" applyAlignment="1">
      <alignment/>
    </xf>
    <xf numFmtId="0" fontId="0" fillId="23" borderId="11" xfId="0" applyFont="1" applyFill="1" applyBorder="1" applyAlignment="1">
      <alignment/>
    </xf>
    <xf numFmtId="0" fontId="0" fillId="23" borderId="12" xfId="0" applyFont="1" applyFill="1" applyBorder="1" applyAlignment="1">
      <alignment/>
    </xf>
    <xf numFmtId="0" fontId="14" fillId="23" borderId="13" xfId="0" applyFont="1" applyFill="1" applyBorder="1" applyAlignment="1">
      <alignment/>
    </xf>
    <xf numFmtId="0" fontId="12" fillId="23" borderId="0" xfId="0" applyFont="1" applyFill="1" applyBorder="1" applyAlignment="1">
      <alignment/>
    </xf>
    <xf numFmtId="0" fontId="14" fillId="23" borderId="0" xfId="0" applyFont="1" applyFill="1" applyBorder="1" applyAlignment="1">
      <alignment/>
    </xf>
    <xf numFmtId="0" fontId="14" fillId="23" borderId="16" xfId="0" applyFont="1" applyFill="1" applyBorder="1" applyAlignment="1">
      <alignment/>
    </xf>
    <xf numFmtId="0" fontId="14" fillId="23" borderId="0" xfId="0" applyFont="1" applyFill="1" applyAlignment="1">
      <alignment/>
    </xf>
    <xf numFmtId="0" fontId="0" fillId="23" borderId="13" xfId="0" applyFont="1" applyFill="1" applyBorder="1" applyAlignment="1">
      <alignment/>
    </xf>
    <xf numFmtId="0" fontId="0" fillId="23" borderId="16" xfId="0" applyFont="1" applyFill="1" applyBorder="1" applyAlignment="1">
      <alignment/>
    </xf>
    <xf numFmtId="0" fontId="14" fillId="23" borderId="0" xfId="0" applyFont="1" applyFill="1" applyBorder="1" applyAlignment="1">
      <alignment horizontal="center"/>
    </xf>
    <xf numFmtId="0" fontId="6" fillId="23" borderId="0" xfId="0" applyFont="1" applyFill="1" applyBorder="1" applyAlignment="1">
      <alignment/>
    </xf>
    <xf numFmtId="0" fontId="14" fillId="23" borderId="13" xfId="0" applyFont="1" applyFill="1" applyBorder="1" applyAlignment="1">
      <alignment horizontal="center"/>
    </xf>
    <xf numFmtId="0" fontId="14" fillId="23" borderId="0" xfId="0" applyFont="1" applyFill="1" applyBorder="1" applyAlignment="1">
      <alignment horizontal="left"/>
    </xf>
    <xf numFmtId="0" fontId="31" fillId="23" borderId="0" xfId="0" applyFont="1" applyFill="1" applyBorder="1" applyAlignment="1">
      <alignment horizontal="center"/>
    </xf>
    <xf numFmtId="0" fontId="14" fillId="23" borderId="0" xfId="0" applyFont="1" applyFill="1" applyBorder="1" applyAlignment="1">
      <alignment horizontal="right"/>
    </xf>
    <xf numFmtId="0" fontId="14" fillId="23" borderId="0" xfId="0" applyFont="1" applyFill="1" applyBorder="1" applyAlignment="1">
      <alignment/>
    </xf>
    <xf numFmtId="0" fontId="0" fillId="23" borderId="13" xfId="0" applyFont="1" applyFill="1" applyBorder="1" applyAlignment="1">
      <alignment horizontal="center"/>
    </xf>
    <xf numFmtId="0" fontId="6" fillId="23" borderId="0" xfId="0" applyFont="1" applyFill="1" applyBorder="1" applyAlignment="1">
      <alignment horizontal="left"/>
    </xf>
    <xf numFmtId="0" fontId="0" fillId="23" borderId="13" xfId="0" applyFont="1" applyFill="1" applyBorder="1" applyAlignment="1">
      <alignment horizontal="left"/>
    </xf>
    <xf numFmtId="0" fontId="6" fillId="23" borderId="0" xfId="0" applyFont="1" applyFill="1" applyBorder="1" applyAlignment="1">
      <alignment horizontal="center"/>
    </xf>
    <xf numFmtId="0" fontId="14" fillId="23" borderId="0" xfId="0" applyFont="1" applyFill="1" applyBorder="1" applyAlignment="1" quotePrefix="1">
      <alignment horizontal="left"/>
    </xf>
    <xf numFmtId="0" fontId="14" fillId="23" borderId="13" xfId="0" applyFont="1" applyFill="1" applyBorder="1" applyAlignment="1">
      <alignment horizontal="left"/>
    </xf>
    <xf numFmtId="0" fontId="14" fillId="23" borderId="0" xfId="0" applyFont="1" applyFill="1" applyBorder="1" applyAlignment="1" quotePrefix="1">
      <alignment/>
    </xf>
    <xf numFmtId="0" fontId="0" fillId="23" borderId="18" xfId="0" applyFont="1" applyFill="1" applyBorder="1" applyAlignment="1">
      <alignment/>
    </xf>
    <xf numFmtId="0" fontId="0" fillId="23" borderId="21" xfId="0" applyFont="1" applyFill="1" applyBorder="1" applyAlignment="1">
      <alignment/>
    </xf>
    <xf numFmtId="0" fontId="0" fillId="23" borderId="19" xfId="0" applyFont="1" applyFill="1" applyBorder="1" applyAlignment="1">
      <alignment/>
    </xf>
    <xf numFmtId="0" fontId="6" fillId="23" borderId="10" xfId="0" applyFont="1" applyFill="1" applyBorder="1" applyAlignment="1">
      <alignment/>
    </xf>
    <xf numFmtId="0" fontId="6" fillId="23" borderId="11" xfId="0" applyFont="1" applyFill="1" applyBorder="1" applyAlignment="1">
      <alignment/>
    </xf>
    <xf numFmtId="0" fontId="6" fillId="23" borderId="12" xfId="0" applyFont="1" applyFill="1" applyBorder="1" applyAlignment="1">
      <alignment/>
    </xf>
    <xf numFmtId="0" fontId="6" fillId="23" borderId="13" xfId="0" applyFont="1" applyFill="1" applyBorder="1" applyAlignment="1">
      <alignment/>
    </xf>
    <xf numFmtId="0" fontId="7" fillId="23" borderId="14" xfId="0" applyFont="1" applyFill="1" applyBorder="1" applyAlignment="1">
      <alignment/>
    </xf>
    <xf numFmtId="0" fontId="6" fillId="23" borderId="15" xfId="0" applyFont="1" applyFill="1" applyBorder="1" applyAlignment="1">
      <alignment/>
    </xf>
    <xf numFmtId="0" fontId="7" fillId="23" borderId="15" xfId="0" applyFont="1" applyFill="1" applyBorder="1" applyAlignment="1">
      <alignment horizontal="centerContinuous" vertical="center"/>
    </xf>
    <xf numFmtId="0" fontId="6" fillId="23" borderId="15" xfId="0" applyFont="1" applyFill="1" applyBorder="1" applyAlignment="1">
      <alignment horizontal="centerContinuous"/>
    </xf>
    <xf numFmtId="0" fontId="6" fillId="23" borderId="15" xfId="0" applyFont="1" applyFill="1" applyBorder="1" applyAlignment="1">
      <alignment horizontal="centerContinuous" vertical="center"/>
    </xf>
    <xf numFmtId="0" fontId="6" fillId="23" borderId="17" xfId="0" applyFont="1" applyFill="1" applyBorder="1" applyAlignment="1">
      <alignment horizontal="centerContinuous"/>
    </xf>
    <xf numFmtId="0" fontId="6" fillId="23" borderId="16" xfId="0" applyFont="1" applyFill="1" applyBorder="1" applyAlignment="1">
      <alignment/>
    </xf>
    <xf numFmtId="0" fontId="8" fillId="23" borderId="0" xfId="0" applyFont="1" applyFill="1" applyBorder="1" applyAlignment="1">
      <alignment/>
    </xf>
    <xf numFmtId="0" fontId="9" fillId="23" borderId="14" xfId="0" applyFont="1" applyFill="1" applyBorder="1" applyAlignment="1">
      <alignment vertical="center"/>
    </xf>
    <xf numFmtId="4" fontId="7" fillId="23" borderId="15" xfId="0" applyNumberFormat="1" applyFont="1" applyFill="1" applyBorder="1" applyAlignment="1">
      <alignment horizontal="centerContinuous" vertical="justify"/>
    </xf>
    <xf numFmtId="0" fontId="8" fillId="23" borderId="15" xfId="0" applyFont="1" applyFill="1" applyBorder="1" applyAlignment="1">
      <alignment horizontal="centerContinuous" vertical="justify"/>
    </xf>
    <xf numFmtId="0" fontId="8" fillId="23" borderId="17" xfId="0" applyFont="1" applyFill="1" applyBorder="1" applyAlignment="1">
      <alignment horizontal="centerContinuous" vertical="justify"/>
    </xf>
    <xf numFmtId="0" fontId="7" fillId="23" borderId="14" xfId="0" applyFont="1" applyFill="1" applyBorder="1" applyAlignment="1">
      <alignment vertical="center"/>
    </xf>
    <xf numFmtId="0" fontId="10" fillId="23" borderId="15" xfId="0" applyNumberFormat="1" applyFont="1" applyFill="1" applyBorder="1" applyAlignment="1" quotePrefix="1">
      <alignment horizontal="center" vertical="center"/>
    </xf>
    <xf numFmtId="4" fontId="7" fillId="23" borderId="15" xfId="0" applyNumberFormat="1" applyFont="1" applyFill="1" applyBorder="1" applyAlignment="1">
      <alignment horizontal="center" vertical="center"/>
    </xf>
    <xf numFmtId="3" fontId="10" fillId="23" borderId="17" xfId="0" applyNumberFormat="1" applyFont="1" applyFill="1" applyBorder="1" applyAlignment="1">
      <alignment horizontal="center" vertical="center"/>
    </xf>
    <xf numFmtId="0" fontId="6" fillId="23" borderId="18" xfId="0" applyFont="1" applyFill="1" applyBorder="1" applyAlignment="1">
      <alignment/>
    </xf>
    <xf numFmtId="0" fontId="9" fillId="23" borderId="21" xfId="0" applyFont="1" applyFill="1" applyBorder="1" applyAlignment="1">
      <alignment vertical="center"/>
    </xf>
    <xf numFmtId="4" fontId="10" fillId="23" borderId="21" xfId="0" applyNumberFormat="1" applyFont="1" applyFill="1" applyBorder="1" applyAlignment="1">
      <alignment horizontal="centerContinuous" vertical="justify"/>
    </xf>
    <xf numFmtId="0" fontId="8" fillId="23" borderId="21" xfId="0" applyFont="1" applyFill="1" applyBorder="1" applyAlignment="1">
      <alignment horizontal="centerContinuous" vertical="justify"/>
    </xf>
    <xf numFmtId="0" fontId="8" fillId="23" borderId="21" xfId="0" applyFont="1" applyFill="1" applyBorder="1" applyAlignment="1">
      <alignment/>
    </xf>
    <xf numFmtId="17" fontId="9" fillId="23" borderId="21" xfId="0" applyNumberFormat="1" applyFont="1" applyFill="1" applyBorder="1" applyAlignment="1" quotePrefix="1">
      <alignment horizontal="center" vertical="center"/>
    </xf>
    <xf numFmtId="0" fontId="6" fillId="23" borderId="19" xfId="0" applyFont="1" applyFill="1" applyBorder="1" applyAlignment="1">
      <alignment/>
    </xf>
    <xf numFmtId="0" fontId="8" fillId="23" borderId="11" xfId="0" applyFont="1" applyFill="1" applyBorder="1" applyAlignment="1">
      <alignment/>
    </xf>
    <xf numFmtId="0" fontId="7" fillId="23" borderId="14" xfId="0" applyFont="1" applyFill="1" applyBorder="1" applyAlignment="1">
      <alignment horizontal="centerContinuous" vertical="center"/>
    </xf>
    <xf numFmtId="0" fontId="7" fillId="23" borderId="17" xfId="0" applyFont="1" applyFill="1" applyBorder="1" applyAlignment="1">
      <alignment horizontal="centerContinuous" vertical="center"/>
    </xf>
    <xf numFmtId="0" fontId="7" fillId="23" borderId="0" xfId="0" applyFont="1" applyFill="1" applyBorder="1" applyAlignment="1">
      <alignment horizontal="centerContinuous" vertical="center"/>
    </xf>
    <xf numFmtId="0" fontId="6" fillId="23" borderId="0" xfId="0" applyFont="1" applyFill="1" applyBorder="1" applyAlignment="1">
      <alignment horizontal="right" vertical="center"/>
    </xf>
    <xf numFmtId="0" fontId="6" fillId="23" borderId="0" xfId="0" applyFont="1" applyFill="1" applyBorder="1" applyAlignment="1">
      <alignment horizontal="center" vertical="center"/>
    </xf>
    <xf numFmtId="0" fontId="7" fillId="23" borderId="0" xfId="0" applyFont="1" applyFill="1" applyBorder="1" applyAlignment="1">
      <alignment/>
    </xf>
    <xf numFmtId="0" fontId="0" fillId="23" borderId="0" xfId="0" applyFill="1" applyBorder="1" applyAlignment="1">
      <alignment vertical="center"/>
    </xf>
    <xf numFmtId="0" fontId="0" fillId="23" borderId="0" xfId="0" applyFill="1" applyBorder="1" applyAlignment="1">
      <alignment/>
    </xf>
    <xf numFmtId="0" fontId="6" fillId="23" borderId="20" xfId="0" applyFont="1" applyFill="1" applyBorder="1" applyAlignment="1">
      <alignment horizontal="center" vertical="center"/>
    </xf>
    <xf numFmtId="0" fontId="6" fillId="23" borderId="0" xfId="0" applyFont="1" applyFill="1" applyBorder="1" applyAlignment="1">
      <alignment horizontal="left" vertical="center"/>
    </xf>
    <xf numFmtId="16" fontId="6" fillId="23" borderId="0" xfId="0" applyNumberFormat="1" applyFont="1" applyFill="1" applyBorder="1" applyAlignment="1">
      <alignment/>
    </xf>
    <xf numFmtId="0" fontId="7" fillId="23" borderId="13" xfId="0" applyFont="1" applyFill="1" applyBorder="1" applyAlignment="1">
      <alignment/>
    </xf>
    <xf numFmtId="0" fontId="7" fillId="23" borderId="16" xfId="0" applyFont="1" applyFill="1" applyBorder="1" applyAlignment="1">
      <alignment/>
    </xf>
    <xf numFmtId="1" fontId="6" fillId="23" borderId="20" xfId="0" applyNumberFormat="1" applyFont="1" applyFill="1" applyBorder="1" applyAlignment="1">
      <alignment horizontal="center" vertical="center"/>
    </xf>
    <xf numFmtId="0" fontId="6" fillId="23" borderId="0" xfId="0" applyFont="1" applyFill="1" applyBorder="1" applyAlignment="1" quotePrefix="1">
      <alignment horizontal="right"/>
    </xf>
    <xf numFmtId="0" fontId="7" fillId="23" borderId="18" xfId="0" applyFont="1" applyFill="1" applyBorder="1" applyAlignment="1">
      <alignment/>
    </xf>
    <xf numFmtId="2" fontId="6" fillId="23" borderId="21" xfId="0" applyNumberFormat="1" applyFont="1" applyFill="1" applyBorder="1" applyAlignment="1">
      <alignment/>
    </xf>
    <xf numFmtId="0" fontId="7" fillId="23" borderId="19" xfId="0" applyFont="1" applyFill="1" applyBorder="1" applyAlignment="1">
      <alignment/>
    </xf>
    <xf numFmtId="195" fontId="0" fillId="23" borderId="20" xfId="0" applyNumberFormat="1" applyFill="1" applyBorder="1" applyAlignment="1">
      <alignment/>
    </xf>
    <xf numFmtId="195" fontId="0" fillId="23" borderId="35" xfId="0" applyNumberFormat="1" applyFill="1" applyBorder="1" applyAlignment="1">
      <alignment/>
    </xf>
    <xf numFmtId="0" fontId="0" fillId="23" borderId="0" xfId="0" applyFill="1" applyAlignment="1">
      <alignment/>
    </xf>
    <xf numFmtId="0" fontId="0" fillId="23" borderId="15" xfId="0" applyFill="1" applyBorder="1" applyAlignment="1">
      <alignment horizontal="centerContinuous" vertical="center"/>
    </xf>
    <xf numFmtId="0" fontId="6" fillId="23" borderId="17" xfId="0" applyFont="1" applyFill="1" applyBorder="1" applyAlignment="1">
      <alignment horizontal="centerContinuous" vertical="center"/>
    </xf>
    <xf numFmtId="0" fontId="6" fillId="23" borderId="0" xfId="0" applyFont="1" applyFill="1" applyBorder="1" applyAlignment="1">
      <alignment horizontal="centerContinuous" vertical="center"/>
    </xf>
    <xf numFmtId="0" fontId="0" fillId="23" borderId="0" xfId="0" applyFill="1" applyBorder="1" applyAlignment="1">
      <alignment horizontal="centerContinuous" vertical="center"/>
    </xf>
    <xf numFmtId="0" fontId="6" fillId="23" borderId="0" xfId="0" applyFont="1" applyFill="1" applyBorder="1" applyAlignment="1">
      <alignment vertical="center"/>
    </xf>
    <xf numFmtId="3" fontId="6" fillId="23" borderId="20" xfId="0" applyNumberFormat="1" applyFont="1" applyFill="1" applyBorder="1" applyAlignment="1">
      <alignment horizontal="center" vertical="center"/>
    </xf>
    <xf numFmtId="2" fontId="6" fillId="23" borderId="20" xfId="0" applyNumberFormat="1" applyFont="1" applyFill="1" applyBorder="1" applyAlignment="1">
      <alignment horizontal="center" vertical="center"/>
    </xf>
    <xf numFmtId="0" fontId="11" fillId="23" borderId="0" xfId="0" applyFont="1" applyFill="1" applyBorder="1" applyAlignment="1">
      <alignment vertical="center"/>
    </xf>
    <xf numFmtId="195" fontId="0" fillId="23" borderId="24" xfId="0" applyNumberFormat="1" applyFill="1" applyBorder="1" applyAlignment="1">
      <alignment/>
    </xf>
    <xf numFmtId="195" fontId="0" fillId="23" borderId="37" xfId="0" applyNumberFormat="1" applyFill="1" applyBorder="1" applyAlignment="1">
      <alignment/>
    </xf>
    <xf numFmtId="4" fontId="6" fillId="23" borderId="20" xfId="0" applyNumberFormat="1" applyFont="1" applyFill="1" applyBorder="1" applyAlignment="1">
      <alignment horizontal="center" vertical="center"/>
    </xf>
    <xf numFmtId="0" fontId="7" fillId="23" borderId="0" xfId="0" applyFont="1" applyFill="1" applyBorder="1" applyAlignment="1">
      <alignment vertical="center"/>
    </xf>
    <xf numFmtId="0" fontId="6" fillId="23" borderId="0" xfId="0" applyFont="1" applyFill="1" applyBorder="1" applyAlignment="1">
      <alignment horizontal="center"/>
    </xf>
    <xf numFmtId="0" fontId="6" fillId="23" borderId="0" xfId="0" applyFont="1" applyFill="1" applyBorder="1" applyAlignment="1">
      <alignment horizontal="left" vertical="top"/>
    </xf>
    <xf numFmtId="0" fontId="6" fillId="23" borderId="20" xfId="0" applyFont="1" applyFill="1" applyBorder="1" applyAlignment="1">
      <alignment vertical="center"/>
    </xf>
    <xf numFmtId="195" fontId="7" fillId="23" borderId="0" xfId="0" applyNumberFormat="1" applyFont="1" applyFill="1" applyBorder="1" applyAlignment="1">
      <alignment horizontal="center" vertical="center"/>
    </xf>
    <xf numFmtId="12" fontId="6" fillId="23" borderId="0" xfId="0" applyNumberFormat="1" applyFont="1" applyFill="1" applyBorder="1" applyAlignment="1">
      <alignment/>
    </xf>
    <xf numFmtId="0" fontId="7" fillId="23" borderId="0" xfId="0" applyFont="1" applyFill="1" applyAlignment="1">
      <alignment horizontal="left" vertical="center"/>
    </xf>
    <xf numFmtId="2" fontId="6" fillId="23" borderId="0" xfId="0" applyNumberFormat="1" applyFont="1" applyFill="1" applyBorder="1" applyAlignment="1">
      <alignment horizontal="center" vertical="center"/>
    </xf>
    <xf numFmtId="0" fontId="6" fillId="23" borderId="0" xfId="0" applyFont="1" applyFill="1" applyBorder="1" applyAlignment="1">
      <alignment horizontal="centerContinuous"/>
    </xf>
    <xf numFmtId="0" fontId="12" fillId="23" borderId="0" xfId="0" applyFont="1" applyFill="1" applyBorder="1" applyAlignment="1" quotePrefix="1">
      <alignment horizontal="left" vertical="center"/>
    </xf>
    <xf numFmtId="0" fontId="7" fillId="23" borderId="0" xfId="0" applyFont="1" applyFill="1" applyBorder="1" applyAlignment="1">
      <alignment horizontal="center" vertical="center"/>
    </xf>
    <xf numFmtId="0" fontId="1" fillId="23" borderId="0" xfId="0" applyFont="1" applyFill="1" applyBorder="1" applyAlignment="1">
      <alignment vertical="center" wrapText="1"/>
    </xf>
    <xf numFmtId="3" fontId="6" fillId="23" borderId="18" xfId="0" applyNumberFormat="1" applyFont="1" applyFill="1" applyBorder="1" applyAlignment="1">
      <alignment horizontal="right"/>
    </xf>
    <xf numFmtId="3" fontId="6" fillId="23" borderId="21" xfId="0" applyNumberFormat="1" applyFont="1" applyFill="1" applyBorder="1" applyAlignment="1">
      <alignment horizontal="right"/>
    </xf>
    <xf numFmtId="3" fontId="6" fillId="23" borderId="19" xfId="0" applyNumberFormat="1" applyFont="1" applyFill="1" applyBorder="1" applyAlignment="1">
      <alignment horizontal="right"/>
    </xf>
    <xf numFmtId="3" fontId="6" fillId="23" borderId="0" xfId="0" applyNumberFormat="1" applyFont="1" applyFill="1" applyBorder="1" applyAlignment="1">
      <alignment horizontal="right"/>
    </xf>
    <xf numFmtId="3" fontId="6" fillId="23" borderId="0" xfId="0" applyNumberFormat="1" applyFont="1" applyFill="1" applyBorder="1" applyAlignment="1">
      <alignment horizontal="centerContinuous"/>
    </xf>
    <xf numFmtId="3" fontId="7" fillId="23" borderId="0" xfId="0" applyNumberFormat="1" applyFont="1" applyFill="1" applyBorder="1" applyAlignment="1">
      <alignment/>
    </xf>
    <xf numFmtId="4" fontId="1" fillId="23" borderId="15" xfId="0" applyNumberFormat="1" applyFont="1" applyFill="1" applyBorder="1" applyAlignment="1">
      <alignment horizontal="centerContinuous" vertical="justify"/>
    </xf>
    <xf numFmtId="4" fontId="46" fillId="23" borderId="15" xfId="0" applyNumberFormat="1" applyFont="1" applyFill="1" applyBorder="1" applyAlignment="1">
      <alignment horizontal="centerContinuous" vertical="justify"/>
    </xf>
    <xf numFmtId="1" fontId="10" fillId="23" borderId="15" xfId="0" applyNumberFormat="1" applyFont="1" applyFill="1" applyBorder="1" applyAlignment="1" quotePrefix="1">
      <alignment horizontal="center" vertical="center"/>
    </xf>
    <xf numFmtId="0" fontId="6" fillId="23" borderId="26" xfId="0" applyFont="1" applyFill="1" applyBorder="1" applyAlignment="1">
      <alignment horizontal="center" vertical="center"/>
    </xf>
    <xf numFmtId="0" fontId="7" fillId="23" borderId="0" xfId="0" applyFont="1" applyFill="1" applyBorder="1" applyAlignment="1">
      <alignment horizontal="left" vertical="center"/>
    </xf>
    <xf numFmtId="1" fontId="7" fillId="23" borderId="13" xfId="0" applyNumberFormat="1" applyFont="1" applyFill="1" applyBorder="1" applyAlignment="1">
      <alignment horizontal="left" vertical="center"/>
    </xf>
    <xf numFmtId="0" fontId="6" fillId="23" borderId="0" xfId="0" applyFont="1" applyFill="1" applyBorder="1" applyAlignment="1">
      <alignment horizontal="left"/>
    </xf>
    <xf numFmtId="0" fontId="6" fillId="23" borderId="0" xfId="0" applyFont="1" applyFill="1" applyBorder="1" applyAlignment="1">
      <alignment/>
    </xf>
    <xf numFmtId="4" fontId="0" fillId="23" borderId="0" xfId="0" applyNumberFormat="1" applyFont="1" applyFill="1" applyBorder="1" applyAlignment="1">
      <alignment/>
    </xf>
    <xf numFmtId="1" fontId="0" fillId="23" borderId="13" xfId="0" applyNumberFormat="1" applyFont="1" applyFill="1" applyBorder="1" applyAlignment="1">
      <alignment horizontal="left" vertical="center"/>
    </xf>
    <xf numFmtId="1" fontId="0" fillId="23" borderId="18" xfId="0" applyNumberFormat="1" applyFont="1" applyFill="1" applyBorder="1" applyAlignment="1">
      <alignment horizontal="left" vertical="center"/>
    </xf>
    <xf numFmtId="0" fontId="6" fillId="23" borderId="21" xfId="0" applyFont="1" applyFill="1" applyBorder="1" applyAlignment="1">
      <alignment/>
    </xf>
    <xf numFmtId="4" fontId="6" fillId="23" borderId="21" xfId="0" applyNumberFormat="1" applyFont="1" applyFill="1" applyBorder="1" applyAlignment="1">
      <alignment/>
    </xf>
    <xf numFmtId="0" fontId="6" fillId="23" borderId="21" xfId="0" applyFont="1" applyFill="1" applyBorder="1" applyAlignment="1">
      <alignment horizontal="left"/>
    </xf>
    <xf numFmtId="4" fontId="6" fillId="0" borderId="16" xfId="0" applyNumberFormat="1" applyFont="1" applyFill="1" applyBorder="1" applyAlignment="1">
      <alignment horizontal="center" vertical="center"/>
    </xf>
    <xf numFmtId="0" fontId="41" fillId="23" borderId="14" xfId="0" applyFont="1" applyFill="1" applyBorder="1" applyAlignment="1">
      <alignment/>
    </xf>
    <xf numFmtId="3" fontId="6" fillId="23" borderId="15" xfId="0" applyNumberFormat="1" applyFont="1" applyFill="1" applyBorder="1" applyAlignment="1">
      <alignment horizontal="right"/>
    </xf>
    <xf numFmtId="2" fontId="6" fillId="23" borderId="15" xfId="0" applyNumberFormat="1" applyFont="1" applyFill="1" applyBorder="1" applyAlignment="1">
      <alignment horizontal="right"/>
    </xf>
    <xf numFmtId="4" fontId="6" fillId="23" borderId="15" xfId="0" applyNumberFormat="1" applyFont="1" applyFill="1" applyBorder="1" applyAlignment="1">
      <alignment horizontal="right"/>
    </xf>
    <xf numFmtId="4" fontId="7" fillId="23" borderId="26" xfId="0" applyNumberFormat="1" applyFont="1" applyFill="1" applyBorder="1" applyAlignment="1">
      <alignment horizontal="center"/>
    </xf>
    <xf numFmtId="0" fontId="0" fillId="23" borderId="13" xfId="0" applyFont="1" applyFill="1" applyBorder="1" applyAlignment="1">
      <alignment/>
    </xf>
    <xf numFmtId="2" fontId="6" fillId="23" borderId="0" xfId="0" applyNumberFormat="1" applyFont="1" applyFill="1" applyBorder="1" applyAlignment="1">
      <alignment horizontal="right"/>
    </xf>
    <xf numFmtId="4" fontId="6" fillId="23" borderId="0" xfId="0" applyNumberFormat="1" applyFont="1" applyFill="1" applyBorder="1" applyAlignment="1">
      <alignment horizontal="right"/>
    </xf>
    <xf numFmtId="3" fontId="6" fillId="23" borderId="16" xfId="0" applyNumberFormat="1" applyFont="1" applyFill="1" applyBorder="1" applyAlignment="1">
      <alignment horizontal="right"/>
    </xf>
    <xf numFmtId="4" fontId="6" fillId="23" borderId="62" xfId="0" applyNumberFormat="1" applyFont="1" applyFill="1" applyBorder="1" applyAlignment="1">
      <alignment horizontal="center"/>
    </xf>
    <xf numFmtId="0" fontId="0" fillId="23" borderId="18" xfId="0" applyFont="1" applyFill="1" applyBorder="1" applyAlignment="1">
      <alignment/>
    </xf>
    <xf numFmtId="0" fontId="0" fillId="23" borderId="21" xfId="0" applyFill="1" applyBorder="1" applyAlignment="1">
      <alignment/>
    </xf>
    <xf numFmtId="4" fontId="6" fillId="23" borderId="23" xfId="0" applyNumberFormat="1" applyFont="1" applyFill="1" applyBorder="1" applyAlignment="1">
      <alignment horizontal="center"/>
    </xf>
    <xf numFmtId="0" fontId="6" fillId="7" borderId="40" xfId="0" applyFont="1" applyFill="1" applyBorder="1" applyAlignment="1" quotePrefix="1">
      <alignment horizontal="center" vertical="center"/>
    </xf>
    <xf numFmtId="4" fontId="6" fillId="7" borderId="24" xfId="0" applyNumberFormat="1" applyFont="1" applyFill="1" applyBorder="1" applyAlignment="1">
      <alignment horizontal="center" vertical="center"/>
    </xf>
    <xf numFmtId="0" fontId="6" fillId="7" borderId="24" xfId="0" applyNumberFormat="1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191" fontId="6" fillId="0" borderId="0" xfId="49" applyNumberFormat="1" applyFont="1" applyBorder="1" applyAlignment="1">
      <alignment/>
    </xf>
    <xf numFmtId="191" fontId="6" fillId="0" borderId="0" xfId="49" applyFont="1" applyBorder="1" applyAlignment="1">
      <alignment horizontal="center"/>
    </xf>
    <xf numFmtId="43" fontId="6" fillId="0" borderId="0" xfId="0" applyNumberFormat="1" applyFont="1" applyBorder="1" applyAlignment="1">
      <alignment/>
    </xf>
    <xf numFmtId="3" fontId="6" fillId="7" borderId="34" xfId="0" applyNumberFormat="1" applyFont="1" applyFill="1" applyBorder="1" applyAlignment="1">
      <alignment horizontal="center" vertical="center"/>
    </xf>
    <xf numFmtId="4" fontId="6" fillId="0" borderId="35" xfId="0" applyNumberFormat="1" applyFont="1" applyFill="1" applyBorder="1" applyAlignment="1" quotePrefix="1">
      <alignment horizontal="center" vertical="center"/>
    </xf>
    <xf numFmtId="13" fontId="32" fillId="23" borderId="0" xfId="0" applyNumberFormat="1" applyFont="1" applyFill="1" applyBorder="1" applyAlignment="1">
      <alignment horizontal="center" vertical="center"/>
    </xf>
    <xf numFmtId="0" fontId="7" fillId="23" borderId="14" xfId="0" applyFont="1" applyFill="1" applyBorder="1" applyAlignment="1">
      <alignment horizontal="center" vertical="center" wrapText="1"/>
    </xf>
    <xf numFmtId="0" fontId="7" fillId="23" borderId="15" xfId="0" applyFont="1" applyFill="1" applyBorder="1" applyAlignment="1">
      <alignment horizontal="center" vertical="center" wrapText="1"/>
    </xf>
    <xf numFmtId="0" fontId="7" fillId="23" borderId="17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 vertical="center" wrapText="1"/>
    </xf>
    <xf numFmtId="0" fontId="1" fillId="5" borderId="34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1" fillId="5" borderId="35" xfId="0" applyFont="1" applyFill="1" applyBorder="1" applyAlignment="1">
      <alignment horizontal="center" vertical="center" wrapText="1"/>
    </xf>
    <xf numFmtId="0" fontId="1" fillId="23" borderId="0" xfId="0" applyFont="1" applyFill="1" applyBorder="1" applyAlignment="1">
      <alignment horizontal="left" vertical="center" wrapText="1"/>
    </xf>
    <xf numFmtId="1" fontId="9" fillId="0" borderId="22" xfId="0" applyNumberFormat="1" applyFont="1" applyFill="1" applyBorder="1" applyAlignment="1">
      <alignment horizontal="center"/>
    </xf>
    <xf numFmtId="1" fontId="9" fillId="0" borderId="23" xfId="0" applyNumberFormat="1" applyFont="1" applyFill="1" applyBorder="1" applyAlignment="1">
      <alignment horizontal="center"/>
    </xf>
    <xf numFmtId="1" fontId="10" fillId="0" borderId="49" xfId="0" applyNumberFormat="1" applyFont="1" applyFill="1" applyBorder="1" applyAlignment="1">
      <alignment horizontal="center" vertical="center"/>
    </xf>
    <xf numFmtId="1" fontId="10" fillId="0" borderId="41" xfId="0" applyNumberFormat="1" applyFont="1" applyFill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center" vertical="justify"/>
    </xf>
    <xf numFmtId="4" fontId="13" fillId="0" borderId="17" xfId="0" applyNumberFormat="1" applyFont="1" applyFill="1" applyBorder="1" applyAlignment="1">
      <alignment horizontal="center" vertical="justify"/>
    </xf>
    <xf numFmtId="4" fontId="1" fillId="0" borderId="15" xfId="0" applyNumberFormat="1" applyFont="1" applyFill="1" applyBorder="1" applyAlignment="1">
      <alignment horizontal="center" vertical="justify"/>
    </xf>
    <xf numFmtId="4" fontId="1" fillId="0" borderId="17" xfId="0" applyNumberFormat="1" applyFont="1" applyFill="1" applyBorder="1" applyAlignment="1">
      <alignment horizontal="center" vertical="justify"/>
    </xf>
    <xf numFmtId="1" fontId="14" fillId="7" borderId="14" xfId="0" applyNumberFormat="1" applyFont="1" applyFill="1" applyBorder="1" applyAlignment="1">
      <alignment horizontal="center" vertical="center"/>
    </xf>
    <xf numFmtId="1" fontId="14" fillId="7" borderId="17" xfId="0" applyNumberFormat="1" applyFont="1" applyFill="1" applyBorder="1" applyAlignment="1">
      <alignment horizontal="center" vertical="center"/>
    </xf>
    <xf numFmtId="49" fontId="7" fillId="7" borderId="14" xfId="0" applyNumberFormat="1" applyFont="1" applyFill="1" applyBorder="1" applyAlignment="1">
      <alignment horizontal="center" vertical="center"/>
    </xf>
    <xf numFmtId="49" fontId="7" fillId="7" borderId="15" xfId="0" applyNumberFormat="1" applyFont="1" applyFill="1" applyBorder="1" applyAlignment="1">
      <alignment horizontal="center" vertical="center"/>
    </xf>
    <xf numFmtId="49" fontId="7" fillId="7" borderId="17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49" fontId="7" fillId="7" borderId="10" xfId="0" applyNumberFormat="1" applyFont="1" applyFill="1" applyBorder="1" applyAlignment="1">
      <alignment horizontal="center" vertical="center"/>
    </xf>
    <xf numFmtId="49" fontId="7" fillId="7" borderId="11" xfId="0" applyNumberFormat="1" applyFont="1" applyFill="1" applyBorder="1" applyAlignment="1">
      <alignment horizontal="center" vertical="center"/>
    </xf>
    <xf numFmtId="49" fontId="7" fillId="7" borderId="12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" fillId="0" borderId="0" xfId="54" applyFont="1" applyFill="1" applyBorder="1" applyAlignment="1">
      <alignment horizontal="left" vertical="center" wrapText="1"/>
      <protection/>
    </xf>
    <xf numFmtId="0" fontId="1" fillId="5" borderId="30" xfId="54" applyFont="1" applyFill="1" applyBorder="1" applyAlignment="1">
      <alignment horizontal="center" vertical="center" wrapText="1"/>
      <protection/>
    </xf>
    <xf numFmtId="0" fontId="1" fillId="5" borderId="35" xfId="54" applyFont="1" applyFill="1" applyBorder="1" applyAlignment="1">
      <alignment horizontal="center" vertical="center" wrapText="1"/>
      <protection/>
    </xf>
    <xf numFmtId="0" fontId="1" fillId="5" borderId="14" xfId="54" applyFont="1" applyFill="1" applyBorder="1" applyAlignment="1">
      <alignment horizontal="center"/>
      <protection/>
    </xf>
    <xf numFmtId="0" fontId="1" fillId="5" borderId="15" xfId="54" applyFont="1" applyFill="1" applyBorder="1" applyAlignment="1">
      <alignment horizontal="center"/>
      <protection/>
    </xf>
    <xf numFmtId="0" fontId="1" fillId="5" borderId="17" xfId="54" applyFont="1" applyFill="1" applyBorder="1" applyAlignment="1">
      <alignment horizontal="center"/>
      <protection/>
    </xf>
    <xf numFmtId="0" fontId="1" fillId="5" borderId="27" xfId="54" applyFont="1" applyFill="1" applyBorder="1" applyAlignment="1">
      <alignment horizontal="center" vertical="center" wrapText="1"/>
      <protection/>
    </xf>
    <xf numFmtId="0" fontId="1" fillId="5" borderId="34" xfId="54" applyFont="1" applyFill="1" applyBorder="1" applyAlignment="1">
      <alignment horizontal="center" vertical="center" wrapText="1"/>
      <protection/>
    </xf>
    <xf numFmtId="0" fontId="1" fillId="5" borderId="29" xfId="54" applyFont="1" applyFill="1" applyBorder="1" applyAlignment="1">
      <alignment horizontal="center" vertical="center" wrapText="1"/>
      <protection/>
    </xf>
    <xf numFmtId="0" fontId="1" fillId="5" borderId="20" xfId="54" applyFont="1" applyFill="1" applyBorder="1" applyAlignment="1">
      <alignment horizontal="center" vertical="center" wrapText="1"/>
      <protection/>
    </xf>
    <xf numFmtId="4" fontId="13" fillId="0" borderId="15" xfId="54" applyNumberFormat="1" applyFont="1" applyFill="1" applyBorder="1" applyAlignment="1">
      <alignment horizontal="center" vertical="justify"/>
      <protection/>
    </xf>
    <xf numFmtId="4" fontId="13" fillId="0" borderId="17" xfId="54" applyNumberFormat="1" applyFont="1" applyFill="1" applyBorder="1" applyAlignment="1">
      <alignment horizontal="center" vertical="justify"/>
      <protection/>
    </xf>
    <xf numFmtId="4" fontId="13" fillId="0" borderId="15" xfId="54" applyNumberFormat="1" applyFont="1" applyFill="1" applyBorder="1" applyAlignment="1">
      <alignment horizontal="center" vertical="center"/>
      <protection/>
    </xf>
    <xf numFmtId="4" fontId="13" fillId="0" borderId="17" xfId="54" applyNumberFormat="1" applyFont="1" applyFill="1" applyBorder="1" applyAlignment="1">
      <alignment horizontal="center" vertical="center"/>
      <protection/>
    </xf>
    <xf numFmtId="0" fontId="1" fillId="22" borderId="38" xfId="0" applyFont="1" applyFill="1" applyBorder="1" applyAlignment="1">
      <alignment horizontal="center" vertical="center" wrapText="1"/>
    </xf>
    <xf numFmtId="0" fontId="1" fillId="22" borderId="63" xfId="0" applyFont="1" applyFill="1" applyBorder="1" applyAlignment="1">
      <alignment horizontal="center" vertical="center" wrapText="1"/>
    </xf>
    <xf numFmtId="0" fontId="1" fillId="22" borderId="64" xfId="0" applyFont="1" applyFill="1" applyBorder="1" applyAlignment="1">
      <alignment horizontal="center" vertical="center"/>
    </xf>
    <xf numFmtId="0" fontId="1" fillId="22" borderId="45" xfId="0" applyFont="1" applyFill="1" applyBorder="1" applyAlignment="1">
      <alignment horizontal="center" vertical="center"/>
    </xf>
    <xf numFmtId="0" fontId="1" fillId="22" borderId="22" xfId="0" applyFont="1" applyFill="1" applyBorder="1" applyAlignment="1">
      <alignment horizontal="center" vertical="center" wrapText="1"/>
    </xf>
    <xf numFmtId="0" fontId="1" fillId="22" borderId="23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1" name="Oval 1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2" name="Oval 2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63</xdr:row>
      <xdr:rowOff>0</xdr:rowOff>
    </xdr:from>
    <xdr:to>
      <xdr:col>10</xdr:col>
      <xdr:colOff>76200</xdr:colOff>
      <xdr:row>63</xdr:row>
      <xdr:rowOff>0</xdr:rowOff>
    </xdr:to>
    <xdr:sp>
      <xdr:nvSpPr>
        <xdr:cNvPr id="3" name="Oval 3"/>
        <xdr:cNvSpPr>
          <a:spLocks/>
        </xdr:cNvSpPr>
      </xdr:nvSpPr>
      <xdr:spPr>
        <a:xfrm>
          <a:off x="5800725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63</xdr:row>
      <xdr:rowOff>0</xdr:rowOff>
    </xdr:from>
    <xdr:to>
      <xdr:col>4</xdr:col>
      <xdr:colOff>180975</xdr:colOff>
      <xdr:row>63</xdr:row>
      <xdr:rowOff>0</xdr:rowOff>
    </xdr:to>
    <xdr:sp>
      <xdr:nvSpPr>
        <xdr:cNvPr id="4" name="Line 6"/>
        <xdr:cNvSpPr>
          <a:spLocks/>
        </xdr:cNvSpPr>
      </xdr:nvSpPr>
      <xdr:spPr>
        <a:xfrm>
          <a:off x="1962150" y="140208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63</xdr:row>
      <xdr:rowOff>0</xdr:rowOff>
    </xdr:from>
    <xdr:to>
      <xdr:col>4</xdr:col>
      <xdr:colOff>180975</xdr:colOff>
      <xdr:row>63</xdr:row>
      <xdr:rowOff>0</xdr:rowOff>
    </xdr:to>
    <xdr:sp>
      <xdr:nvSpPr>
        <xdr:cNvPr id="5" name="Line 7"/>
        <xdr:cNvSpPr>
          <a:spLocks/>
        </xdr:cNvSpPr>
      </xdr:nvSpPr>
      <xdr:spPr>
        <a:xfrm>
          <a:off x="1962150" y="140208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6" name="Oval 8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7" name="Oval 9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36</xdr:row>
      <xdr:rowOff>0</xdr:rowOff>
    </xdr:from>
    <xdr:to>
      <xdr:col>8</xdr:col>
      <xdr:colOff>76200</xdr:colOff>
      <xdr:row>36</xdr:row>
      <xdr:rowOff>0</xdr:rowOff>
    </xdr:to>
    <xdr:sp>
      <xdr:nvSpPr>
        <xdr:cNvPr id="8" name="Oval 10"/>
        <xdr:cNvSpPr>
          <a:spLocks/>
        </xdr:cNvSpPr>
      </xdr:nvSpPr>
      <xdr:spPr>
        <a:xfrm>
          <a:off x="4591050" y="80010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60</xdr:row>
      <xdr:rowOff>0</xdr:rowOff>
    </xdr:from>
    <xdr:to>
      <xdr:col>4</xdr:col>
      <xdr:colOff>95250</xdr:colOff>
      <xdr:row>60</xdr:row>
      <xdr:rowOff>0</xdr:rowOff>
    </xdr:to>
    <xdr:sp>
      <xdr:nvSpPr>
        <xdr:cNvPr id="9" name="Line 11"/>
        <xdr:cNvSpPr>
          <a:spLocks/>
        </xdr:cNvSpPr>
      </xdr:nvSpPr>
      <xdr:spPr>
        <a:xfrm>
          <a:off x="196215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10" name="Oval 12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11" name="Oval 13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12" name="Oval 14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13" name="Oval 15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63</xdr:row>
      <xdr:rowOff>0</xdr:rowOff>
    </xdr:from>
    <xdr:to>
      <xdr:col>11</xdr:col>
      <xdr:colOff>190500</xdr:colOff>
      <xdr:row>63</xdr:row>
      <xdr:rowOff>0</xdr:rowOff>
    </xdr:to>
    <xdr:sp>
      <xdr:nvSpPr>
        <xdr:cNvPr id="14" name="Oval 16"/>
        <xdr:cNvSpPr>
          <a:spLocks/>
        </xdr:cNvSpPr>
      </xdr:nvSpPr>
      <xdr:spPr>
        <a:xfrm>
          <a:off x="6410325" y="14020800"/>
          <a:ext cx="952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15" name="Oval 17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63</xdr:row>
      <xdr:rowOff>0</xdr:rowOff>
    </xdr:from>
    <xdr:to>
      <xdr:col>6</xdr:col>
      <xdr:colOff>190500</xdr:colOff>
      <xdr:row>63</xdr:row>
      <xdr:rowOff>0</xdr:rowOff>
    </xdr:to>
    <xdr:sp>
      <xdr:nvSpPr>
        <xdr:cNvPr id="16" name="Oval 18"/>
        <xdr:cNvSpPr>
          <a:spLocks/>
        </xdr:cNvSpPr>
      </xdr:nvSpPr>
      <xdr:spPr>
        <a:xfrm>
          <a:off x="3381375" y="14020800"/>
          <a:ext cx="952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17" name="Oval 19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18" name="Oval 20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19" name="Oval 21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20" name="Oval 22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21" name="Oval 23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22" name="Oval 24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23" name="Oval 26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63</xdr:row>
      <xdr:rowOff>0</xdr:rowOff>
    </xdr:from>
    <xdr:to>
      <xdr:col>10</xdr:col>
      <xdr:colOff>76200</xdr:colOff>
      <xdr:row>63</xdr:row>
      <xdr:rowOff>0</xdr:rowOff>
    </xdr:to>
    <xdr:sp>
      <xdr:nvSpPr>
        <xdr:cNvPr id="24" name="Oval 27"/>
        <xdr:cNvSpPr>
          <a:spLocks/>
        </xdr:cNvSpPr>
      </xdr:nvSpPr>
      <xdr:spPr>
        <a:xfrm>
          <a:off x="5800725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63</xdr:row>
      <xdr:rowOff>0</xdr:rowOff>
    </xdr:from>
    <xdr:to>
      <xdr:col>4</xdr:col>
      <xdr:colOff>180975</xdr:colOff>
      <xdr:row>63</xdr:row>
      <xdr:rowOff>0</xdr:rowOff>
    </xdr:to>
    <xdr:sp>
      <xdr:nvSpPr>
        <xdr:cNvPr id="25" name="Line 31"/>
        <xdr:cNvSpPr>
          <a:spLocks/>
        </xdr:cNvSpPr>
      </xdr:nvSpPr>
      <xdr:spPr>
        <a:xfrm>
          <a:off x="1962150" y="140208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63</xdr:row>
      <xdr:rowOff>0</xdr:rowOff>
    </xdr:from>
    <xdr:to>
      <xdr:col>4</xdr:col>
      <xdr:colOff>180975</xdr:colOff>
      <xdr:row>63</xdr:row>
      <xdr:rowOff>0</xdr:rowOff>
    </xdr:to>
    <xdr:sp>
      <xdr:nvSpPr>
        <xdr:cNvPr id="26" name="Line 32"/>
        <xdr:cNvSpPr>
          <a:spLocks/>
        </xdr:cNvSpPr>
      </xdr:nvSpPr>
      <xdr:spPr>
        <a:xfrm>
          <a:off x="1962150" y="140208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27" name="Oval 33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28" name="Oval 34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29" name="Oval 35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30" name="Oval 36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31" name="Oval 37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32" name="Oval 38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33" name="Oval 39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63</xdr:row>
      <xdr:rowOff>0</xdr:rowOff>
    </xdr:from>
    <xdr:to>
      <xdr:col>10</xdr:col>
      <xdr:colOff>76200</xdr:colOff>
      <xdr:row>63</xdr:row>
      <xdr:rowOff>0</xdr:rowOff>
    </xdr:to>
    <xdr:sp>
      <xdr:nvSpPr>
        <xdr:cNvPr id="34" name="Oval 40"/>
        <xdr:cNvSpPr>
          <a:spLocks/>
        </xdr:cNvSpPr>
      </xdr:nvSpPr>
      <xdr:spPr>
        <a:xfrm>
          <a:off x="5800725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35" name="Line 41"/>
        <xdr:cNvSpPr>
          <a:spLocks/>
        </xdr:cNvSpPr>
      </xdr:nvSpPr>
      <xdr:spPr>
        <a:xfrm>
          <a:off x="4514850" y="800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36" name="Line 42"/>
        <xdr:cNvSpPr>
          <a:spLocks/>
        </xdr:cNvSpPr>
      </xdr:nvSpPr>
      <xdr:spPr>
        <a:xfrm>
          <a:off x="2571750" y="800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>
      <xdr:nvSpPr>
        <xdr:cNvPr id="37" name="Line 43"/>
        <xdr:cNvSpPr>
          <a:spLocks/>
        </xdr:cNvSpPr>
      </xdr:nvSpPr>
      <xdr:spPr>
        <a:xfrm>
          <a:off x="257175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38" name="Line 44"/>
        <xdr:cNvSpPr>
          <a:spLocks/>
        </xdr:cNvSpPr>
      </xdr:nvSpPr>
      <xdr:spPr>
        <a:xfrm>
          <a:off x="451485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39" name="Line 45"/>
        <xdr:cNvSpPr>
          <a:spLocks/>
        </xdr:cNvSpPr>
      </xdr:nvSpPr>
      <xdr:spPr>
        <a:xfrm flipH="1">
          <a:off x="4295775" y="14020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123825</xdr:colOff>
      <xdr:row>63</xdr:row>
      <xdr:rowOff>0</xdr:rowOff>
    </xdr:to>
    <xdr:sp>
      <xdr:nvSpPr>
        <xdr:cNvPr id="40" name="Line 46"/>
        <xdr:cNvSpPr>
          <a:spLocks/>
        </xdr:cNvSpPr>
      </xdr:nvSpPr>
      <xdr:spPr>
        <a:xfrm>
          <a:off x="2571750" y="140208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104775</xdr:colOff>
      <xdr:row>63</xdr:row>
      <xdr:rowOff>0</xdr:rowOff>
    </xdr:to>
    <xdr:sp>
      <xdr:nvSpPr>
        <xdr:cNvPr id="41" name="Line 47"/>
        <xdr:cNvSpPr>
          <a:spLocks/>
        </xdr:cNvSpPr>
      </xdr:nvSpPr>
      <xdr:spPr>
        <a:xfrm>
          <a:off x="2571750" y="14020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42" name="Oval 48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43" name="Oval 49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44" name="Oval 50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45" name="Line 51"/>
        <xdr:cNvSpPr>
          <a:spLocks/>
        </xdr:cNvSpPr>
      </xdr:nvSpPr>
      <xdr:spPr>
        <a:xfrm flipH="1">
          <a:off x="4295775" y="14020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63</xdr:row>
      <xdr:rowOff>0</xdr:rowOff>
    </xdr:from>
    <xdr:to>
      <xdr:col>8</xdr:col>
      <xdr:colOff>76200</xdr:colOff>
      <xdr:row>63</xdr:row>
      <xdr:rowOff>0</xdr:rowOff>
    </xdr:to>
    <xdr:sp>
      <xdr:nvSpPr>
        <xdr:cNvPr id="46" name="Oval 52"/>
        <xdr:cNvSpPr>
          <a:spLocks/>
        </xdr:cNvSpPr>
      </xdr:nvSpPr>
      <xdr:spPr>
        <a:xfrm>
          <a:off x="45910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63</xdr:row>
      <xdr:rowOff>0</xdr:rowOff>
    </xdr:from>
    <xdr:to>
      <xdr:col>10</xdr:col>
      <xdr:colOff>76200</xdr:colOff>
      <xdr:row>63</xdr:row>
      <xdr:rowOff>0</xdr:rowOff>
    </xdr:to>
    <xdr:sp>
      <xdr:nvSpPr>
        <xdr:cNvPr id="47" name="Oval 53"/>
        <xdr:cNvSpPr>
          <a:spLocks/>
        </xdr:cNvSpPr>
      </xdr:nvSpPr>
      <xdr:spPr>
        <a:xfrm>
          <a:off x="5800725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63</xdr:row>
      <xdr:rowOff>0</xdr:rowOff>
    </xdr:from>
    <xdr:to>
      <xdr:col>11</xdr:col>
      <xdr:colOff>76200</xdr:colOff>
      <xdr:row>63</xdr:row>
      <xdr:rowOff>0</xdr:rowOff>
    </xdr:to>
    <xdr:sp>
      <xdr:nvSpPr>
        <xdr:cNvPr id="48" name="Oval 54"/>
        <xdr:cNvSpPr>
          <a:spLocks/>
        </xdr:cNvSpPr>
      </xdr:nvSpPr>
      <xdr:spPr>
        <a:xfrm>
          <a:off x="6391275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63</xdr:row>
      <xdr:rowOff>0</xdr:rowOff>
    </xdr:from>
    <xdr:to>
      <xdr:col>10</xdr:col>
      <xdr:colOff>76200</xdr:colOff>
      <xdr:row>63</xdr:row>
      <xdr:rowOff>0</xdr:rowOff>
    </xdr:to>
    <xdr:sp>
      <xdr:nvSpPr>
        <xdr:cNvPr id="49" name="Oval 55"/>
        <xdr:cNvSpPr>
          <a:spLocks/>
        </xdr:cNvSpPr>
      </xdr:nvSpPr>
      <xdr:spPr>
        <a:xfrm>
          <a:off x="5800725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50" name="Oval 56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63</xdr:row>
      <xdr:rowOff>0</xdr:rowOff>
    </xdr:from>
    <xdr:to>
      <xdr:col>10</xdr:col>
      <xdr:colOff>76200</xdr:colOff>
      <xdr:row>63</xdr:row>
      <xdr:rowOff>0</xdr:rowOff>
    </xdr:to>
    <xdr:sp>
      <xdr:nvSpPr>
        <xdr:cNvPr id="51" name="Oval 57"/>
        <xdr:cNvSpPr>
          <a:spLocks/>
        </xdr:cNvSpPr>
      </xdr:nvSpPr>
      <xdr:spPr>
        <a:xfrm>
          <a:off x="5800725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52" name="Oval 58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63</xdr:row>
      <xdr:rowOff>0</xdr:rowOff>
    </xdr:from>
    <xdr:to>
      <xdr:col>10</xdr:col>
      <xdr:colOff>76200</xdr:colOff>
      <xdr:row>63</xdr:row>
      <xdr:rowOff>0</xdr:rowOff>
    </xdr:to>
    <xdr:sp>
      <xdr:nvSpPr>
        <xdr:cNvPr id="53" name="Oval 59"/>
        <xdr:cNvSpPr>
          <a:spLocks/>
        </xdr:cNvSpPr>
      </xdr:nvSpPr>
      <xdr:spPr>
        <a:xfrm>
          <a:off x="5800725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54" name="Oval 60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63</xdr:row>
      <xdr:rowOff>0</xdr:rowOff>
    </xdr:from>
    <xdr:to>
      <xdr:col>8</xdr:col>
      <xdr:colOff>76200</xdr:colOff>
      <xdr:row>63</xdr:row>
      <xdr:rowOff>0</xdr:rowOff>
    </xdr:to>
    <xdr:sp>
      <xdr:nvSpPr>
        <xdr:cNvPr id="55" name="Oval 61"/>
        <xdr:cNvSpPr>
          <a:spLocks/>
        </xdr:cNvSpPr>
      </xdr:nvSpPr>
      <xdr:spPr>
        <a:xfrm>
          <a:off x="45910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63</xdr:row>
      <xdr:rowOff>0</xdr:rowOff>
    </xdr:from>
    <xdr:to>
      <xdr:col>8</xdr:col>
      <xdr:colOff>76200</xdr:colOff>
      <xdr:row>63</xdr:row>
      <xdr:rowOff>0</xdr:rowOff>
    </xdr:to>
    <xdr:sp>
      <xdr:nvSpPr>
        <xdr:cNvPr id="56" name="Oval 62"/>
        <xdr:cNvSpPr>
          <a:spLocks/>
        </xdr:cNvSpPr>
      </xdr:nvSpPr>
      <xdr:spPr>
        <a:xfrm>
          <a:off x="45910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63</xdr:row>
      <xdr:rowOff>0</xdr:rowOff>
    </xdr:from>
    <xdr:to>
      <xdr:col>11</xdr:col>
      <xdr:colOff>76200</xdr:colOff>
      <xdr:row>63</xdr:row>
      <xdr:rowOff>0</xdr:rowOff>
    </xdr:to>
    <xdr:sp>
      <xdr:nvSpPr>
        <xdr:cNvPr id="57" name="Oval 63"/>
        <xdr:cNvSpPr>
          <a:spLocks/>
        </xdr:cNvSpPr>
      </xdr:nvSpPr>
      <xdr:spPr>
        <a:xfrm>
          <a:off x="6391275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58" name="Oval 64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59" name="Oval 65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63</xdr:row>
      <xdr:rowOff>0</xdr:rowOff>
    </xdr:from>
    <xdr:to>
      <xdr:col>9</xdr:col>
      <xdr:colOff>180975</xdr:colOff>
      <xdr:row>63</xdr:row>
      <xdr:rowOff>0</xdr:rowOff>
    </xdr:to>
    <xdr:sp>
      <xdr:nvSpPr>
        <xdr:cNvPr id="60" name="Line 66"/>
        <xdr:cNvSpPr>
          <a:spLocks/>
        </xdr:cNvSpPr>
      </xdr:nvSpPr>
      <xdr:spPr>
        <a:xfrm>
          <a:off x="526732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61" name="Oval 67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62" name="Oval 68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63" name="Oval 69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64" name="Oval 71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63</xdr:row>
      <xdr:rowOff>0</xdr:rowOff>
    </xdr:from>
    <xdr:to>
      <xdr:col>8</xdr:col>
      <xdr:colOff>123825</xdr:colOff>
      <xdr:row>63</xdr:row>
      <xdr:rowOff>0</xdr:rowOff>
    </xdr:to>
    <xdr:sp>
      <xdr:nvSpPr>
        <xdr:cNvPr id="65" name="Line 72"/>
        <xdr:cNvSpPr>
          <a:spLocks/>
        </xdr:cNvSpPr>
      </xdr:nvSpPr>
      <xdr:spPr>
        <a:xfrm>
          <a:off x="3695700" y="140208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66" name="Oval 73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63</xdr:row>
      <xdr:rowOff>0</xdr:rowOff>
    </xdr:from>
    <xdr:to>
      <xdr:col>8</xdr:col>
      <xdr:colOff>76200</xdr:colOff>
      <xdr:row>63</xdr:row>
      <xdr:rowOff>0</xdr:rowOff>
    </xdr:to>
    <xdr:sp>
      <xdr:nvSpPr>
        <xdr:cNvPr id="67" name="Oval 76"/>
        <xdr:cNvSpPr>
          <a:spLocks/>
        </xdr:cNvSpPr>
      </xdr:nvSpPr>
      <xdr:spPr>
        <a:xfrm>
          <a:off x="45910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63</xdr:row>
      <xdr:rowOff>0</xdr:rowOff>
    </xdr:from>
    <xdr:to>
      <xdr:col>8</xdr:col>
      <xdr:colOff>76200</xdr:colOff>
      <xdr:row>63</xdr:row>
      <xdr:rowOff>0</xdr:rowOff>
    </xdr:to>
    <xdr:sp>
      <xdr:nvSpPr>
        <xdr:cNvPr id="68" name="Oval 77"/>
        <xdr:cNvSpPr>
          <a:spLocks/>
        </xdr:cNvSpPr>
      </xdr:nvSpPr>
      <xdr:spPr>
        <a:xfrm>
          <a:off x="45910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63</xdr:row>
      <xdr:rowOff>0</xdr:rowOff>
    </xdr:from>
    <xdr:to>
      <xdr:col>8</xdr:col>
      <xdr:colOff>76200</xdr:colOff>
      <xdr:row>63</xdr:row>
      <xdr:rowOff>0</xdr:rowOff>
    </xdr:to>
    <xdr:sp>
      <xdr:nvSpPr>
        <xdr:cNvPr id="69" name="Oval 78"/>
        <xdr:cNvSpPr>
          <a:spLocks/>
        </xdr:cNvSpPr>
      </xdr:nvSpPr>
      <xdr:spPr>
        <a:xfrm>
          <a:off x="45910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70" name="Oval 79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63</xdr:row>
      <xdr:rowOff>0</xdr:rowOff>
    </xdr:from>
    <xdr:to>
      <xdr:col>8</xdr:col>
      <xdr:colOff>76200</xdr:colOff>
      <xdr:row>63</xdr:row>
      <xdr:rowOff>0</xdr:rowOff>
    </xdr:to>
    <xdr:sp>
      <xdr:nvSpPr>
        <xdr:cNvPr id="71" name="Oval 80"/>
        <xdr:cNvSpPr>
          <a:spLocks/>
        </xdr:cNvSpPr>
      </xdr:nvSpPr>
      <xdr:spPr>
        <a:xfrm>
          <a:off x="45910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72" name="Oval 81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63</xdr:row>
      <xdr:rowOff>0</xdr:rowOff>
    </xdr:from>
    <xdr:to>
      <xdr:col>10</xdr:col>
      <xdr:colOff>76200</xdr:colOff>
      <xdr:row>63</xdr:row>
      <xdr:rowOff>0</xdr:rowOff>
    </xdr:to>
    <xdr:sp>
      <xdr:nvSpPr>
        <xdr:cNvPr id="73" name="Oval 82"/>
        <xdr:cNvSpPr>
          <a:spLocks/>
        </xdr:cNvSpPr>
      </xdr:nvSpPr>
      <xdr:spPr>
        <a:xfrm>
          <a:off x="5800725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74" name="Oval 83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75" name="Oval 84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63</xdr:row>
      <xdr:rowOff>0</xdr:rowOff>
    </xdr:from>
    <xdr:to>
      <xdr:col>10</xdr:col>
      <xdr:colOff>76200</xdr:colOff>
      <xdr:row>63</xdr:row>
      <xdr:rowOff>0</xdr:rowOff>
    </xdr:to>
    <xdr:sp>
      <xdr:nvSpPr>
        <xdr:cNvPr id="76" name="Oval 85"/>
        <xdr:cNvSpPr>
          <a:spLocks/>
        </xdr:cNvSpPr>
      </xdr:nvSpPr>
      <xdr:spPr>
        <a:xfrm>
          <a:off x="5800725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77" name="Oval 86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78" name="Oval 87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79" name="Oval 93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>
      <xdr:nvSpPr>
        <xdr:cNvPr id="80" name="Line 99"/>
        <xdr:cNvSpPr>
          <a:spLocks/>
        </xdr:cNvSpPr>
      </xdr:nvSpPr>
      <xdr:spPr>
        <a:xfrm>
          <a:off x="257175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81" name="Line 100"/>
        <xdr:cNvSpPr>
          <a:spLocks/>
        </xdr:cNvSpPr>
      </xdr:nvSpPr>
      <xdr:spPr>
        <a:xfrm>
          <a:off x="451485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82" name="Line 101"/>
        <xdr:cNvSpPr>
          <a:spLocks/>
        </xdr:cNvSpPr>
      </xdr:nvSpPr>
      <xdr:spPr>
        <a:xfrm flipH="1">
          <a:off x="4295775" y="14020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123825</xdr:colOff>
      <xdr:row>63</xdr:row>
      <xdr:rowOff>0</xdr:rowOff>
    </xdr:to>
    <xdr:sp>
      <xdr:nvSpPr>
        <xdr:cNvPr id="83" name="Line 102"/>
        <xdr:cNvSpPr>
          <a:spLocks/>
        </xdr:cNvSpPr>
      </xdr:nvSpPr>
      <xdr:spPr>
        <a:xfrm>
          <a:off x="2571750" y="140208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84" name="Line 104"/>
        <xdr:cNvSpPr>
          <a:spLocks/>
        </xdr:cNvSpPr>
      </xdr:nvSpPr>
      <xdr:spPr>
        <a:xfrm flipH="1">
          <a:off x="4295775" y="14020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85" name="Oval 105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86" name="Oval 106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63</xdr:row>
      <xdr:rowOff>0</xdr:rowOff>
    </xdr:from>
    <xdr:to>
      <xdr:col>11</xdr:col>
      <xdr:colOff>190500</xdr:colOff>
      <xdr:row>63</xdr:row>
      <xdr:rowOff>0</xdr:rowOff>
    </xdr:to>
    <xdr:sp>
      <xdr:nvSpPr>
        <xdr:cNvPr id="87" name="Oval 107"/>
        <xdr:cNvSpPr>
          <a:spLocks/>
        </xdr:cNvSpPr>
      </xdr:nvSpPr>
      <xdr:spPr>
        <a:xfrm>
          <a:off x="6410325" y="14020800"/>
          <a:ext cx="952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88" name="Oval 108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63</xdr:row>
      <xdr:rowOff>0</xdr:rowOff>
    </xdr:from>
    <xdr:to>
      <xdr:col>6</xdr:col>
      <xdr:colOff>190500</xdr:colOff>
      <xdr:row>63</xdr:row>
      <xdr:rowOff>0</xdr:rowOff>
    </xdr:to>
    <xdr:sp>
      <xdr:nvSpPr>
        <xdr:cNvPr id="89" name="Oval 109"/>
        <xdr:cNvSpPr>
          <a:spLocks/>
        </xdr:cNvSpPr>
      </xdr:nvSpPr>
      <xdr:spPr>
        <a:xfrm>
          <a:off x="3381375" y="14020800"/>
          <a:ext cx="952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90" name="Oval 110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91" name="Oval 111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92" name="Oval 112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93" name="Oval 113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94" name="Oval 114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95" name="Oval 115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96" name="Oval 116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97" name="Oval 117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98" name="Oval 118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63</xdr:row>
      <xdr:rowOff>0</xdr:rowOff>
    </xdr:from>
    <xdr:to>
      <xdr:col>10</xdr:col>
      <xdr:colOff>114300</xdr:colOff>
      <xdr:row>63</xdr:row>
      <xdr:rowOff>0</xdr:rowOff>
    </xdr:to>
    <xdr:sp>
      <xdr:nvSpPr>
        <xdr:cNvPr id="99" name="Oval 119"/>
        <xdr:cNvSpPr>
          <a:spLocks/>
        </xdr:cNvSpPr>
      </xdr:nvSpPr>
      <xdr:spPr>
        <a:xfrm>
          <a:off x="5753100" y="14020800"/>
          <a:ext cx="857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100" name="Oval 120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63</xdr:row>
      <xdr:rowOff>0</xdr:rowOff>
    </xdr:from>
    <xdr:to>
      <xdr:col>10</xdr:col>
      <xdr:colOff>76200</xdr:colOff>
      <xdr:row>63</xdr:row>
      <xdr:rowOff>0</xdr:rowOff>
    </xdr:to>
    <xdr:sp>
      <xdr:nvSpPr>
        <xdr:cNvPr id="101" name="Oval 121"/>
        <xdr:cNvSpPr>
          <a:spLocks/>
        </xdr:cNvSpPr>
      </xdr:nvSpPr>
      <xdr:spPr>
        <a:xfrm>
          <a:off x="5800725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63</xdr:row>
      <xdr:rowOff>0</xdr:rowOff>
    </xdr:from>
    <xdr:to>
      <xdr:col>10</xdr:col>
      <xdr:colOff>76200</xdr:colOff>
      <xdr:row>63</xdr:row>
      <xdr:rowOff>0</xdr:rowOff>
    </xdr:to>
    <xdr:sp>
      <xdr:nvSpPr>
        <xdr:cNvPr id="102" name="Oval 122"/>
        <xdr:cNvSpPr>
          <a:spLocks/>
        </xdr:cNvSpPr>
      </xdr:nvSpPr>
      <xdr:spPr>
        <a:xfrm>
          <a:off x="5800725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63</xdr:row>
      <xdr:rowOff>0</xdr:rowOff>
    </xdr:from>
    <xdr:to>
      <xdr:col>11</xdr:col>
      <xdr:colOff>76200</xdr:colOff>
      <xdr:row>63</xdr:row>
      <xdr:rowOff>0</xdr:rowOff>
    </xdr:to>
    <xdr:sp>
      <xdr:nvSpPr>
        <xdr:cNvPr id="103" name="Oval 123"/>
        <xdr:cNvSpPr>
          <a:spLocks/>
        </xdr:cNvSpPr>
      </xdr:nvSpPr>
      <xdr:spPr>
        <a:xfrm>
          <a:off x="6391275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63</xdr:row>
      <xdr:rowOff>0</xdr:rowOff>
    </xdr:from>
    <xdr:to>
      <xdr:col>10</xdr:col>
      <xdr:colOff>76200</xdr:colOff>
      <xdr:row>63</xdr:row>
      <xdr:rowOff>0</xdr:rowOff>
    </xdr:to>
    <xdr:sp>
      <xdr:nvSpPr>
        <xdr:cNvPr id="104" name="Oval 124"/>
        <xdr:cNvSpPr>
          <a:spLocks/>
        </xdr:cNvSpPr>
      </xdr:nvSpPr>
      <xdr:spPr>
        <a:xfrm>
          <a:off x="5800725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105" name="Oval 125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106" name="Oval 126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63</xdr:row>
      <xdr:rowOff>0</xdr:rowOff>
    </xdr:from>
    <xdr:to>
      <xdr:col>8</xdr:col>
      <xdr:colOff>76200</xdr:colOff>
      <xdr:row>63</xdr:row>
      <xdr:rowOff>0</xdr:rowOff>
    </xdr:to>
    <xdr:sp>
      <xdr:nvSpPr>
        <xdr:cNvPr id="107" name="Oval 127"/>
        <xdr:cNvSpPr>
          <a:spLocks/>
        </xdr:cNvSpPr>
      </xdr:nvSpPr>
      <xdr:spPr>
        <a:xfrm>
          <a:off x="45910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63</xdr:row>
      <xdr:rowOff>0</xdr:rowOff>
    </xdr:from>
    <xdr:to>
      <xdr:col>8</xdr:col>
      <xdr:colOff>76200</xdr:colOff>
      <xdr:row>63</xdr:row>
      <xdr:rowOff>0</xdr:rowOff>
    </xdr:to>
    <xdr:sp>
      <xdr:nvSpPr>
        <xdr:cNvPr id="108" name="Oval 128"/>
        <xdr:cNvSpPr>
          <a:spLocks/>
        </xdr:cNvSpPr>
      </xdr:nvSpPr>
      <xdr:spPr>
        <a:xfrm>
          <a:off x="45910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109" name="Oval 129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63</xdr:row>
      <xdr:rowOff>0</xdr:rowOff>
    </xdr:from>
    <xdr:to>
      <xdr:col>11</xdr:col>
      <xdr:colOff>0</xdr:colOff>
      <xdr:row>63</xdr:row>
      <xdr:rowOff>0</xdr:rowOff>
    </xdr:to>
    <xdr:sp>
      <xdr:nvSpPr>
        <xdr:cNvPr id="110" name="Line 130"/>
        <xdr:cNvSpPr>
          <a:spLocks/>
        </xdr:cNvSpPr>
      </xdr:nvSpPr>
      <xdr:spPr>
        <a:xfrm flipH="1">
          <a:off x="6153150" y="140208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409575</xdr:colOff>
      <xdr:row>63</xdr:row>
      <xdr:rowOff>0</xdr:rowOff>
    </xdr:from>
    <xdr:to>
      <xdr:col>11</xdr:col>
      <xdr:colOff>0</xdr:colOff>
      <xdr:row>63</xdr:row>
      <xdr:rowOff>0</xdr:rowOff>
    </xdr:to>
    <xdr:sp>
      <xdr:nvSpPr>
        <xdr:cNvPr id="111" name="Line 131"/>
        <xdr:cNvSpPr>
          <a:spLocks/>
        </xdr:cNvSpPr>
      </xdr:nvSpPr>
      <xdr:spPr>
        <a:xfrm flipH="1">
          <a:off x="6134100" y="140208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63</xdr:row>
      <xdr:rowOff>0</xdr:rowOff>
    </xdr:from>
    <xdr:to>
      <xdr:col>11</xdr:col>
      <xdr:colOff>114300</xdr:colOff>
      <xdr:row>63</xdr:row>
      <xdr:rowOff>0</xdr:rowOff>
    </xdr:to>
    <xdr:sp>
      <xdr:nvSpPr>
        <xdr:cNvPr id="112" name="Line 132"/>
        <xdr:cNvSpPr>
          <a:spLocks/>
        </xdr:cNvSpPr>
      </xdr:nvSpPr>
      <xdr:spPr>
        <a:xfrm>
          <a:off x="6315075" y="14020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63</xdr:row>
      <xdr:rowOff>0</xdr:rowOff>
    </xdr:from>
    <xdr:to>
      <xdr:col>9</xdr:col>
      <xdr:colOff>76200</xdr:colOff>
      <xdr:row>63</xdr:row>
      <xdr:rowOff>0</xdr:rowOff>
    </xdr:to>
    <xdr:sp>
      <xdr:nvSpPr>
        <xdr:cNvPr id="113" name="Oval 133"/>
        <xdr:cNvSpPr>
          <a:spLocks/>
        </xdr:cNvSpPr>
      </xdr:nvSpPr>
      <xdr:spPr>
        <a:xfrm>
          <a:off x="51625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466725</xdr:colOff>
      <xdr:row>63</xdr:row>
      <xdr:rowOff>0</xdr:rowOff>
    </xdr:from>
    <xdr:to>
      <xdr:col>11</xdr:col>
      <xdr:colOff>0</xdr:colOff>
      <xdr:row>63</xdr:row>
      <xdr:rowOff>0</xdr:rowOff>
    </xdr:to>
    <xdr:sp>
      <xdr:nvSpPr>
        <xdr:cNvPr id="114" name="Line 134"/>
        <xdr:cNvSpPr>
          <a:spLocks/>
        </xdr:cNvSpPr>
      </xdr:nvSpPr>
      <xdr:spPr>
        <a:xfrm>
          <a:off x="6191250" y="140208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63</xdr:row>
      <xdr:rowOff>0</xdr:rowOff>
    </xdr:from>
    <xdr:to>
      <xdr:col>11</xdr:col>
      <xdr:colOff>0</xdr:colOff>
      <xdr:row>63</xdr:row>
      <xdr:rowOff>0</xdr:rowOff>
    </xdr:to>
    <xdr:sp>
      <xdr:nvSpPr>
        <xdr:cNvPr id="115" name="Line 135"/>
        <xdr:cNvSpPr>
          <a:spLocks/>
        </xdr:cNvSpPr>
      </xdr:nvSpPr>
      <xdr:spPr>
        <a:xfrm>
          <a:off x="631507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63</xdr:row>
      <xdr:rowOff>0</xdr:rowOff>
    </xdr:from>
    <xdr:to>
      <xdr:col>11</xdr:col>
      <xdr:colOff>0</xdr:colOff>
      <xdr:row>63</xdr:row>
      <xdr:rowOff>0</xdr:rowOff>
    </xdr:to>
    <xdr:sp>
      <xdr:nvSpPr>
        <xdr:cNvPr id="116" name="Line 136"/>
        <xdr:cNvSpPr>
          <a:spLocks/>
        </xdr:cNvSpPr>
      </xdr:nvSpPr>
      <xdr:spPr>
        <a:xfrm flipH="1">
          <a:off x="6181725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63</xdr:row>
      <xdr:rowOff>0</xdr:rowOff>
    </xdr:from>
    <xdr:to>
      <xdr:col>11</xdr:col>
      <xdr:colOff>85725</xdr:colOff>
      <xdr:row>63</xdr:row>
      <xdr:rowOff>0</xdr:rowOff>
    </xdr:to>
    <xdr:sp>
      <xdr:nvSpPr>
        <xdr:cNvPr id="117" name="Line 137"/>
        <xdr:cNvSpPr>
          <a:spLocks/>
        </xdr:cNvSpPr>
      </xdr:nvSpPr>
      <xdr:spPr>
        <a:xfrm>
          <a:off x="6315075" y="140208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63</xdr:row>
      <xdr:rowOff>0</xdr:rowOff>
    </xdr:from>
    <xdr:to>
      <xdr:col>8</xdr:col>
      <xdr:colOff>76200</xdr:colOff>
      <xdr:row>63</xdr:row>
      <xdr:rowOff>0</xdr:rowOff>
    </xdr:to>
    <xdr:sp>
      <xdr:nvSpPr>
        <xdr:cNvPr id="118" name="Oval 138"/>
        <xdr:cNvSpPr>
          <a:spLocks/>
        </xdr:cNvSpPr>
      </xdr:nvSpPr>
      <xdr:spPr>
        <a:xfrm>
          <a:off x="45910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63</xdr:row>
      <xdr:rowOff>0</xdr:rowOff>
    </xdr:from>
    <xdr:to>
      <xdr:col>8</xdr:col>
      <xdr:colOff>76200</xdr:colOff>
      <xdr:row>63</xdr:row>
      <xdr:rowOff>0</xdr:rowOff>
    </xdr:to>
    <xdr:sp>
      <xdr:nvSpPr>
        <xdr:cNvPr id="119" name="Oval 139"/>
        <xdr:cNvSpPr>
          <a:spLocks/>
        </xdr:cNvSpPr>
      </xdr:nvSpPr>
      <xdr:spPr>
        <a:xfrm>
          <a:off x="45910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63</xdr:row>
      <xdr:rowOff>0</xdr:rowOff>
    </xdr:from>
    <xdr:to>
      <xdr:col>8</xdr:col>
      <xdr:colOff>76200</xdr:colOff>
      <xdr:row>63</xdr:row>
      <xdr:rowOff>0</xdr:rowOff>
    </xdr:to>
    <xdr:sp>
      <xdr:nvSpPr>
        <xdr:cNvPr id="120" name="Oval 140"/>
        <xdr:cNvSpPr>
          <a:spLocks/>
        </xdr:cNvSpPr>
      </xdr:nvSpPr>
      <xdr:spPr>
        <a:xfrm>
          <a:off x="45910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63</xdr:row>
      <xdr:rowOff>0</xdr:rowOff>
    </xdr:from>
    <xdr:to>
      <xdr:col>8</xdr:col>
      <xdr:colOff>76200</xdr:colOff>
      <xdr:row>63</xdr:row>
      <xdr:rowOff>0</xdr:rowOff>
    </xdr:to>
    <xdr:sp>
      <xdr:nvSpPr>
        <xdr:cNvPr id="121" name="Oval 141"/>
        <xdr:cNvSpPr>
          <a:spLocks/>
        </xdr:cNvSpPr>
      </xdr:nvSpPr>
      <xdr:spPr>
        <a:xfrm>
          <a:off x="45910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63</xdr:row>
      <xdr:rowOff>0</xdr:rowOff>
    </xdr:from>
    <xdr:to>
      <xdr:col>8</xdr:col>
      <xdr:colOff>76200</xdr:colOff>
      <xdr:row>63</xdr:row>
      <xdr:rowOff>0</xdr:rowOff>
    </xdr:to>
    <xdr:sp>
      <xdr:nvSpPr>
        <xdr:cNvPr id="122" name="Oval 142"/>
        <xdr:cNvSpPr>
          <a:spLocks/>
        </xdr:cNvSpPr>
      </xdr:nvSpPr>
      <xdr:spPr>
        <a:xfrm>
          <a:off x="45910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63</xdr:row>
      <xdr:rowOff>0</xdr:rowOff>
    </xdr:from>
    <xdr:to>
      <xdr:col>8</xdr:col>
      <xdr:colOff>76200</xdr:colOff>
      <xdr:row>63</xdr:row>
      <xdr:rowOff>0</xdr:rowOff>
    </xdr:to>
    <xdr:sp>
      <xdr:nvSpPr>
        <xdr:cNvPr id="123" name="Oval 143"/>
        <xdr:cNvSpPr>
          <a:spLocks/>
        </xdr:cNvSpPr>
      </xdr:nvSpPr>
      <xdr:spPr>
        <a:xfrm>
          <a:off x="45910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124" name="Line 146"/>
        <xdr:cNvSpPr>
          <a:spLocks/>
        </xdr:cNvSpPr>
      </xdr:nvSpPr>
      <xdr:spPr>
        <a:xfrm>
          <a:off x="451485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10</xdr:col>
      <xdr:colOff>0</xdr:colOff>
      <xdr:row>63</xdr:row>
      <xdr:rowOff>0</xdr:rowOff>
    </xdr:to>
    <xdr:sp>
      <xdr:nvSpPr>
        <xdr:cNvPr id="125" name="Line 147"/>
        <xdr:cNvSpPr>
          <a:spLocks/>
        </xdr:cNvSpPr>
      </xdr:nvSpPr>
      <xdr:spPr>
        <a:xfrm>
          <a:off x="4514850" y="140208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10</xdr:col>
      <xdr:colOff>0</xdr:colOff>
      <xdr:row>63</xdr:row>
      <xdr:rowOff>0</xdr:rowOff>
    </xdr:to>
    <xdr:sp>
      <xdr:nvSpPr>
        <xdr:cNvPr id="126" name="Line 148"/>
        <xdr:cNvSpPr>
          <a:spLocks/>
        </xdr:cNvSpPr>
      </xdr:nvSpPr>
      <xdr:spPr>
        <a:xfrm flipV="1">
          <a:off x="572452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63</xdr:row>
      <xdr:rowOff>0</xdr:rowOff>
    </xdr:from>
    <xdr:to>
      <xdr:col>10</xdr:col>
      <xdr:colOff>19050</xdr:colOff>
      <xdr:row>63</xdr:row>
      <xdr:rowOff>0</xdr:rowOff>
    </xdr:to>
    <xdr:sp>
      <xdr:nvSpPr>
        <xdr:cNvPr id="127" name="Line 149"/>
        <xdr:cNvSpPr>
          <a:spLocks/>
        </xdr:cNvSpPr>
      </xdr:nvSpPr>
      <xdr:spPr>
        <a:xfrm>
          <a:off x="4533900" y="140208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63</xdr:row>
      <xdr:rowOff>0</xdr:rowOff>
    </xdr:from>
    <xdr:to>
      <xdr:col>9</xdr:col>
      <xdr:colOff>238125</xdr:colOff>
      <xdr:row>63</xdr:row>
      <xdr:rowOff>0</xdr:rowOff>
    </xdr:to>
    <xdr:sp>
      <xdr:nvSpPr>
        <xdr:cNvPr id="128" name="Line 150"/>
        <xdr:cNvSpPr>
          <a:spLocks/>
        </xdr:cNvSpPr>
      </xdr:nvSpPr>
      <xdr:spPr>
        <a:xfrm>
          <a:off x="4876800" y="140208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63</xdr:row>
      <xdr:rowOff>0</xdr:rowOff>
    </xdr:from>
    <xdr:to>
      <xdr:col>9</xdr:col>
      <xdr:colOff>114300</xdr:colOff>
      <xdr:row>63</xdr:row>
      <xdr:rowOff>0</xdr:rowOff>
    </xdr:to>
    <xdr:sp>
      <xdr:nvSpPr>
        <xdr:cNvPr id="129" name="Line 151"/>
        <xdr:cNvSpPr>
          <a:spLocks/>
        </xdr:cNvSpPr>
      </xdr:nvSpPr>
      <xdr:spPr>
        <a:xfrm>
          <a:off x="4981575" y="14020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63</xdr:row>
      <xdr:rowOff>0</xdr:rowOff>
    </xdr:from>
    <xdr:to>
      <xdr:col>7</xdr:col>
      <xdr:colOff>552450</xdr:colOff>
      <xdr:row>63</xdr:row>
      <xdr:rowOff>0</xdr:rowOff>
    </xdr:to>
    <xdr:sp>
      <xdr:nvSpPr>
        <xdr:cNvPr id="130" name="Line 152"/>
        <xdr:cNvSpPr>
          <a:spLocks/>
        </xdr:cNvSpPr>
      </xdr:nvSpPr>
      <xdr:spPr>
        <a:xfrm flipH="1">
          <a:off x="4343400" y="140208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10</xdr:col>
      <xdr:colOff>142875</xdr:colOff>
      <xdr:row>63</xdr:row>
      <xdr:rowOff>0</xdr:rowOff>
    </xdr:to>
    <xdr:sp>
      <xdr:nvSpPr>
        <xdr:cNvPr id="131" name="Line 153"/>
        <xdr:cNvSpPr>
          <a:spLocks/>
        </xdr:cNvSpPr>
      </xdr:nvSpPr>
      <xdr:spPr>
        <a:xfrm>
          <a:off x="5724525" y="14020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63</xdr:row>
      <xdr:rowOff>0</xdr:rowOff>
    </xdr:from>
    <xdr:to>
      <xdr:col>10</xdr:col>
      <xdr:colOff>142875</xdr:colOff>
      <xdr:row>63</xdr:row>
      <xdr:rowOff>0</xdr:rowOff>
    </xdr:to>
    <xdr:sp>
      <xdr:nvSpPr>
        <xdr:cNvPr id="132" name="Line 154"/>
        <xdr:cNvSpPr>
          <a:spLocks/>
        </xdr:cNvSpPr>
      </xdr:nvSpPr>
      <xdr:spPr>
        <a:xfrm>
          <a:off x="586740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63</xdr:row>
      <xdr:rowOff>0</xdr:rowOff>
    </xdr:from>
    <xdr:to>
      <xdr:col>10</xdr:col>
      <xdr:colOff>219075</xdr:colOff>
      <xdr:row>63</xdr:row>
      <xdr:rowOff>0</xdr:rowOff>
    </xdr:to>
    <xdr:sp>
      <xdr:nvSpPr>
        <xdr:cNvPr id="133" name="Line 155"/>
        <xdr:cNvSpPr>
          <a:spLocks/>
        </xdr:cNvSpPr>
      </xdr:nvSpPr>
      <xdr:spPr>
        <a:xfrm>
          <a:off x="5800725" y="14020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63</xdr:row>
      <xdr:rowOff>0</xdr:rowOff>
    </xdr:from>
    <xdr:to>
      <xdr:col>10</xdr:col>
      <xdr:colOff>219075</xdr:colOff>
      <xdr:row>63</xdr:row>
      <xdr:rowOff>0</xdr:rowOff>
    </xdr:to>
    <xdr:sp>
      <xdr:nvSpPr>
        <xdr:cNvPr id="134" name="Line 156"/>
        <xdr:cNvSpPr>
          <a:spLocks/>
        </xdr:cNvSpPr>
      </xdr:nvSpPr>
      <xdr:spPr>
        <a:xfrm>
          <a:off x="5800725" y="14020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135" name="Line 157"/>
        <xdr:cNvSpPr>
          <a:spLocks/>
        </xdr:cNvSpPr>
      </xdr:nvSpPr>
      <xdr:spPr>
        <a:xfrm>
          <a:off x="451485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10</xdr:col>
      <xdr:colOff>0</xdr:colOff>
      <xdr:row>63</xdr:row>
      <xdr:rowOff>0</xdr:rowOff>
    </xdr:to>
    <xdr:sp>
      <xdr:nvSpPr>
        <xdr:cNvPr id="136" name="Line 158"/>
        <xdr:cNvSpPr>
          <a:spLocks/>
        </xdr:cNvSpPr>
      </xdr:nvSpPr>
      <xdr:spPr>
        <a:xfrm>
          <a:off x="572452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63</xdr:row>
      <xdr:rowOff>0</xdr:rowOff>
    </xdr:from>
    <xdr:to>
      <xdr:col>10</xdr:col>
      <xdr:colOff>76200</xdr:colOff>
      <xdr:row>63</xdr:row>
      <xdr:rowOff>0</xdr:rowOff>
    </xdr:to>
    <xdr:sp>
      <xdr:nvSpPr>
        <xdr:cNvPr id="137" name="Line 159"/>
        <xdr:cNvSpPr>
          <a:spLocks/>
        </xdr:cNvSpPr>
      </xdr:nvSpPr>
      <xdr:spPr>
        <a:xfrm>
          <a:off x="4438650" y="140208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138" name="Line 160"/>
        <xdr:cNvSpPr>
          <a:spLocks/>
        </xdr:cNvSpPr>
      </xdr:nvSpPr>
      <xdr:spPr>
        <a:xfrm>
          <a:off x="451485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10</xdr:col>
      <xdr:colOff>0</xdr:colOff>
      <xdr:row>63</xdr:row>
      <xdr:rowOff>0</xdr:rowOff>
    </xdr:to>
    <xdr:sp>
      <xdr:nvSpPr>
        <xdr:cNvPr id="139" name="Line 161"/>
        <xdr:cNvSpPr>
          <a:spLocks/>
        </xdr:cNvSpPr>
      </xdr:nvSpPr>
      <xdr:spPr>
        <a:xfrm flipV="1">
          <a:off x="572452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63</xdr:row>
      <xdr:rowOff>0</xdr:rowOff>
    </xdr:from>
    <xdr:to>
      <xdr:col>10</xdr:col>
      <xdr:colOff>142875</xdr:colOff>
      <xdr:row>63</xdr:row>
      <xdr:rowOff>0</xdr:rowOff>
    </xdr:to>
    <xdr:sp>
      <xdr:nvSpPr>
        <xdr:cNvPr id="140" name="Line 162"/>
        <xdr:cNvSpPr>
          <a:spLocks/>
        </xdr:cNvSpPr>
      </xdr:nvSpPr>
      <xdr:spPr>
        <a:xfrm>
          <a:off x="586740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141" name="Line 163"/>
        <xdr:cNvSpPr>
          <a:spLocks/>
        </xdr:cNvSpPr>
      </xdr:nvSpPr>
      <xdr:spPr>
        <a:xfrm>
          <a:off x="451485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10</xdr:col>
      <xdr:colOff>0</xdr:colOff>
      <xdr:row>63</xdr:row>
      <xdr:rowOff>0</xdr:rowOff>
    </xdr:to>
    <xdr:sp>
      <xdr:nvSpPr>
        <xdr:cNvPr id="142" name="Line 164"/>
        <xdr:cNvSpPr>
          <a:spLocks/>
        </xdr:cNvSpPr>
      </xdr:nvSpPr>
      <xdr:spPr>
        <a:xfrm>
          <a:off x="572452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143" name="Line 165"/>
        <xdr:cNvSpPr>
          <a:spLocks/>
        </xdr:cNvSpPr>
      </xdr:nvSpPr>
      <xdr:spPr>
        <a:xfrm>
          <a:off x="4781550" y="140208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144" name="Line 168"/>
        <xdr:cNvSpPr>
          <a:spLocks/>
        </xdr:cNvSpPr>
      </xdr:nvSpPr>
      <xdr:spPr>
        <a:xfrm>
          <a:off x="451485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10</xdr:col>
      <xdr:colOff>0</xdr:colOff>
      <xdr:row>63</xdr:row>
      <xdr:rowOff>0</xdr:rowOff>
    </xdr:to>
    <xdr:sp>
      <xdr:nvSpPr>
        <xdr:cNvPr id="145" name="Line 169"/>
        <xdr:cNvSpPr>
          <a:spLocks/>
        </xdr:cNvSpPr>
      </xdr:nvSpPr>
      <xdr:spPr>
        <a:xfrm>
          <a:off x="4514850" y="140208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10</xdr:col>
      <xdr:colOff>0</xdr:colOff>
      <xdr:row>63</xdr:row>
      <xdr:rowOff>0</xdr:rowOff>
    </xdr:to>
    <xdr:sp>
      <xdr:nvSpPr>
        <xdr:cNvPr id="146" name="Line 170"/>
        <xdr:cNvSpPr>
          <a:spLocks/>
        </xdr:cNvSpPr>
      </xdr:nvSpPr>
      <xdr:spPr>
        <a:xfrm flipV="1">
          <a:off x="572452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63</xdr:row>
      <xdr:rowOff>0</xdr:rowOff>
    </xdr:from>
    <xdr:to>
      <xdr:col>10</xdr:col>
      <xdr:colOff>19050</xdr:colOff>
      <xdr:row>63</xdr:row>
      <xdr:rowOff>0</xdr:rowOff>
    </xdr:to>
    <xdr:sp>
      <xdr:nvSpPr>
        <xdr:cNvPr id="147" name="Line 171"/>
        <xdr:cNvSpPr>
          <a:spLocks/>
        </xdr:cNvSpPr>
      </xdr:nvSpPr>
      <xdr:spPr>
        <a:xfrm>
          <a:off x="4533900" y="140208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63</xdr:row>
      <xdr:rowOff>0</xdr:rowOff>
    </xdr:from>
    <xdr:to>
      <xdr:col>9</xdr:col>
      <xdr:colOff>238125</xdr:colOff>
      <xdr:row>63</xdr:row>
      <xdr:rowOff>0</xdr:rowOff>
    </xdr:to>
    <xdr:sp>
      <xdr:nvSpPr>
        <xdr:cNvPr id="148" name="Line 172"/>
        <xdr:cNvSpPr>
          <a:spLocks/>
        </xdr:cNvSpPr>
      </xdr:nvSpPr>
      <xdr:spPr>
        <a:xfrm>
          <a:off x="4876800" y="140208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63</xdr:row>
      <xdr:rowOff>0</xdr:rowOff>
    </xdr:from>
    <xdr:to>
      <xdr:col>9</xdr:col>
      <xdr:colOff>114300</xdr:colOff>
      <xdr:row>63</xdr:row>
      <xdr:rowOff>0</xdr:rowOff>
    </xdr:to>
    <xdr:sp>
      <xdr:nvSpPr>
        <xdr:cNvPr id="149" name="Line 173"/>
        <xdr:cNvSpPr>
          <a:spLocks/>
        </xdr:cNvSpPr>
      </xdr:nvSpPr>
      <xdr:spPr>
        <a:xfrm>
          <a:off x="4981575" y="14020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63</xdr:row>
      <xdr:rowOff>0</xdr:rowOff>
    </xdr:from>
    <xdr:to>
      <xdr:col>7</xdr:col>
      <xdr:colOff>552450</xdr:colOff>
      <xdr:row>63</xdr:row>
      <xdr:rowOff>0</xdr:rowOff>
    </xdr:to>
    <xdr:sp>
      <xdr:nvSpPr>
        <xdr:cNvPr id="150" name="Line 174"/>
        <xdr:cNvSpPr>
          <a:spLocks/>
        </xdr:cNvSpPr>
      </xdr:nvSpPr>
      <xdr:spPr>
        <a:xfrm flipH="1">
          <a:off x="4343400" y="140208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10</xdr:col>
      <xdr:colOff>142875</xdr:colOff>
      <xdr:row>63</xdr:row>
      <xdr:rowOff>0</xdr:rowOff>
    </xdr:to>
    <xdr:sp>
      <xdr:nvSpPr>
        <xdr:cNvPr id="151" name="Line 175"/>
        <xdr:cNvSpPr>
          <a:spLocks/>
        </xdr:cNvSpPr>
      </xdr:nvSpPr>
      <xdr:spPr>
        <a:xfrm>
          <a:off x="5724525" y="14020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63</xdr:row>
      <xdr:rowOff>0</xdr:rowOff>
    </xdr:from>
    <xdr:to>
      <xdr:col>10</xdr:col>
      <xdr:colOff>142875</xdr:colOff>
      <xdr:row>63</xdr:row>
      <xdr:rowOff>0</xdr:rowOff>
    </xdr:to>
    <xdr:sp>
      <xdr:nvSpPr>
        <xdr:cNvPr id="152" name="Line 176"/>
        <xdr:cNvSpPr>
          <a:spLocks/>
        </xdr:cNvSpPr>
      </xdr:nvSpPr>
      <xdr:spPr>
        <a:xfrm>
          <a:off x="586740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63</xdr:row>
      <xdr:rowOff>0</xdr:rowOff>
    </xdr:from>
    <xdr:to>
      <xdr:col>10</xdr:col>
      <xdr:colOff>219075</xdr:colOff>
      <xdr:row>63</xdr:row>
      <xdr:rowOff>0</xdr:rowOff>
    </xdr:to>
    <xdr:sp>
      <xdr:nvSpPr>
        <xdr:cNvPr id="153" name="Line 177"/>
        <xdr:cNvSpPr>
          <a:spLocks/>
        </xdr:cNvSpPr>
      </xdr:nvSpPr>
      <xdr:spPr>
        <a:xfrm>
          <a:off x="5800725" y="14020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63</xdr:row>
      <xdr:rowOff>0</xdr:rowOff>
    </xdr:from>
    <xdr:to>
      <xdr:col>10</xdr:col>
      <xdr:colOff>219075</xdr:colOff>
      <xdr:row>63</xdr:row>
      <xdr:rowOff>0</xdr:rowOff>
    </xdr:to>
    <xdr:sp>
      <xdr:nvSpPr>
        <xdr:cNvPr id="154" name="Line 178"/>
        <xdr:cNvSpPr>
          <a:spLocks/>
        </xdr:cNvSpPr>
      </xdr:nvSpPr>
      <xdr:spPr>
        <a:xfrm>
          <a:off x="5800725" y="14020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155" name="Line 179"/>
        <xdr:cNvSpPr>
          <a:spLocks/>
        </xdr:cNvSpPr>
      </xdr:nvSpPr>
      <xdr:spPr>
        <a:xfrm>
          <a:off x="451485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10</xdr:col>
      <xdr:colOff>0</xdr:colOff>
      <xdr:row>63</xdr:row>
      <xdr:rowOff>0</xdr:rowOff>
    </xdr:to>
    <xdr:sp>
      <xdr:nvSpPr>
        <xdr:cNvPr id="156" name="Line 180"/>
        <xdr:cNvSpPr>
          <a:spLocks/>
        </xdr:cNvSpPr>
      </xdr:nvSpPr>
      <xdr:spPr>
        <a:xfrm>
          <a:off x="572452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63</xdr:row>
      <xdr:rowOff>0</xdr:rowOff>
    </xdr:from>
    <xdr:to>
      <xdr:col>10</xdr:col>
      <xdr:colOff>76200</xdr:colOff>
      <xdr:row>63</xdr:row>
      <xdr:rowOff>0</xdr:rowOff>
    </xdr:to>
    <xdr:sp>
      <xdr:nvSpPr>
        <xdr:cNvPr id="157" name="Line 181"/>
        <xdr:cNvSpPr>
          <a:spLocks/>
        </xdr:cNvSpPr>
      </xdr:nvSpPr>
      <xdr:spPr>
        <a:xfrm>
          <a:off x="4438650" y="140208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63</xdr:row>
      <xdr:rowOff>0</xdr:rowOff>
    </xdr:from>
    <xdr:to>
      <xdr:col>10</xdr:col>
      <xdr:colOff>0</xdr:colOff>
      <xdr:row>63</xdr:row>
      <xdr:rowOff>0</xdr:rowOff>
    </xdr:to>
    <xdr:sp>
      <xdr:nvSpPr>
        <xdr:cNvPr id="158" name="Line 182"/>
        <xdr:cNvSpPr>
          <a:spLocks/>
        </xdr:cNvSpPr>
      </xdr:nvSpPr>
      <xdr:spPr>
        <a:xfrm>
          <a:off x="5524500" y="140208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63</xdr:row>
      <xdr:rowOff>0</xdr:rowOff>
    </xdr:from>
    <xdr:to>
      <xdr:col>8</xdr:col>
      <xdr:colOff>76200</xdr:colOff>
      <xdr:row>63</xdr:row>
      <xdr:rowOff>0</xdr:rowOff>
    </xdr:to>
    <xdr:sp>
      <xdr:nvSpPr>
        <xdr:cNvPr id="159" name="Oval 183"/>
        <xdr:cNvSpPr>
          <a:spLocks/>
        </xdr:cNvSpPr>
      </xdr:nvSpPr>
      <xdr:spPr>
        <a:xfrm>
          <a:off x="45910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63</xdr:row>
      <xdr:rowOff>0</xdr:rowOff>
    </xdr:from>
    <xdr:to>
      <xdr:col>8</xdr:col>
      <xdr:colOff>76200</xdr:colOff>
      <xdr:row>63</xdr:row>
      <xdr:rowOff>0</xdr:rowOff>
    </xdr:to>
    <xdr:sp>
      <xdr:nvSpPr>
        <xdr:cNvPr id="160" name="Oval 184"/>
        <xdr:cNvSpPr>
          <a:spLocks/>
        </xdr:cNvSpPr>
      </xdr:nvSpPr>
      <xdr:spPr>
        <a:xfrm>
          <a:off x="45910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63</xdr:row>
      <xdr:rowOff>0</xdr:rowOff>
    </xdr:from>
    <xdr:to>
      <xdr:col>8</xdr:col>
      <xdr:colOff>76200</xdr:colOff>
      <xdr:row>63</xdr:row>
      <xdr:rowOff>0</xdr:rowOff>
    </xdr:to>
    <xdr:sp>
      <xdr:nvSpPr>
        <xdr:cNvPr id="161" name="Oval 185"/>
        <xdr:cNvSpPr>
          <a:spLocks/>
        </xdr:cNvSpPr>
      </xdr:nvSpPr>
      <xdr:spPr>
        <a:xfrm>
          <a:off x="45910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162" name="Line 188"/>
        <xdr:cNvSpPr>
          <a:spLocks/>
        </xdr:cNvSpPr>
      </xdr:nvSpPr>
      <xdr:spPr>
        <a:xfrm>
          <a:off x="451485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10</xdr:col>
      <xdr:colOff>0</xdr:colOff>
      <xdr:row>63</xdr:row>
      <xdr:rowOff>0</xdr:rowOff>
    </xdr:to>
    <xdr:sp>
      <xdr:nvSpPr>
        <xdr:cNvPr id="163" name="Line 189"/>
        <xdr:cNvSpPr>
          <a:spLocks/>
        </xdr:cNvSpPr>
      </xdr:nvSpPr>
      <xdr:spPr>
        <a:xfrm>
          <a:off x="4514850" y="140208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10</xdr:col>
      <xdr:colOff>0</xdr:colOff>
      <xdr:row>63</xdr:row>
      <xdr:rowOff>0</xdr:rowOff>
    </xdr:to>
    <xdr:sp>
      <xdr:nvSpPr>
        <xdr:cNvPr id="164" name="Line 190"/>
        <xdr:cNvSpPr>
          <a:spLocks/>
        </xdr:cNvSpPr>
      </xdr:nvSpPr>
      <xdr:spPr>
        <a:xfrm flipV="1">
          <a:off x="572452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63</xdr:row>
      <xdr:rowOff>0</xdr:rowOff>
    </xdr:from>
    <xdr:to>
      <xdr:col>10</xdr:col>
      <xdr:colOff>19050</xdr:colOff>
      <xdr:row>63</xdr:row>
      <xdr:rowOff>0</xdr:rowOff>
    </xdr:to>
    <xdr:sp>
      <xdr:nvSpPr>
        <xdr:cNvPr id="165" name="Line 191"/>
        <xdr:cNvSpPr>
          <a:spLocks/>
        </xdr:cNvSpPr>
      </xdr:nvSpPr>
      <xdr:spPr>
        <a:xfrm>
          <a:off x="4533900" y="140208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63</xdr:row>
      <xdr:rowOff>0</xdr:rowOff>
    </xdr:from>
    <xdr:to>
      <xdr:col>9</xdr:col>
      <xdr:colOff>238125</xdr:colOff>
      <xdr:row>63</xdr:row>
      <xdr:rowOff>0</xdr:rowOff>
    </xdr:to>
    <xdr:sp>
      <xdr:nvSpPr>
        <xdr:cNvPr id="166" name="Line 192"/>
        <xdr:cNvSpPr>
          <a:spLocks/>
        </xdr:cNvSpPr>
      </xdr:nvSpPr>
      <xdr:spPr>
        <a:xfrm>
          <a:off x="4876800" y="140208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63</xdr:row>
      <xdr:rowOff>0</xdr:rowOff>
    </xdr:from>
    <xdr:to>
      <xdr:col>9</xdr:col>
      <xdr:colOff>114300</xdr:colOff>
      <xdr:row>63</xdr:row>
      <xdr:rowOff>0</xdr:rowOff>
    </xdr:to>
    <xdr:sp>
      <xdr:nvSpPr>
        <xdr:cNvPr id="167" name="Line 193"/>
        <xdr:cNvSpPr>
          <a:spLocks/>
        </xdr:cNvSpPr>
      </xdr:nvSpPr>
      <xdr:spPr>
        <a:xfrm>
          <a:off x="4981575" y="14020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63</xdr:row>
      <xdr:rowOff>0</xdr:rowOff>
    </xdr:from>
    <xdr:to>
      <xdr:col>7</xdr:col>
      <xdr:colOff>552450</xdr:colOff>
      <xdr:row>63</xdr:row>
      <xdr:rowOff>0</xdr:rowOff>
    </xdr:to>
    <xdr:sp>
      <xdr:nvSpPr>
        <xdr:cNvPr id="168" name="Line 194"/>
        <xdr:cNvSpPr>
          <a:spLocks/>
        </xdr:cNvSpPr>
      </xdr:nvSpPr>
      <xdr:spPr>
        <a:xfrm flipH="1">
          <a:off x="4343400" y="140208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10</xdr:col>
      <xdr:colOff>142875</xdr:colOff>
      <xdr:row>63</xdr:row>
      <xdr:rowOff>0</xdr:rowOff>
    </xdr:to>
    <xdr:sp>
      <xdr:nvSpPr>
        <xdr:cNvPr id="169" name="Line 195"/>
        <xdr:cNvSpPr>
          <a:spLocks/>
        </xdr:cNvSpPr>
      </xdr:nvSpPr>
      <xdr:spPr>
        <a:xfrm>
          <a:off x="5724525" y="14020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63</xdr:row>
      <xdr:rowOff>0</xdr:rowOff>
    </xdr:from>
    <xdr:to>
      <xdr:col>10</xdr:col>
      <xdr:colOff>142875</xdr:colOff>
      <xdr:row>63</xdr:row>
      <xdr:rowOff>0</xdr:rowOff>
    </xdr:to>
    <xdr:sp>
      <xdr:nvSpPr>
        <xdr:cNvPr id="170" name="Line 196"/>
        <xdr:cNvSpPr>
          <a:spLocks/>
        </xdr:cNvSpPr>
      </xdr:nvSpPr>
      <xdr:spPr>
        <a:xfrm>
          <a:off x="586740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63</xdr:row>
      <xdr:rowOff>0</xdr:rowOff>
    </xdr:from>
    <xdr:to>
      <xdr:col>10</xdr:col>
      <xdr:colOff>219075</xdr:colOff>
      <xdr:row>63</xdr:row>
      <xdr:rowOff>0</xdr:rowOff>
    </xdr:to>
    <xdr:sp>
      <xdr:nvSpPr>
        <xdr:cNvPr id="171" name="Line 197"/>
        <xdr:cNvSpPr>
          <a:spLocks/>
        </xdr:cNvSpPr>
      </xdr:nvSpPr>
      <xdr:spPr>
        <a:xfrm>
          <a:off x="5800725" y="14020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63</xdr:row>
      <xdr:rowOff>0</xdr:rowOff>
    </xdr:from>
    <xdr:to>
      <xdr:col>10</xdr:col>
      <xdr:colOff>219075</xdr:colOff>
      <xdr:row>63</xdr:row>
      <xdr:rowOff>0</xdr:rowOff>
    </xdr:to>
    <xdr:sp>
      <xdr:nvSpPr>
        <xdr:cNvPr id="172" name="Line 198"/>
        <xdr:cNvSpPr>
          <a:spLocks/>
        </xdr:cNvSpPr>
      </xdr:nvSpPr>
      <xdr:spPr>
        <a:xfrm>
          <a:off x="5800725" y="14020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173" name="Line 199"/>
        <xdr:cNvSpPr>
          <a:spLocks/>
        </xdr:cNvSpPr>
      </xdr:nvSpPr>
      <xdr:spPr>
        <a:xfrm>
          <a:off x="451485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10</xdr:col>
      <xdr:colOff>0</xdr:colOff>
      <xdr:row>63</xdr:row>
      <xdr:rowOff>0</xdr:rowOff>
    </xdr:to>
    <xdr:sp>
      <xdr:nvSpPr>
        <xdr:cNvPr id="174" name="Line 200"/>
        <xdr:cNvSpPr>
          <a:spLocks/>
        </xdr:cNvSpPr>
      </xdr:nvSpPr>
      <xdr:spPr>
        <a:xfrm>
          <a:off x="572452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175" name="Line 202"/>
        <xdr:cNvSpPr>
          <a:spLocks/>
        </xdr:cNvSpPr>
      </xdr:nvSpPr>
      <xdr:spPr>
        <a:xfrm>
          <a:off x="451485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10</xdr:col>
      <xdr:colOff>0</xdr:colOff>
      <xdr:row>63</xdr:row>
      <xdr:rowOff>0</xdr:rowOff>
    </xdr:to>
    <xdr:sp>
      <xdr:nvSpPr>
        <xdr:cNvPr id="176" name="Line 203"/>
        <xdr:cNvSpPr>
          <a:spLocks/>
        </xdr:cNvSpPr>
      </xdr:nvSpPr>
      <xdr:spPr>
        <a:xfrm flipV="1">
          <a:off x="572452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63</xdr:row>
      <xdr:rowOff>0</xdr:rowOff>
    </xdr:from>
    <xdr:to>
      <xdr:col>10</xdr:col>
      <xdr:colOff>142875</xdr:colOff>
      <xdr:row>63</xdr:row>
      <xdr:rowOff>0</xdr:rowOff>
    </xdr:to>
    <xdr:sp>
      <xdr:nvSpPr>
        <xdr:cNvPr id="177" name="Line 204"/>
        <xdr:cNvSpPr>
          <a:spLocks/>
        </xdr:cNvSpPr>
      </xdr:nvSpPr>
      <xdr:spPr>
        <a:xfrm>
          <a:off x="586740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178" name="Line 205"/>
        <xdr:cNvSpPr>
          <a:spLocks/>
        </xdr:cNvSpPr>
      </xdr:nvSpPr>
      <xdr:spPr>
        <a:xfrm>
          <a:off x="451485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10</xdr:col>
      <xdr:colOff>0</xdr:colOff>
      <xdr:row>63</xdr:row>
      <xdr:rowOff>0</xdr:rowOff>
    </xdr:to>
    <xdr:sp>
      <xdr:nvSpPr>
        <xdr:cNvPr id="179" name="Line 206"/>
        <xdr:cNvSpPr>
          <a:spLocks/>
        </xdr:cNvSpPr>
      </xdr:nvSpPr>
      <xdr:spPr>
        <a:xfrm>
          <a:off x="572452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180" name="Line 207"/>
        <xdr:cNvSpPr>
          <a:spLocks/>
        </xdr:cNvSpPr>
      </xdr:nvSpPr>
      <xdr:spPr>
        <a:xfrm>
          <a:off x="4781550" y="140208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181" name="Line 210"/>
        <xdr:cNvSpPr>
          <a:spLocks/>
        </xdr:cNvSpPr>
      </xdr:nvSpPr>
      <xdr:spPr>
        <a:xfrm>
          <a:off x="451485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10</xdr:col>
      <xdr:colOff>0</xdr:colOff>
      <xdr:row>63</xdr:row>
      <xdr:rowOff>0</xdr:rowOff>
    </xdr:to>
    <xdr:sp>
      <xdr:nvSpPr>
        <xdr:cNvPr id="182" name="Line 211"/>
        <xdr:cNvSpPr>
          <a:spLocks/>
        </xdr:cNvSpPr>
      </xdr:nvSpPr>
      <xdr:spPr>
        <a:xfrm>
          <a:off x="4514850" y="140208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10</xdr:col>
      <xdr:colOff>0</xdr:colOff>
      <xdr:row>63</xdr:row>
      <xdr:rowOff>0</xdr:rowOff>
    </xdr:to>
    <xdr:sp>
      <xdr:nvSpPr>
        <xdr:cNvPr id="183" name="Line 212"/>
        <xdr:cNvSpPr>
          <a:spLocks/>
        </xdr:cNvSpPr>
      </xdr:nvSpPr>
      <xdr:spPr>
        <a:xfrm flipV="1">
          <a:off x="572452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63</xdr:row>
      <xdr:rowOff>0</xdr:rowOff>
    </xdr:from>
    <xdr:to>
      <xdr:col>10</xdr:col>
      <xdr:colOff>19050</xdr:colOff>
      <xdr:row>63</xdr:row>
      <xdr:rowOff>0</xdr:rowOff>
    </xdr:to>
    <xdr:sp>
      <xdr:nvSpPr>
        <xdr:cNvPr id="184" name="Line 213"/>
        <xdr:cNvSpPr>
          <a:spLocks/>
        </xdr:cNvSpPr>
      </xdr:nvSpPr>
      <xdr:spPr>
        <a:xfrm>
          <a:off x="4533900" y="140208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63</xdr:row>
      <xdr:rowOff>0</xdr:rowOff>
    </xdr:from>
    <xdr:to>
      <xdr:col>9</xdr:col>
      <xdr:colOff>238125</xdr:colOff>
      <xdr:row>63</xdr:row>
      <xdr:rowOff>0</xdr:rowOff>
    </xdr:to>
    <xdr:sp>
      <xdr:nvSpPr>
        <xdr:cNvPr id="185" name="Line 214"/>
        <xdr:cNvSpPr>
          <a:spLocks/>
        </xdr:cNvSpPr>
      </xdr:nvSpPr>
      <xdr:spPr>
        <a:xfrm>
          <a:off x="4876800" y="140208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63</xdr:row>
      <xdr:rowOff>0</xdr:rowOff>
    </xdr:from>
    <xdr:to>
      <xdr:col>9</xdr:col>
      <xdr:colOff>114300</xdr:colOff>
      <xdr:row>63</xdr:row>
      <xdr:rowOff>0</xdr:rowOff>
    </xdr:to>
    <xdr:sp>
      <xdr:nvSpPr>
        <xdr:cNvPr id="186" name="Line 215"/>
        <xdr:cNvSpPr>
          <a:spLocks/>
        </xdr:cNvSpPr>
      </xdr:nvSpPr>
      <xdr:spPr>
        <a:xfrm>
          <a:off x="4981575" y="14020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63</xdr:row>
      <xdr:rowOff>0</xdr:rowOff>
    </xdr:from>
    <xdr:to>
      <xdr:col>7</xdr:col>
      <xdr:colOff>552450</xdr:colOff>
      <xdr:row>63</xdr:row>
      <xdr:rowOff>0</xdr:rowOff>
    </xdr:to>
    <xdr:sp>
      <xdr:nvSpPr>
        <xdr:cNvPr id="187" name="Line 216"/>
        <xdr:cNvSpPr>
          <a:spLocks/>
        </xdr:cNvSpPr>
      </xdr:nvSpPr>
      <xdr:spPr>
        <a:xfrm flipH="1">
          <a:off x="4343400" y="140208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10</xdr:col>
      <xdr:colOff>142875</xdr:colOff>
      <xdr:row>63</xdr:row>
      <xdr:rowOff>0</xdr:rowOff>
    </xdr:to>
    <xdr:sp>
      <xdr:nvSpPr>
        <xdr:cNvPr id="188" name="Line 217"/>
        <xdr:cNvSpPr>
          <a:spLocks/>
        </xdr:cNvSpPr>
      </xdr:nvSpPr>
      <xdr:spPr>
        <a:xfrm>
          <a:off x="5724525" y="14020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63</xdr:row>
      <xdr:rowOff>0</xdr:rowOff>
    </xdr:from>
    <xdr:to>
      <xdr:col>10</xdr:col>
      <xdr:colOff>142875</xdr:colOff>
      <xdr:row>63</xdr:row>
      <xdr:rowOff>0</xdr:rowOff>
    </xdr:to>
    <xdr:sp>
      <xdr:nvSpPr>
        <xdr:cNvPr id="189" name="Line 218"/>
        <xdr:cNvSpPr>
          <a:spLocks/>
        </xdr:cNvSpPr>
      </xdr:nvSpPr>
      <xdr:spPr>
        <a:xfrm>
          <a:off x="586740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63</xdr:row>
      <xdr:rowOff>0</xdr:rowOff>
    </xdr:from>
    <xdr:to>
      <xdr:col>10</xdr:col>
      <xdr:colOff>219075</xdr:colOff>
      <xdr:row>63</xdr:row>
      <xdr:rowOff>0</xdr:rowOff>
    </xdr:to>
    <xdr:sp>
      <xdr:nvSpPr>
        <xdr:cNvPr id="190" name="Line 219"/>
        <xdr:cNvSpPr>
          <a:spLocks/>
        </xdr:cNvSpPr>
      </xdr:nvSpPr>
      <xdr:spPr>
        <a:xfrm>
          <a:off x="5800725" y="14020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63</xdr:row>
      <xdr:rowOff>0</xdr:rowOff>
    </xdr:from>
    <xdr:to>
      <xdr:col>10</xdr:col>
      <xdr:colOff>219075</xdr:colOff>
      <xdr:row>63</xdr:row>
      <xdr:rowOff>0</xdr:rowOff>
    </xdr:to>
    <xdr:sp>
      <xdr:nvSpPr>
        <xdr:cNvPr id="191" name="Line 220"/>
        <xdr:cNvSpPr>
          <a:spLocks/>
        </xdr:cNvSpPr>
      </xdr:nvSpPr>
      <xdr:spPr>
        <a:xfrm>
          <a:off x="5800725" y="14020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192" name="Line 221"/>
        <xdr:cNvSpPr>
          <a:spLocks/>
        </xdr:cNvSpPr>
      </xdr:nvSpPr>
      <xdr:spPr>
        <a:xfrm>
          <a:off x="451485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10</xdr:col>
      <xdr:colOff>0</xdr:colOff>
      <xdr:row>63</xdr:row>
      <xdr:rowOff>0</xdr:rowOff>
    </xdr:to>
    <xdr:sp>
      <xdr:nvSpPr>
        <xdr:cNvPr id="193" name="Line 222"/>
        <xdr:cNvSpPr>
          <a:spLocks/>
        </xdr:cNvSpPr>
      </xdr:nvSpPr>
      <xdr:spPr>
        <a:xfrm>
          <a:off x="572452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63</xdr:row>
      <xdr:rowOff>0</xdr:rowOff>
    </xdr:from>
    <xdr:to>
      <xdr:col>10</xdr:col>
      <xdr:colOff>0</xdr:colOff>
      <xdr:row>63</xdr:row>
      <xdr:rowOff>0</xdr:rowOff>
    </xdr:to>
    <xdr:sp>
      <xdr:nvSpPr>
        <xdr:cNvPr id="194" name="Line 224"/>
        <xdr:cNvSpPr>
          <a:spLocks/>
        </xdr:cNvSpPr>
      </xdr:nvSpPr>
      <xdr:spPr>
        <a:xfrm>
          <a:off x="5524500" y="140208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63</xdr:row>
      <xdr:rowOff>0</xdr:rowOff>
    </xdr:from>
    <xdr:to>
      <xdr:col>8</xdr:col>
      <xdr:colOff>76200</xdr:colOff>
      <xdr:row>63</xdr:row>
      <xdr:rowOff>0</xdr:rowOff>
    </xdr:to>
    <xdr:sp>
      <xdr:nvSpPr>
        <xdr:cNvPr id="195" name="Oval 225"/>
        <xdr:cNvSpPr>
          <a:spLocks/>
        </xdr:cNvSpPr>
      </xdr:nvSpPr>
      <xdr:spPr>
        <a:xfrm>
          <a:off x="45910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63</xdr:row>
      <xdr:rowOff>0</xdr:rowOff>
    </xdr:from>
    <xdr:to>
      <xdr:col>8</xdr:col>
      <xdr:colOff>76200</xdr:colOff>
      <xdr:row>63</xdr:row>
      <xdr:rowOff>0</xdr:rowOff>
    </xdr:to>
    <xdr:sp>
      <xdr:nvSpPr>
        <xdr:cNvPr id="196" name="Oval 226"/>
        <xdr:cNvSpPr>
          <a:spLocks/>
        </xdr:cNvSpPr>
      </xdr:nvSpPr>
      <xdr:spPr>
        <a:xfrm>
          <a:off x="45910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63</xdr:row>
      <xdr:rowOff>0</xdr:rowOff>
    </xdr:from>
    <xdr:to>
      <xdr:col>8</xdr:col>
      <xdr:colOff>76200</xdr:colOff>
      <xdr:row>63</xdr:row>
      <xdr:rowOff>0</xdr:rowOff>
    </xdr:to>
    <xdr:sp>
      <xdr:nvSpPr>
        <xdr:cNvPr id="197" name="Oval 227"/>
        <xdr:cNvSpPr>
          <a:spLocks/>
        </xdr:cNvSpPr>
      </xdr:nvSpPr>
      <xdr:spPr>
        <a:xfrm>
          <a:off x="4591050" y="140208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198" name="Line 230"/>
        <xdr:cNvSpPr>
          <a:spLocks/>
        </xdr:cNvSpPr>
      </xdr:nvSpPr>
      <xdr:spPr>
        <a:xfrm>
          <a:off x="451485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10</xdr:col>
      <xdr:colOff>0</xdr:colOff>
      <xdr:row>63</xdr:row>
      <xdr:rowOff>0</xdr:rowOff>
    </xdr:to>
    <xdr:sp>
      <xdr:nvSpPr>
        <xdr:cNvPr id="199" name="Line 231"/>
        <xdr:cNvSpPr>
          <a:spLocks/>
        </xdr:cNvSpPr>
      </xdr:nvSpPr>
      <xdr:spPr>
        <a:xfrm>
          <a:off x="4514850" y="140208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10</xdr:col>
      <xdr:colOff>0</xdr:colOff>
      <xdr:row>63</xdr:row>
      <xdr:rowOff>0</xdr:rowOff>
    </xdr:to>
    <xdr:sp>
      <xdr:nvSpPr>
        <xdr:cNvPr id="200" name="Line 232"/>
        <xdr:cNvSpPr>
          <a:spLocks/>
        </xdr:cNvSpPr>
      </xdr:nvSpPr>
      <xdr:spPr>
        <a:xfrm flipV="1">
          <a:off x="572452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63</xdr:row>
      <xdr:rowOff>0</xdr:rowOff>
    </xdr:from>
    <xdr:to>
      <xdr:col>10</xdr:col>
      <xdr:colOff>19050</xdr:colOff>
      <xdr:row>63</xdr:row>
      <xdr:rowOff>0</xdr:rowOff>
    </xdr:to>
    <xdr:sp>
      <xdr:nvSpPr>
        <xdr:cNvPr id="201" name="Line 233"/>
        <xdr:cNvSpPr>
          <a:spLocks/>
        </xdr:cNvSpPr>
      </xdr:nvSpPr>
      <xdr:spPr>
        <a:xfrm>
          <a:off x="4533900" y="140208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63</xdr:row>
      <xdr:rowOff>0</xdr:rowOff>
    </xdr:from>
    <xdr:to>
      <xdr:col>9</xdr:col>
      <xdr:colOff>238125</xdr:colOff>
      <xdr:row>63</xdr:row>
      <xdr:rowOff>0</xdr:rowOff>
    </xdr:to>
    <xdr:sp>
      <xdr:nvSpPr>
        <xdr:cNvPr id="202" name="Line 234"/>
        <xdr:cNvSpPr>
          <a:spLocks/>
        </xdr:cNvSpPr>
      </xdr:nvSpPr>
      <xdr:spPr>
        <a:xfrm>
          <a:off x="4876800" y="140208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63</xdr:row>
      <xdr:rowOff>0</xdr:rowOff>
    </xdr:from>
    <xdr:to>
      <xdr:col>9</xdr:col>
      <xdr:colOff>114300</xdr:colOff>
      <xdr:row>63</xdr:row>
      <xdr:rowOff>0</xdr:rowOff>
    </xdr:to>
    <xdr:sp>
      <xdr:nvSpPr>
        <xdr:cNvPr id="203" name="Line 235"/>
        <xdr:cNvSpPr>
          <a:spLocks/>
        </xdr:cNvSpPr>
      </xdr:nvSpPr>
      <xdr:spPr>
        <a:xfrm>
          <a:off x="4981575" y="14020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63</xdr:row>
      <xdr:rowOff>0</xdr:rowOff>
    </xdr:from>
    <xdr:to>
      <xdr:col>7</xdr:col>
      <xdr:colOff>552450</xdr:colOff>
      <xdr:row>63</xdr:row>
      <xdr:rowOff>0</xdr:rowOff>
    </xdr:to>
    <xdr:sp>
      <xdr:nvSpPr>
        <xdr:cNvPr id="204" name="Line 236"/>
        <xdr:cNvSpPr>
          <a:spLocks/>
        </xdr:cNvSpPr>
      </xdr:nvSpPr>
      <xdr:spPr>
        <a:xfrm flipH="1">
          <a:off x="4343400" y="140208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10</xdr:col>
      <xdr:colOff>142875</xdr:colOff>
      <xdr:row>63</xdr:row>
      <xdr:rowOff>0</xdr:rowOff>
    </xdr:to>
    <xdr:sp>
      <xdr:nvSpPr>
        <xdr:cNvPr id="205" name="Line 237"/>
        <xdr:cNvSpPr>
          <a:spLocks/>
        </xdr:cNvSpPr>
      </xdr:nvSpPr>
      <xdr:spPr>
        <a:xfrm>
          <a:off x="5724525" y="14020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63</xdr:row>
      <xdr:rowOff>0</xdr:rowOff>
    </xdr:from>
    <xdr:to>
      <xdr:col>10</xdr:col>
      <xdr:colOff>142875</xdr:colOff>
      <xdr:row>63</xdr:row>
      <xdr:rowOff>0</xdr:rowOff>
    </xdr:to>
    <xdr:sp>
      <xdr:nvSpPr>
        <xdr:cNvPr id="206" name="Line 238"/>
        <xdr:cNvSpPr>
          <a:spLocks/>
        </xdr:cNvSpPr>
      </xdr:nvSpPr>
      <xdr:spPr>
        <a:xfrm>
          <a:off x="586740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63</xdr:row>
      <xdr:rowOff>0</xdr:rowOff>
    </xdr:from>
    <xdr:to>
      <xdr:col>10</xdr:col>
      <xdr:colOff>219075</xdr:colOff>
      <xdr:row>63</xdr:row>
      <xdr:rowOff>0</xdr:rowOff>
    </xdr:to>
    <xdr:sp>
      <xdr:nvSpPr>
        <xdr:cNvPr id="207" name="Line 239"/>
        <xdr:cNvSpPr>
          <a:spLocks/>
        </xdr:cNvSpPr>
      </xdr:nvSpPr>
      <xdr:spPr>
        <a:xfrm>
          <a:off x="5800725" y="14020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63</xdr:row>
      <xdr:rowOff>0</xdr:rowOff>
    </xdr:from>
    <xdr:to>
      <xdr:col>10</xdr:col>
      <xdr:colOff>219075</xdr:colOff>
      <xdr:row>63</xdr:row>
      <xdr:rowOff>0</xdr:rowOff>
    </xdr:to>
    <xdr:sp>
      <xdr:nvSpPr>
        <xdr:cNvPr id="208" name="Line 240"/>
        <xdr:cNvSpPr>
          <a:spLocks/>
        </xdr:cNvSpPr>
      </xdr:nvSpPr>
      <xdr:spPr>
        <a:xfrm>
          <a:off x="5800725" y="14020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209" name="Line 241"/>
        <xdr:cNvSpPr>
          <a:spLocks/>
        </xdr:cNvSpPr>
      </xdr:nvSpPr>
      <xdr:spPr>
        <a:xfrm>
          <a:off x="451485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10</xdr:col>
      <xdr:colOff>0</xdr:colOff>
      <xdr:row>63</xdr:row>
      <xdr:rowOff>0</xdr:rowOff>
    </xdr:to>
    <xdr:sp>
      <xdr:nvSpPr>
        <xdr:cNvPr id="210" name="Line 242"/>
        <xdr:cNvSpPr>
          <a:spLocks/>
        </xdr:cNvSpPr>
      </xdr:nvSpPr>
      <xdr:spPr>
        <a:xfrm>
          <a:off x="572452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211" name="Line 244"/>
        <xdr:cNvSpPr>
          <a:spLocks/>
        </xdr:cNvSpPr>
      </xdr:nvSpPr>
      <xdr:spPr>
        <a:xfrm>
          <a:off x="451485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10</xdr:col>
      <xdr:colOff>0</xdr:colOff>
      <xdr:row>63</xdr:row>
      <xdr:rowOff>0</xdr:rowOff>
    </xdr:to>
    <xdr:sp>
      <xdr:nvSpPr>
        <xdr:cNvPr id="212" name="Line 245"/>
        <xdr:cNvSpPr>
          <a:spLocks/>
        </xdr:cNvSpPr>
      </xdr:nvSpPr>
      <xdr:spPr>
        <a:xfrm flipV="1">
          <a:off x="572452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63</xdr:row>
      <xdr:rowOff>0</xdr:rowOff>
    </xdr:from>
    <xdr:to>
      <xdr:col>10</xdr:col>
      <xdr:colOff>142875</xdr:colOff>
      <xdr:row>63</xdr:row>
      <xdr:rowOff>0</xdr:rowOff>
    </xdr:to>
    <xdr:sp>
      <xdr:nvSpPr>
        <xdr:cNvPr id="213" name="Line 246"/>
        <xdr:cNvSpPr>
          <a:spLocks/>
        </xdr:cNvSpPr>
      </xdr:nvSpPr>
      <xdr:spPr>
        <a:xfrm>
          <a:off x="586740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214" name="Line 247"/>
        <xdr:cNvSpPr>
          <a:spLocks/>
        </xdr:cNvSpPr>
      </xdr:nvSpPr>
      <xdr:spPr>
        <a:xfrm>
          <a:off x="451485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10</xdr:col>
      <xdr:colOff>0</xdr:colOff>
      <xdr:row>63</xdr:row>
      <xdr:rowOff>0</xdr:rowOff>
    </xdr:to>
    <xdr:sp>
      <xdr:nvSpPr>
        <xdr:cNvPr id="215" name="Line 248"/>
        <xdr:cNvSpPr>
          <a:spLocks/>
        </xdr:cNvSpPr>
      </xdr:nvSpPr>
      <xdr:spPr>
        <a:xfrm>
          <a:off x="572452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216" name="Line 249"/>
        <xdr:cNvSpPr>
          <a:spLocks/>
        </xdr:cNvSpPr>
      </xdr:nvSpPr>
      <xdr:spPr>
        <a:xfrm>
          <a:off x="4781550" y="140208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217" name="Line 252"/>
        <xdr:cNvSpPr>
          <a:spLocks/>
        </xdr:cNvSpPr>
      </xdr:nvSpPr>
      <xdr:spPr>
        <a:xfrm>
          <a:off x="451485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10</xdr:col>
      <xdr:colOff>0</xdr:colOff>
      <xdr:row>63</xdr:row>
      <xdr:rowOff>0</xdr:rowOff>
    </xdr:to>
    <xdr:sp>
      <xdr:nvSpPr>
        <xdr:cNvPr id="218" name="Line 253"/>
        <xdr:cNvSpPr>
          <a:spLocks/>
        </xdr:cNvSpPr>
      </xdr:nvSpPr>
      <xdr:spPr>
        <a:xfrm>
          <a:off x="4514850" y="140208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10</xdr:col>
      <xdr:colOff>0</xdr:colOff>
      <xdr:row>63</xdr:row>
      <xdr:rowOff>0</xdr:rowOff>
    </xdr:to>
    <xdr:sp>
      <xdr:nvSpPr>
        <xdr:cNvPr id="219" name="Line 254"/>
        <xdr:cNvSpPr>
          <a:spLocks/>
        </xdr:cNvSpPr>
      </xdr:nvSpPr>
      <xdr:spPr>
        <a:xfrm flipV="1">
          <a:off x="572452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63</xdr:row>
      <xdr:rowOff>0</xdr:rowOff>
    </xdr:from>
    <xdr:to>
      <xdr:col>9</xdr:col>
      <xdr:colOff>238125</xdr:colOff>
      <xdr:row>63</xdr:row>
      <xdr:rowOff>0</xdr:rowOff>
    </xdr:to>
    <xdr:sp>
      <xdr:nvSpPr>
        <xdr:cNvPr id="220" name="Line 256"/>
        <xdr:cNvSpPr>
          <a:spLocks/>
        </xdr:cNvSpPr>
      </xdr:nvSpPr>
      <xdr:spPr>
        <a:xfrm>
          <a:off x="4876800" y="140208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63</xdr:row>
      <xdr:rowOff>0</xdr:rowOff>
    </xdr:from>
    <xdr:to>
      <xdr:col>9</xdr:col>
      <xdr:colOff>114300</xdr:colOff>
      <xdr:row>63</xdr:row>
      <xdr:rowOff>0</xdr:rowOff>
    </xdr:to>
    <xdr:sp>
      <xdr:nvSpPr>
        <xdr:cNvPr id="221" name="Line 257"/>
        <xdr:cNvSpPr>
          <a:spLocks/>
        </xdr:cNvSpPr>
      </xdr:nvSpPr>
      <xdr:spPr>
        <a:xfrm>
          <a:off x="4981575" y="14020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63</xdr:row>
      <xdr:rowOff>0</xdr:rowOff>
    </xdr:from>
    <xdr:to>
      <xdr:col>7</xdr:col>
      <xdr:colOff>552450</xdr:colOff>
      <xdr:row>63</xdr:row>
      <xdr:rowOff>0</xdr:rowOff>
    </xdr:to>
    <xdr:sp>
      <xdr:nvSpPr>
        <xdr:cNvPr id="222" name="Line 258"/>
        <xdr:cNvSpPr>
          <a:spLocks/>
        </xdr:cNvSpPr>
      </xdr:nvSpPr>
      <xdr:spPr>
        <a:xfrm flipH="1">
          <a:off x="4343400" y="140208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10</xdr:col>
      <xdr:colOff>142875</xdr:colOff>
      <xdr:row>63</xdr:row>
      <xdr:rowOff>0</xdr:rowOff>
    </xdr:to>
    <xdr:sp>
      <xdr:nvSpPr>
        <xdr:cNvPr id="223" name="Line 259"/>
        <xdr:cNvSpPr>
          <a:spLocks/>
        </xdr:cNvSpPr>
      </xdr:nvSpPr>
      <xdr:spPr>
        <a:xfrm>
          <a:off x="5724525" y="14020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63</xdr:row>
      <xdr:rowOff>0</xdr:rowOff>
    </xdr:from>
    <xdr:to>
      <xdr:col>10</xdr:col>
      <xdr:colOff>142875</xdr:colOff>
      <xdr:row>63</xdr:row>
      <xdr:rowOff>0</xdr:rowOff>
    </xdr:to>
    <xdr:sp>
      <xdr:nvSpPr>
        <xdr:cNvPr id="224" name="Line 260"/>
        <xdr:cNvSpPr>
          <a:spLocks/>
        </xdr:cNvSpPr>
      </xdr:nvSpPr>
      <xdr:spPr>
        <a:xfrm>
          <a:off x="586740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63</xdr:row>
      <xdr:rowOff>0</xdr:rowOff>
    </xdr:from>
    <xdr:to>
      <xdr:col>10</xdr:col>
      <xdr:colOff>219075</xdr:colOff>
      <xdr:row>63</xdr:row>
      <xdr:rowOff>0</xdr:rowOff>
    </xdr:to>
    <xdr:sp>
      <xdr:nvSpPr>
        <xdr:cNvPr id="225" name="Line 261"/>
        <xdr:cNvSpPr>
          <a:spLocks/>
        </xdr:cNvSpPr>
      </xdr:nvSpPr>
      <xdr:spPr>
        <a:xfrm>
          <a:off x="5800725" y="14020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63</xdr:row>
      <xdr:rowOff>0</xdr:rowOff>
    </xdr:from>
    <xdr:to>
      <xdr:col>10</xdr:col>
      <xdr:colOff>219075</xdr:colOff>
      <xdr:row>63</xdr:row>
      <xdr:rowOff>0</xdr:rowOff>
    </xdr:to>
    <xdr:sp>
      <xdr:nvSpPr>
        <xdr:cNvPr id="226" name="Line 262"/>
        <xdr:cNvSpPr>
          <a:spLocks/>
        </xdr:cNvSpPr>
      </xdr:nvSpPr>
      <xdr:spPr>
        <a:xfrm>
          <a:off x="5800725" y="14020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227" name="Line 263"/>
        <xdr:cNvSpPr>
          <a:spLocks/>
        </xdr:cNvSpPr>
      </xdr:nvSpPr>
      <xdr:spPr>
        <a:xfrm>
          <a:off x="451485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10</xdr:col>
      <xdr:colOff>0</xdr:colOff>
      <xdr:row>63</xdr:row>
      <xdr:rowOff>0</xdr:rowOff>
    </xdr:to>
    <xdr:sp>
      <xdr:nvSpPr>
        <xdr:cNvPr id="228" name="Line 264"/>
        <xdr:cNvSpPr>
          <a:spLocks/>
        </xdr:cNvSpPr>
      </xdr:nvSpPr>
      <xdr:spPr>
        <a:xfrm>
          <a:off x="572452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63</xdr:row>
      <xdr:rowOff>0</xdr:rowOff>
    </xdr:from>
    <xdr:to>
      <xdr:col>10</xdr:col>
      <xdr:colOff>0</xdr:colOff>
      <xdr:row>63</xdr:row>
      <xdr:rowOff>0</xdr:rowOff>
    </xdr:to>
    <xdr:sp>
      <xdr:nvSpPr>
        <xdr:cNvPr id="229" name="Line 266"/>
        <xdr:cNvSpPr>
          <a:spLocks/>
        </xdr:cNvSpPr>
      </xdr:nvSpPr>
      <xdr:spPr>
        <a:xfrm>
          <a:off x="5524500" y="140208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9</xdr:row>
      <xdr:rowOff>180975</xdr:rowOff>
    </xdr:from>
    <xdr:to>
      <xdr:col>13</xdr:col>
      <xdr:colOff>542925</xdr:colOff>
      <xdr:row>26</xdr:row>
      <xdr:rowOff>66675</xdr:rowOff>
    </xdr:to>
    <xdr:sp>
      <xdr:nvSpPr>
        <xdr:cNvPr id="230" name="Text Box 275"/>
        <xdr:cNvSpPr txBox="1">
          <a:spLocks noChangeArrowheads="1"/>
        </xdr:cNvSpPr>
      </xdr:nvSpPr>
      <xdr:spPr>
        <a:xfrm>
          <a:off x="476250" y="2733675"/>
          <a:ext cx="7724775" cy="3048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 PARA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LA EDUCACION Y CUIDADO DE NIÑOS ENTRE LOS 0 Y 60 MESES, LLAMADOS CENTRO DE DESARROLLO INFANTIL (CDI), LOS CUALES ESTAN A CARGO DE BIENESTAR FAMILIAR. EL CDI CUENTA CON BAÑOS DE NIÑOS Y NIÑAS PARA LAS DIFERENTES EDADES, COMEDORES Y COCINAS, ZONA DE LAVADO, ZONAS ADMINISTRATIVAS Y BATERIAS DE SERVICIOS PUBLICOS PARA ADULTOS Y FUNCIONAROS. SE PROYECTA UN EQUIPO DE SUMINITRO PARA LOS DIFERENTES APARATOS Y UN EQUIPO CONTRA INCENDIO PARA LOS GABINETES SENCILLOS QUE SE ENCUENTRAN DISTRIBUIDOS A NIVEL DE PRIMER PISO. LOS DESAGUES DE AGUAS RESIDUALES Y AGUAS LLUVIAS SE RECOGEN EN TUBERIA SANITARIA Y CAJAS DE INSPECCION Y SE CONDUCEN POSTERIORMENTE LAS ACOMETIDAS EXISTENTES. El CDI SE ENCUENTRA UBICADO EN EL MUNICIPIO DE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APARTADO-ANTIOQUIA</a:t>
          </a:r>
        </a:p>
      </xdr:txBody>
    </xdr:sp>
    <xdr:clientData/>
  </xdr:twoCellAnchor>
  <xdr:twoCellAnchor>
    <xdr:from>
      <xdr:col>5</xdr:col>
      <xdr:colOff>314325</xdr:colOff>
      <xdr:row>2</xdr:row>
      <xdr:rowOff>161925</xdr:rowOff>
    </xdr:from>
    <xdr:to>
      <xdr:col>10</xdr:col>
      <xdr:colOff>304800</xdr:colOff>
      <xdr:row>2</xdr:row>
      <xdr:rowOff>628650</xdr:rowOff>
    </xdr:to>
    <xdr:sp>
      <xdr:nvSpPr>
        <xdr:cNvPr id="231" name="233 CuadroTexto"/>
        <xdr:cNvSpPr txBox="1">
          <a:spLocks noChangeArrowheads="1"/>
        </xdr:cNvSpPr>
      </xdr:nvSpPr>
      <xdr:spPr>
        <a:xfrm>
          <a:off x="2886075" y="485775"/>
          <a:ext cx="3143250" cy="4667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DISEÑO HIDRAULICO CDI APARTADO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MEMORIAS DE CALCULO </a:t>
          </a:r>
        </a:p>
      </xdr:txBody>
    </xdr:sp>
    <xdr:clientData/>
  </xdr:twoCellAnchor>
  <xdr:twoCellAnchor editAs="oneCell">
    <xdr:from>
      <xdr:col>13</xdr:col>
      <xdr:colOff>485775</xdr:colOff>
      <xdr:row>0</xdr:row>
      <xdr:rowOff>123825</xdr:rowOff>
    </xdr:from>
    <xdr:to>
      <xdr:col>29</xdr:col>
      <xdr:colOff>723900</xdr:colOff>
      <xdr:row>34</xdr:row>
      <xdr:rowOff>152400</xdr:rowOff>
    </xdr:to>
    <xdr:pic>
      <xdr:nvPicPr>
        <xdr:cNvPr id="232" name="Picture 85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123825"/>
          <a:ext cx="12182475" cy="7572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3</xdr:row>
      <xdr:rowOff>238125</xdr:rowOff>
    </xdr:from>
    <xdr:to>
      <xdr:col>11</xdr:col>
      <xdr:colOff>828675</xdr:colOff>
      <xdr:row>3</xdr:row>
      <xdr:rowOff>704850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086350" y="762000"/>
          <a:ext cx="3143250" cy="4667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DISEÑO HIDRAULICO CDI APARTADO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MEMORIAS DE CALCULO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1</xdr:row>
      <xdr:rowOff>209550</xdr:rowOff>
    </xdr:from>
    <xdr:to>
      <xdr:col>6</xdr:col>
      <xdr:colOff>542925</xdr:colOff>
      <xdr:row>1</xdr:row>
      <xdr:rowOff>676275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1543050" y="361950"/>
          <a:ext cx="3152775" cy="4667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DISEÑO HIDRAULICO CDI APARTADO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MEMORIAS DE CALCULO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790575</xdr:colOff>
      <xdr:row>3</xdr:row>
      <xdr:rowOff>285750</xdr:rowOff>
    </xdr:from>
    <xdr:to>
      <xdr:col>11</xdr:col>
      <xdr:colOff>485775</xdr:colOff>
      <xdr:row>3</xdr:row>
      <xdr:rowOff>752475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4838700" y="809625"/>
          <a:ext cx="3143250" cy="4667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DISEÑO HIDRAULICO CDI APARTADO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MEMORIAS DE CALCULO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2</xdr:row>
      <xdr:rowOff>276225</xdr:rowOff>
    </xdr:from>
    <xdr:to>
      <xdr:col>8</xdr:col>
      <xdr:colOff>504825</xdr:colOff>
      <xdr:row>2</xdr:row>
      <xdr:rowOff>742950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2000250" y="619125"/>
          <a:ext cx="3162300" cy="4667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DISEÑO HIDRAULICO CDI APARTADO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MEMORIAS DE CALCULO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2</xdr:row>
      <xdr:rowOff>180975</xdr:rowOff>
    </xdr:from>
    <xdr:to>
      <xdr:col>12</xdr:col>
      <xdr:colOff>161925</xdr:colOff>
      <xdr:row>2</xdr:row>
      <xdr:rowOff>638175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3533775" y="523875"/>
          <a:ext cx="3152775" cy="4572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DISEÑO HIDRAULICO CDI APARTADO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MEMORIAS DE CALCULO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2</xdr:row>
      <xdr:rowOff>133350</xdr:rowOff>
    </xdr:from>
    <xdr:to>
      <xdr:col>11</xdr:col>
      <xdr:colOff>409575</xdr:colOff>
      <xdr:row>2</xdr:row>
      <xdr:rowOff>600075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3038475" y="476250"/>
          <a:ext cx="3152775" cy="4667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DISEÑO HIDRAULICO CDI APARTADO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MEMORIAS DE CALCULO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30</xdr:row>
      <xdr:rowOff>104775</xdr:rowOff>
    </xdr:from>
    <xdr:to>
      <xdr:col>14</xdr:col>
      <xdr:colOff>200025</xdr:colOff>
      <xdr:row>39</xdr:row>
      <xdr:rowOff>133350</xdr:rowOff>
    </xdr:to>
    <xdr:pic>
      <xdr:nvPicPr>
        <xdr:cNvPr id="1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553200"/>
          <a:ext cx="76866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</xdr:colOff>
      <xdr:row>2</xdr:row>
      <xdr:rowOff>152400</xdr:rowOff>
    </xdr:from>
    <xdr:to>
      <xdr:col>10</xdr:col>
      <xdr:colOff>228600</xdr:colOff>
      <xdr:row>2</xdr:row>
      <xdr:rowOff>609600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2676525" y="495300"/>
          <a:ext cx="3143250" cy="4572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DISEÑO HIDRAULICO CDI APARTADO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MEMORIAS DE CALCULO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2</xdr:row>
      <xdr:rowOff>257175</xdr:rowOff>
    </xdr:from>
    <xdr:to>
      <xdr:col>9</xdr:col>
      <xdr:colOff>190500</xdr:colOff>
      <xdr:row>2</xdr:row>
      <xdr:rowOff>723900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3333750" y="600075"/>
          <a:ext cx="3143250" cy="4667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DISEÑO HIDRAULICO CDI APARTADO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MEMORIAS DE CALCULO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2</xdr:row>
      <xdr:rowOff>171450</xdr:rowOff>
    </xdr:from>
    <xdr:to>
      <xdr:col>12</xdr:col>
      <xdr:colOff>485775</xdr:colOff>
      <xdr:row>2</xdr:row>
      <xdr:rowOff>638175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4610100" y="514350"/>
          <a:ext cx="3143250" cy="4667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DISEÑO HIDRAULICO CDI APARTADO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MEMORIAS DE CALCULO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2</xdr:row>
      <xdr:rowOff>238125</xdr:rowOff>
    </xdr:from>
    <xdr:to>
      <xdr:col>11</xdr:col>
      <xdr:colOff>9525</xdr:colOff>
      <xdr:row>2</xdr:row>
      <xdr:rowOff>704850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2933700" y="581025"/>
          <a:ext cx="3143250" cy="4667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DISEÑO HIDRAULICO CDI APARTADO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MEMORIAS DE CALCULO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3</xdr:row>
      <xdr:rowOff>276225</xdr:rowOff>
    </xdr:from>
    <xdr:to>
      <xdr:col>9</xdr:col>
      <xdr:colOff>314325</xdr:colOff>
      <xdr:row>3</xdr:row>
      <xdr:rowOff>742950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1724025" y="800100"/>
          <a:ext cx="3162300" cy="4667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DISEÑO HIDRAULICO CDI APARTADO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MEMORIAS DE CALCULO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3</xdr:row>
      <xdr:rowOff>238125</xdr:rowOff>
    </xdr:from>
    <xdr:to>
      <xdr:col>9</xdr:col>
      <xdr:colOff>590550</xdr:colOff>
      <xdr:row>3</xdr:row>
      <xdr:rowOff>704850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2057400" y="762000"/>
          <a:ext cx="3152775" cy="4667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DISEÑO HIDRAULICO CDI APARTADO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MEMORIAS DE CALCULO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2</xdr:row>
      <xdr:rowOff>190500</xdr:rowOff>
    </xdr:from>
    <xdr:to>
      <xdr:col>4</xdr:col>
      <xdr:colOff>142875</xdr:colOff>
      <xdr:row>2</xdr:row>
      <xdr:rowOff>685800</xdr:rowOff>
    </xdr:to>
    <xdr:sp>
      <xdr:nvSpPr>
        <xdr:cNvPr id="1" name="Rectangle 6"/>
        <xdr:cNvSpPr>
          <a:spLocks/>
        </xdr:cNvSpPr>
      </xdr:nvSpPr>
      <xdr:spPr>
        <a:xfrm>
          <a:off x="495300" y="542925"/>
          <a:ext cx="14287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Pedro Valderrama R
</a:t>
          </a:r>
          <a:r>
            <a:rPr lang="en-US" cap="none" sz="1100" b="1" i="0" u="none" baseline="0">
              <a:solidFill>
                <a:srgbClr val="000000"/>
              </a:solidFill>
            </a:rPr>
            <a:t>Ingeniero Civil s.c.i</a:t>
          </a:r>
        </a:p>
      </xdr:txBody>
    </xdr:sp>
    <xdr:clientData/>
  </xdr:twoCellAnchor>
  <xdr:twoCellAnchor>
    <xdr:from>
      <xdr:col>6</xdr:col>
      <xdr:colOff>104775</xdr:colOff>
      <xdr:row>2</xdr:row>
      <xdr:rowOff>152400</xdr:rowOff>
    </xdr:from>
    <xdr:to>
      <xdr:col>12</xdr:col>
      <xdr:colOff>495300</xdr:colOff>
      <xdr:row>2</xdr:row>
      <xdr:rowOff>723900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295650" y="504825"/>
          <a:ext cx="3171825" cy="571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DISEÑO HIDRAULICO EDIFICIO SAN DIEGO   IPC LTDA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ING. ASOCIADOS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MEMORIAS DE CALCULO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2</xdr:row>
      <xdr:rowOff>190500</xdr:rowOff>
    </xdr:from>
    <xdr:to>
      <xdr:col>4</xdr:col>
      <xdr:colOff>171450</xdr:colOff>
      <xdr:row>2</xdr:row>
      <xdr:rowOff>685800</xdr:rowOff>
    </xdr:to>
    <xdr:sp>
      <xdr:nvSpPr>
        <xdr:cNvPr id="1" name="Rectangle 6"/>
        <xdr:cNvSpPr>
          <a:spLocks/>
        </xdr:cNvSpPr>
      </xdr:nvSpPr>
      <xdr:spPr>
        <a:xfrm>
          <a:off x="523875" y="542925"/>
          <a:ext cx="14287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Pedro Valderrama R
</a:t>
          </a:r>
          <a:r>
            <a:rPr lang="en-US" cap="none" sz="1100" b="1" i="0" u="none" baseline="0">
              <a:solidFill>
                <a:srgbClr val="000000"/>
              </a:solidFill>
            </a:rPr>
            <a:t>Ingeniero Civil s.c.i</a:t>
          </a:r>
        </a:p>
      </xdr:txBody>
    </xdr:sp>
    <xdr:clientData/>
  </xdr:twoCellAnchor>
  <xdr:twoCellAnchor>
    <xdr:from>
      <xdr:col>6</xdr:col>
      <xdr:colOff>104775</xdr:colOff>
      <xdr:row>2</xdr:row>
      <xdr:rowOff>133350</xdr:rowOff>
    </xdr:from>
    <xdr:to>
      <xdr:col>12</xdr:col>
      <xdr:colOff>495300</xdr:colOff>
      <xdr:row>2</xdr:row>
      <xdr:rowOff>714375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295650" y="485775"/>
          <a:ext cx="3171825" cy="581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DISEÑO HIDRAULICO EDIFICIO SAN DIEGO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IPC LTDA ING. ASOCIADOS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MEMORIAS DE CALCULO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171450</xdr:rowOff>
    </xdr:from>
    <xdr:to>
      <xdr:col>2</xdr:col>
      <xdr:colOff>666750</xdr:colOff>
      <xdr:row>3</xdr:row>
      <xdr:rowOff>666750</xdr:rowOff>
    </xdr:to>
    <xdr:sp>
      <xdr:nvSpPr>
        <xdr:cNvPr id="1" name="Rectangle 6"/>
        <xdr:cNvSpPr>
          <a:spLocks/>
        </xdr:cNvSpPr>
      </xdr:nvSpPr>
      <xdr:spPr>
        <a:xfrm>
          <a:off x="209550" y="695325"/>
          <a:ext cx="1438275" cy="4953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Pedro Valderrama R
</a:t>
          </a:r>
          <a:r>
            <a:rPr lang="en-US" cap="none" sz="1100" b="1" i="0" u="none" baseline="0">
              <a:solidFill>
                <a:srgbClr val="000000"/>
              </a:solidFill>
            </a:rPr>
            <a:t>Ingeniero Civil s.c.i</a:t>
          </a:r>
        </a:p>
      </xdr:txBody>
    </xdr:sp>
    <xdr:clientData/>
  </xdr:twoCellAnchor>
  <xdr:twoCellAnchor>
    <xdr:from>
      <xdr:col>3</xdr:col>
      <xdr:colOff>723900</xdr:colOff>
      <xdr:row>3</xdr:row>
      <xdr:rowOff>142875</xdr:rowOff>
    </xdr:from>
    <xdr:to>
      <xdr:col>7</xdr:col>
      <xdr:colOff>542925</xdr:colOff>
      <xdr:row>3</xdr:row>
      <xdr:rowOff>723900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2628900" y="666750"/>
          <a:ext cx="3171825" cy="581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DISEÑO HIDRAULICO EDIFICIO SAN DIEGO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IPC LTDA. ING. ASOCIADOS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MEMORIAS DE CALCULO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2:R65"/>
  <sheetViews>
    <sheetView view="pageBreakPreview" zoomScale="55" zoomScaleNormal="70" zoomScaleSheetLayoutView="55" zoomScalePageLayoutView="0" workbookViewId="0" topLeftCell="A1">
      <selection activeCell="S17" sqref="S17"/>
    </sheetView>
  </sheetViews>
  <sheetFormatPr defaultColWidth="11.421875" defaultRowHeight="12.75"/>
  <cols>
    <col min="1" max="1" width="3.8515625" style="866" customWidth="1"/>
    <col min="2" max="2" width="1.28515625" style="866" customWidth="1"/>
    <col min="3" max="3" width="11.00390625" style="866" customWidth="1"/>
    <col min="4" max="4" width="11.8515625" style="866" customWidth="1"/>
    <col min="5" max="5" width="10.57421875" style="866" customWidth="1"/>
    <col min="6" max="6" width="10.7109375" style="866" customWidth="1"/>
    <col min="7" max="7" width="9.8515625" style="866" customWidth="1"/>
    <col min="8" max="9" width="8.57421875" style="866" customWidth="1"/>
    <col min="10" max="10" width="9.57421875" style="866" customWidth="1"/>
    <col min="11" max="11" width="8.8515625" style="866" customWidth="1"/>
    <col min="12" max="12" width="10.421875" style="866" customWidth="1"/>
    <col min="13" max="13" width="9.7109375" style="866" customWidth="1"/>
    <col min="14" max="14" width="15.28125" style="866" customWidth="1"/>
    <col min="15" max="15" width="3.8515625" style="866" customWidth="1"/>
    <col min="16" max="16384" width="11.421875" style="866" customWidth="1"/>
  </cols>
  <sheetData>
    <row r="1" ht="13.5" thickBot="1"/>
    <row r="2" spans="2:14" s="870" customFormat="1" ht="12" customHeight="1" thickBot="1">
      <c r="B2" s="867"/>
      <c r="C2" s="868"/>
      <c r="D2" s="868"/>
      <c r="E2" s="868"/>
      <c r="F2" s="868"/>
      <c r="G2" s="868"/>
      <c r="H2" s="868"/>
      <c r="I2" s="868"/>
      <c r="J2" s="868"/>
      <c r="K2" s="868"/>
      <c r="L2" s="868"/>
      <c r="M2" s="868"/>
      <c r="N2" s="869"/>
    </row>
    <row r="3" spans="2:14" s="870" customFormat="1" ht="78.75" customHeight="1" thickBot="1">
      <c r="B3" s="871"/>
      <c r="C3" s="872"/>
      <c r="D3" s="873"/>
      <c r="E3" s="874"/>
      <c r="F3" s="875"/>
      <c r="G3" s="875"/>
      <c r="H3" s="873"/>
      <c r="I3" s="873"/>
      <c r="J3" s="873"/>
      <c r="K3" s="876"/>
      <c r="L3" s="875"/>
      <c r="M3" s="877"/>
      <c r="N3" s="878"/>
    </row>
    <row r="4" spans="2:14" s="870" customFormat="1" ht="6.75" customHeight="1" thickBot="1">
      <c r="B4" s="871"/>
      <c r="C4" s="879"/>
      <c r="D4" s="879"/>
      <c r="E4" s="879"/>
      <c r="F4" s="879"/>
      <c r="G4" s="879"/>
      <c r="H4" s="879"/>
      <c r="I4" s="879"/>
      <c r="J4" s="879"/>
      <c r="K4" s="879"/>
      <c r="L4" s="879"/>
      <c r="M4" s="879"/>
      <c r="N4" s="878"/>
    </row>
    <row r="5" spans="2:14" s="870" customFormat="1" ht="41.25" customHeight="1" thickBot="1">
      <c r="B5" s="871"/>
      <c r="C5" s="880" t="s">
        <v>0</v>
      </c>
      <c r="D5" s="881" t="s">
        <v>116</v>
      </c>
      <c r="E5" s="882"/>
      <c r="F5" s="883"/>
      <c r="G5" s="883"/>
      <c r="H5" s="884"/>
      <c r="I5" s="879"/>
      <c r="J5" s="885" t="s">
        <v>2</v>
      </c>
      <c r="K5" s="886">
        <v>1</v>
      </c>
      <c r="L5" s="887" t="s">
        <v>3</v>
      </c>
      <c r="M5" s="888">
        <v>12</v>
      </c>
      <c r="N5" s="878"/>
    </row>
    <row r="6" spans="2:14" s="870" customFormat="1" ht="10.5" customHeight="1" thickBot="1">
      <c r="B6" s="889"/>
      <c r="C6" s="890"/>
      <c r="D6" s="891"/>
      <c r="E6" s="892"/>
      <c r="F6" s="893"/>
      <c r="G6" s="893"/>
      <c r="H6" s="893"/>
      <c r="I6" s="894"/>
      <c r="J6" s="890"/>
      <c r="K6" s="895"/>
      <c r="L6" s="890"/>
      <c r="M6" s="890"/>
      <c r="N6" s="896"/>
    </row>
    <row r="7" spans="2:15" ht="7.5" customHeight="1" thickBot="1">
      <c r="B7" s="897"/>
      <c r="C7" s="897"/>
      <c r="D7" s="897"/>
      <c r="E7" s="897"/>
      <c r="F7" s="897"/>
      <c r="G7" s="897"/>
      <c r="H7" s="897"/>
      <c r="I7" s="897"/>
      <c r="J7" s="897"/>
      <c r="K7" s="897"/>
      <c r="L7" s="897"/>
      <c r="M7" s="897"/>
      <c r="N7" s="897"/>
      <c r="O7" s="897"/>
    </row>
    <row r="8" spans="2:15" ht="12.75">
      <c r="B8" s="898"/>
      <c r="C8" s="899"/>
      <c r="D8" s="899"/>
      <c r="E8" s="899"/>
      <c r="F8" s="899"/>
      <c r="G8" s="899"/>
      <c r="H8" s="899"/>
      <c r="I8" s="899"/>
      <c r="J8" s="899"/>
      <c r="K8" s="899"/>
      <c r="L8" s="899"/>
      <c r="M8" s="899"/>
      <c r="N8" s="900"/>
      <c r="O8" s="897"/>
    </row>
    <row r="9" spans="2:15" s="905" customFormat="1" ht="18" customHeight="1">
      <c r="B9" s="901"/>
      <c r="C9" s="902" t="s">
        <v>117</v>
      </c>
      <c r="D9" s="903"/>
      <c r="E9" s="903"/>
      <c r="F9" s="903"/>
      <c r="G9" s="903"/>
      <c r="H9" s="903"/>
      <c r="I9" s="903"/>
      <c r="J9" s="903"/>
      <c r="K9" s="903"/>
      <c r="L9" s="903"/>
      <c r="M9" s="903"/>
      <c r="N9" s="904"/>
      <c r="O9" s="903"/>
    </row>
    <row r="10" spans="2:15" ht="18" customHeight="1">
      <c r="B10" s="906"/>
      <c r="C10" s="903"/>
      <c r="D10" s="897"/>
      <c r="E10" s="897"/>
      <c r="F10" s="897"/>
      <c r="G10" s="897"/>
      <c r="H10" s="897"/>
      <c r="I10" s="897"/>
      <c r="J10" s="897"/>
      <c r="K10" s="897"/>
      <c r="L10" s="897"/>
      <c r="M10" s="897"/>
      <c r="N10" s="907"/>
      <c r="O10" s="897"/>
    </row>
    <row r="11" spans="2:15" s="905" customFormat="1" ht="18" customHeight="1">
      <c r="B11" s="901"/>
      <c r="C11" s="903"/>
      <c r="D11" s="903"/>
      <c r="E11" s="903"/>
      <c r="F11" s="903"/>
      <c r="G11" s="903"/>
      <c r="H11" s="908"/>
      <c r="I11" s="903"/>
      <c r="J11" s="903"/>
      <c r="K11" s="903"/>
      <c r="L11" s="903"/>
      <c r="M11" s="903"/>
      <c r="N11" s="904"/>
      <c r="O11" s="903"/>
    </row>
    <row r="12" spans="2:15" s="905" customFormat="1" ht="6" customHeight="1">
      <c r="B12" s="901"/>
      <c r="C12" s="903"/>
      <c r="D12" s="903"/>
      <c r="E12" s="903"/>
      <c r="F12" s="903"/>
      <c r="G12" s="903"/>
      <c r="H12" s="903"/>
      <c r="I12" s="903"/>
      <c r="J12" s="903"/>
      <c r="K12" s="903"/>
      <c r="L12" s="903"/>
      <c r="M12" s="903"/>
      <c r="N12" s="904"/>
      <c r="O12" s="903"/>
    </row>
    <row r="13" spans="2:18" s="905" customFormat="1" ht="18" customHeight="1">
      <c r="B13" s="901"/>
      <c r="C13" s="903"/>
      <c r="D13" s="903"/>
      <c r="E13" s="903"/>
      <c r="F13" s="903"/>
      <c r="G13" s="903"/>
      <c r="H13" s="903"/>
      <c r="I13" s="903"/>
      <c r="J13" s="903"/>
      <c r="K13" s="903"/>
      <c r="L13" s="903"/>
      <c r="M13" s="903"/>
      <c r="N13" s="904"/>
      <c r="O13" s="903"/>
      <c r="R13" s="909"/>
    </row>
    <row r="14" spans="2:18" ht="18" customHeight="1">
      <c r="B14" s="906"/>
      <c r="C14" s="903"/>
      <c r="D14" s="897"/>
      <c r="E14" s="897"/>
      <c r="F14" s="897"/>
      <c r="G14" s="897"/>
      <c r="H14" s="897"/>
      <c r="I14" s="897"/>
      <c r="J14" s="897"/>
      <c r="K14" s="897"/>
      <c r="L14" s="897"/>
      <c r="M14" s="897"/>
      <c r="N14" s="907"/>
      <c r="O14" s="897"/>
      <c r="R14" s="909"/>
    </row>
    <row r="15" spans="2:18" ht="6.75" customHeight="1">
      <c r="B15" s="906"/>
      <c r="D15" s="897"/>
      <c r="E15" s="897"/>
      <c r="F15" s="897"/>
      <c r="G15" s="897"/>
      <c r="H15" s="897"/>
      <c r="I15" s="897"/>
      <c r="J15" s="897"/>
      <c r="K15" s="897"/>
      <c r="L15" s="897"/>
      <c r="M15" s="897"/>
      <c r="N15" s="907"/>
      <c r="O15" s="897"/>
      <c r="R15" s="909"/>
    </row>
    <row r="16" spans="2:18" s="905" customFormat="1" ht="18" customHeight="1">
      <c r="B16" s="901"/>
      <c r="C16" s="903"/>
      <c r="D16" s="903"/>
      <c r="E16" s="903"/>
      <c r="F16" s="903"/>
      <c r="G16" s="903"/>
      <c r="H16" s="903"/>
      <c r="I16" s="903"/>
      <c r="J16" s="903"/>
      <c r="K16" s="903"/>
      <c r="L16" s="903"/>
      <c r="M16" s="903"/>
      <c r="N16" s="904"/>
      <c r="O16" s="903"/>
      <c r="R16" s="909"/>
    </row>
    <row r="17" spans="2:18" s="905" customFormat="1" ht="18" customHeight="1">
      <c r="B17" s="901"/>
      <c r="C17" s="903"/>
      <c r="D17" s="903"/>
      <c r="E17" s="903"/>
      <c r="F17" s="903"/>
      <c r="G17" s="903"/>
      <c r="H17" s="903"/>
      <c r="I17" s="903"/>
      <c r="J17" s="903"/>
      <c r="K17" s="903"/>
      <c r="L17" s="903"/>
      <c r="M17" s="903"/>
      <c r="N17" s="904"/>
      <c r="O17" s="903"/>
      <c r="R17" s="909"/>
    </row>
    <row r="18" spans="2:18" s="905" customFormat="1" ht="18" customHeight="1">
      <c r="B18" s="901"/>
      <c r="C18" s="903"/>
      <c r="D18" s="903"/>
      <c r="E18" s="903"/>
      <c r="F18" s="903"/>
      <c r="G18" s="903"/>
      <c r="H18" s="903"/>
      <c r="I18" s="903"/>
      <c r="J18" s="903"/>
      <c r="K18" s="903"/>
      <c r="L18" s="903"/>
      <c r="M18" s="903"/>
      <c r="N18" s="904"/>
      <c r="O18" s="903"/>
      <c r="R18" s="909"/>
    </row>
    <row r="19" spans="2:18" ht="6.75" customHeight="1">
      <c r="B19" s="906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907"/>
      <c r="O19" s="897"/>
      <c r="R19" s="909"/>
    </row>
    <row r="20" spans="2:18" ht="18" customHeight="1">
      <c r="B20" s="906"/>
      <c r="C20" s="903"/>
      <c r="D20" s="897"/>
      <c r="E20" s="897"/>
      <c r="F20" s="897"/>
      <c r="G20" s="897"/>
      <c r="H20" s="897"/>
      <c r="I20" s="897"/>
      <c r="J20" s="897"/>
      <c r="K20" s="897"/>
      <c r="L20" s="897"/>
      <c r="M20" s="897"/>
      <c r="N20" s="907"/>
      <c r="O20" s="897"/>
      <c r="R20" s="909"/>
    </row>
    <row r="21" spans="2:18" ht="6.75" customHeight="1">
      <c r="B21" s="906"/>
      <c r="D21" s="897"/>
      <c r="E21" s="897"/>
      <c r="F21" s="897"/>
      <c r="G21" s="897"/>
      <c r="H21" s="897"/>
      <c r="I21" s="897"/>
      <c r="J21" s="897"/>
      <c r="K21" s="897"/>
      <c r="L21" s="897"/>
      <c r="M21" s="897"/>
      <c r="N21" s="907"/>
      <c r="O21" s="897"/>
      <c r="R21" s="909"/>
    </row>
    <row r="22" spans="2:18" ht="18" customHeight="1">
      <c r="B22" s="906"/>
      <c r="C22" s="903"/>
      <c r="D22" s="897"/>
      <c r="E22" s="897"/>
      <c r="F22" s="897"/>
      <c r="G22" s="897"/>
      <c r="H22" s="897"/>
      <c r="I22" s="897"/>
      <c r="J22" s="897"/>
      <c r="K22" s="897"/>
      <c r="L22" s="897"/>
      <c r="M22" s="897"/>
      <c r="N22" s="907"/>
      <c r="O22" s="897"/>
      <c r="R22" s="909"/>
    </row>
    <row r="23" spans="2:18" ht="6.75" customHeight="1">
      <c r="B23" s="906"/>
      <c r="D23" s="897"/>
      <c r="E23" s="897"/>
      <c r="F23" s="897"/>
      <c r="G23" s="897"/>
      <c r="H23" s="897"/>
      <c r="I23" s="897"/>
      <c r="J23" s="897"/>
      <c r="K23" s="897"/>
      <c r="L23" s="897"/>
      <c r="M23" s="897"/>
      <c r="N23" s="907"/>
      <c r="O23" s="897"/>
      <c r="R23" s="909"/>
    </row>
    <row r="24" spans="2:18" ht="18" customHeight="1">
      <c r="B24" s="906"/>
      <c r="C24" s="903"/>
      <c r="D24" s="897"/>
      <c r="E24" s="897"/>
      <c r="F24" s="897"/>
      <c r="G24" s="897"/>
      <c r="H24" s="897"/>
      <c r="I24" s="897"/>
      <c r="J24" s="897"/>
      <c r="K24" s="897"/>
      <c r="L24" s="897"/>
      <c r="M24" s="897"/>
      <c r="N24" s="907"/>
      <c r="O24" s="897"/>
      <c r="R24" s="909"/>
    </row>
    <row r="25" spans="2:18" ht="18" customHeight="1">
      <c r="B25" s="906"/>
      <c r="C25" s="903"/>
      <c r="D25" s="897"/>
      <c r="E25" s="897"/>
      <c r="F25" s="897"/>
      <c r="G25" s="897"/>
      <c r="H25" s="897"/>
      <c r="I25" s="897"/>
      <c r="J25" s="897"/>
      <c r="K25" s="897"/>
      <c r="L25" s="897"/>
      <c r="M25" s="897"/>
      <c r="N25" s="907"/>
      <c r="O25" s="897"/>
      <c r="R25" s="909"/>
    </row>
    <row r="26" spans="2:18" ht="18" customHeight="1">
      <c r="B26" s="906"/>
      <c r="C26" s="903"/>
      <c r="D26" s="897"/>
      <c r="E26" s="897"/>
      <c r="F26" s="897"/>
      <c r="G26" s="897"/>
      <c r="H26" s="897"/>
      <c r="I26" s="897"/>
      <c r="J26" s="897"/>
      <c r="K26" s="897"/>
      <c r="L26" s="897"/>
      <c r="M26" s="897"/>
      <c r="N26" s="907"/>
      <c r="O26" s="897"/>
      <c r="R26" s="909"/>
    </row>
    <row r="27" spans="2:18" ht="18" customHeight="1">
      <c r="B27" s="906"/>
      <c r="C27" s="903"/>
      <c r="D27" s="897"/>
      <c r="E27" s="897"/>
      <c r="F27" s="897"/>
      <c r="G27" s="897"/>
      <c r="H27" s="897"/>
      <c r="I27" s="897"/>
      <c r="J27" s="897"/>
      <c r="K27" s="897"/>
      <c r="L27" s="897"/>
      <c r="M27" s="897"/>
      <c r="N27" s="907"/>
      <c r="O27" s="897"/>
      <c r="R27" s="909"/>
    </row>
    <row r="28" spans="2:18" s="905" customFormat="1" ht="18" customHeight="1">
      <c r="B28" s="910"/>
      <c r="C28" s="902" t="s">
        <v>118</v>
      </c>
      <c r="D28" s="903"/>
      <c r="E28" s="903"/>
      <c r="F28" s="903"/>
      <c r="G28" s="903"/>
      <c r="H28" s="903"/>
      <c r="I28" s="903"/>
      <c r="J28" s="903"/>
      <c r="K28" s="903"/>
      <c r="L28" s="903"/>
      <c r="M28" s="903"/>
      <c r="N28" s="904"/>
      <c r="O28" s="903"/>
      <c r="R28" s="909"/>
    </row>
    <row r="29" spans="2:18" s="905" customFormat="1" ht="18" customHeight="1">
      <c r="B29" s="910"/>
      <c r="C29" s="902"/>
      <c r="D29" s="903"/>
      <c r="E29" s="903"/>
      <c r="F29" s="903"/>
      <c r="G29" s="903"/>
      <c r="H29" s="903"/>
      <c r="I29" s="903"/>
      <c r="J29" s="903"/>
      <c r="K29" s="903"/>
      <c r="L29" s="903"/>
      <c r="M29" s="903"/>
      <c r="N29" s="904"/>
      <c r="O29" s="903"/>
      <c r="R29" s="909"/>
    </row>
    <row r="30" spans="2:18" s="905" customFormat="1" ht="18" customHeight="1">
      <c r="B30" s="901"/>
      <c r="C30" s="903" t="s">
        <v>119</v>
      </c>
      <c r="D30" s="903"/>
      <c r="E30" s="903"/>
      <c r="F30" s="903"/>
      <c r="G30" s="903"/>
      <c r="H30" s="903"/>
      <c r="I30" s="903"/>
      <c r="J30" s="903"/>
      <c r="K30" s="903"/>
      <c r="L30" s="903"/>
      <c r="M30" s="903"/>
      <c r="N30" s="904"/>
      <c r="O30" s="903"/>
      <c r="R30" s="909"/>
    </row>
    <row r="31" spans="2:18" s="905" customFormat="1" ht="18" customHeight="1">
      <c r="B31" s="910"/>
      <c r="C31" s="911" t="s">
        <v>120</v>
      </c>
      <c r="D31" s="903"/>
      <c r="E31" s="903"/>
      <c r="F31" s="903"/>
      <c r="G31" s="903"/>
      <c r="H31" s="903"/>
      <c r="I31" s="903"/>
      <c r="J31" s="903"/>
      <c r="K31" s="903"/>
      <c r="L31" s="903"/>
      <c r="M31" s="903"/>
      <c r="N31" s="904"/>
      <c r="O31" s="903"/>
      <c r="R31" s="909"/>
    </row>
    <row r="32" spans="2:18" s="905" customFormat="1" ht="18" customHeight="1">
      <c r="B32" s="910"/>
      <c r="C32" s="911" t="s">
        <v>121</v>
      </c>
      <c r="D32" s="903"/>
      <c r="E32" s="903"/>
      <c r="F32" s="903"/>
      <c r="G32" s="903"/>
      <c r="H32" s="903"/>
      <c r="I32" s="903"/>
      <c r="J32" s="903"/>
      <c r="K32" s="903"/>
      <c r="L32" s="903"/>
      <c r="M32" s="903"/>
      <c r="N32" s="904"/>
      <c r="O32" s="903"/>
      <c r="R32" s="909"/>
    </row>
    <row r="33" spans="2:14" s="905" customFormat="1" ht="18" customHeight="1">
      <c r="B33" s="910"/>
      <c r="C33" s="911"/>
      <c r="D33" s="903"/>
      <c r="E33" s="903"/>
      <c r="F33" s="903"/>
      <c r="G33" s="903"/>
      <c r="H33" s="903"/>
      <c r="I33" s="911" t="s">
        <v>122</v>
      </c>
      <c r="J33" s="903"/>
      <c r="K33" s="903"/>
      <c r="N33" s="904"/>
    </row>
    <row r="34" spans="2:14" s="905" customFormat="1" ht="18" customHeight="1">
      <c r="B34" s="910"/>
      <c r="C34" s="866"/>
      <c r="D34" s="903"/>
      <c r="E34" s="903"/>
      <c r="F34" s="903"/>
      <c r="G34" s="903"/>
      <c r="H34" s="903"/>
      <c r="I34" s="908" t="s">
        <v>123</v>
      </c>
      <c r="J34" s="911" t="s">
        <v>124</v>
      </c>
      <c r="K34" s="903"/>
      <c r="M34" s="903" t="s">
        <v>125</v>
      </c>
      <c r="N34" s="904"/>
    </row>
    <row r="35" spans="2:14" s="905" customFormat="1" ht="18" customHeight="1">
      <c r="B35" s="910"/>
      <c r="C35" s="911"/>
      <c r="D35" s="903"/>
      <c r="E35" s="903"/>
      <c r="F35" s="903"/>
      <c r="G35" s="903"/>
      <c r="H35" s="903"/>
      <c r="I35" s="908" t="s">
        <v>126</v>
      </c>
      <c r="J35" s="911" t="s">
        <v>127</v>
      </c>
      <c r="K35" s="903"/>
      <c r="M35" s="911" t="s">
        <v>128</v>
      </c>
      <c r="N35" s="904"/>
    </row>
    <row r="36" spans="2:14" s="905" customFormat="1" ht="18" customHeight="1">
      <c r="B36" s="901"/>
      <c r="C36" s="903"/>
      <c r="D36" s="903"/>
      <c r="E36" s="903"/>
      <c r="F36" s="903"/>
      <c r="G36" s="903"/>
      <c r="H36" s="903"/>
      <c r="I36" s="912" t="s">
        <v>259</v>
      </c>
      <c r="J36" s="911" t="s">
        <v>129</v>
      </c>
      <c r="K36" s="903"/>
      <c r="M36" s="911" t="s">
        <v>130</v>
      </c>
      <c r="N36" s="904"/>
    </row>
    <row r="37" spans="2:15" s="905" customFormat="1" ht="18" customHeight="1">
      <c r="B37" s="901"/>
      <c r="C37" s="903"/>
      <c r="D37" s="903"/>
      <c r="E37" s="903"/>
      <c r="F37" s="903"/>
      <c r="G37" s="903"/>
      <c r="H37" s="903"/>
      <c r="I37" s="908" t="s">
        <v>77</v>
      </c>
      <c r="J37" s="911" t="s">
        <v>131</v>
      </c>
      <c r="K37" s="903"/>
      <c r="N37" s="904"/>
      <c r="O37" s="866"/>
    </row>
    <row r="38" spans="2:15" s="905" customFormat="1" ht="18" customHeight="1">
      <c r="B38" s="901"/>
      <c r="C38" s="903"/>
      <c r="D38" s="913"/>
      <c r="E38" s="911"/>
      <c r="F38" s="903"/>
      <c r="G38" s="903"/>
      <c r="H38" s="903"/>
      <c r="I38" s="908"/>
      <c r="J38" s="911" t="s">
        <v>329</v>
      </c>
      <c r="K38" s="903"/>
      <c r="N38" s="904"/>
      <c r="O38" s="866"/>
    </row>
    <row r="39" spans="2:14" s="905" customFormat="1" ht="18" customHeight="1">
      <c r="B39" s="901"/>
      <c r="C39" s="903"/>
      <c r="D39" s="903"/>
      <c r="E39" s="903"/>
      <c r="F39" s="903"/>
      <c r="G39" s="903"/>
      <c r="H39" s="903"/>
      <c r="I39" s="908"/>
      <c r="J39" s="911" t="s">
        <v>132</v>
      </c>
      <c r="K39" s="911"/>
      <c r="N39" s="904"/>
    </row>
    <row r="40" spans="2:15" s="905" customFormat="1" ht="18" customHeight="1">
      <c r="B40" s="901"/>
      <c r="C40" s="903"/>
      <c r="D40" s="903"/>
      <c r="E40" s="903"/>
      <c r="F40" s="903"/>
      <c r="G40" s="903"/>
      <c r="H40" s="903"/>
      <c r="I40" s="913"/>
      <c r="J40" s="911" t="s">
        <v>133</v>
      </c>
      <c r="K40" s="914"/>
      <c r="N40" s="904"/>
      <c r="O40" s="866"/>
    </row>
    <row r="41" spans="2:15" ht="18" customHeight="1">
      <c r="B41" s="906"/>
      <c r="C41" s="870"/>
      <c r="D41" s="870"/>
      <c r="E41" s="870"/>
      <c r="F41" s="870"/>
      <c r="G41" s="870"/>
      <c r="H41" s="870"/>
      <c r="I41" s="870"/>
      <c r="K41" s="905"/>
      <c r="L41" s="905"/>
      <c r="M41" s="905"/>
      <c r="N41" s="904"/>
      <c r="O41" s="905"/>
    </row>
    <row r="42" spans="2:15" s="905" customFormat="1" ht="18" customHeight="1">
      <c r="B42" s="910"/>
      <c r="C42" s="911" t="s">
        <v>134</v>
      </c>
      <c r="D42" s="903"/>
      <c r="E42" s="903"/>
      <c r="F42" s="903"/>
      <c r="G42" s="903"/>
      <c r="H42" s="903"/>
      <c r="I42" s="903"/>
      <c r="J42" s="903"/>
      <c r="K42" s="903"/>
      <c r="L42" s="903"/>
      <c r="M42" s="903"/>
      <c r="N42" s="904"/>
      <c r="O42" s="903"/>
    </row>
    <row r="43" spans="2:15" ht="18" customHeight="1">
      <c r="B43" s="915"/>
      <c r="C43" s="916"/>
      <c r="D43" s="870"/>
      <c r="E43" s="870"/>
      <c r="F43" s="870"/>
      <c r="G43" s="870"/>
      <c r="H43" s="870"/>
      <c r="I43" s="870"/>
      <c r="J43" s="870"/>
      <c r="K43" s="870"/>
      <c r="L43" s="870"/>
      <c r="M43" s="870"/>
      <c r="N43" s="878"/>
      <c r="O43" s="897"/>
    </row>
    <row r="44" spans="2:15" ht="18" customHeight="1">
      <c r="B44" s="917"/>
      <c r="C44" s="916"/>
      <c r="D44" s="870"/>
      <c r="E44" s="870"/>
      <c r="F44" s="918"/>
      <c r="G44" s="870"/>
      <c r="H44" s="870"/>
      <c r="I44" s="870"/>
      <c r="J44" s="918"/>
      <c r="L44" s="870"/>
      <c r="M44" s="870"/>
      <c r="N44" s="878"/>
      <c r="O44" s="897"/>
    </row>
    <row r="45" spans="2:15" s="905" customFormat="1" ht="18" customHeight="1">
      <c r="B45" s="901"/>
      <c r="C45" s="903"/>
      <c r="D45" s="911"/>
      <c r="E45" s="903"/>
      <c r="F45" s="911"/>
      <c r="G45" s="908"/>
      <c r="H45" s="911"/>
      <c r="I45" s="903"/>
      <c r="J45" s="911"/>
      <c r="K45" s="908"/>
      <c r="L45" s="911"/>
      <c r="M45" s="903"/>
      <c r="N45" s="904"/>
      <c r="O45" s="903"/>
    </row>
    <row r="46" spans="2:15" ht="18" customHeight="1">
      <c r="B46" s="906"/>
      <c r="C46" s="870"/>
      <c r="D46" s="870"/>
      <c r="E46" s="918"/>
      <c r="F46" s="918"/>
      <c r="G46" s="870"/>
      <c r="H46" s="870"/>
      <c r="I46" s="918"/>
      <c r="J46" s="918"/>
      <c r="K46" s="870"/>
      <c r="L46" s="870"/>
      <c r="M46" s="870"/>
      <c r="N46" s="878"/>
      <c r="O46" s="897"/>
    </row>
    <row r="47" spans="2:15" ht="18" customHeight="1">
      <c r="B47" s="906"/>
      <c r="C47" s="870"/>
      <c r="D47" s="870"/>
      <c r="E47" s="918"/>
      <c r="F47" s="918"/>
      <c r="G47" s="870"/>
      <c r="H47" s="870"/>
      <c r="I47" s="918"/>
      <c r="J47" s="918"/>
      <c r="K47" s="870"/>
      <c r="L47" s="870"/>
      <c r="M47" s="870"/>
      <c r="N47" s="878"/>
      <c r="O47" s="897"/>
    </row>
    <row r="48" spans="2:15" ht="18" customHeight="1">
      <c r="B48" s="906"/>
      <c r="C48" s="870"/>
      <c r="D48" s="870"/>
      <c r="E48" s="918"/>
      <c r="F48" s="918"/>
      <c r="G48" s="870"/>
      <c r="H48" s="870"/>
      <c r="I48" s="918"/>
      <c r="J48" s="918"/>
      <c r="K48" s="870"/>
      <c r="L48" s="870"/>
      <c r="M48" s="870"/>
      <c r="N48" s="878"/>
      <c r="O48" s="897"/>
    </row>
    <row r="49" spans="2:15" s="905" customFormat="1" ht="18" customHeight="1">
      <c r="B49" s="901"/>
      <c r="C49" s="903" t="s">
        <v>135</v>
      </c>
      <c r="D49" s="903"/>
      <c r="E49" s="913"/>
      <c r="F49" s="908"/>
      <c r="H49" s="866"/>
      <c r="I49" s="919" t="s">
        <v>136</v>
      </c>
      <c r="K49" s="903"/>
      <c r="L49" s="903"/>
      <c r="M49" s="903"/>
      <c r="N49" s="904"/>
      <c r="O49" s="903"/>
    </row>
    <row r="50" spans="2:15" s="905" customFormat="1" ht="18" customHeight="1">
      <c r="B50" s="920"/>
      <c r="C50" s="913"/>
      <c r="D50" s="903"/>
      <c r="E50" s="913"/>
      <c r="F50" s="903"/>
      <c r="H50" s="903"/>
      <c r="I50" s="911" t="s">
        <v>137</v>
      </c>
      <c r="K50" s="903"/>
      <c r="L50" s="903"/>
      <c r="M50" s="903"/>
      <c r="N50" s="904"/>
      <c r="O50" s="903"/>
    </row>
    <row r="51" spans="2:15" ht="18" customHeight="1">
      <c r="B51" s="906"/>
      <c r="C51" s="870"/>
      <c r="D51" s="870"/>
      <c r="E51" s="918"/>
      <c r="H51" s="870"/>
      <c r="I51" s="921" t="s">
        <v>138</v>
      </c>
      <c r="J51" s="870"/>
      <c r="K51" s="870"/>
      <c r="L51" s="870"/>
      <c r="M51" s="870"/>
      <c r="N51" s="878"/>
      <c r="O51" s="897"/>
    </row>
    <row r="52" spans="2:15" ht="18" customHeight="1">
      <c r="B52" s="906"/>
      <c r="C52" s="870"/>
      <c r="D52" s="870"/>
      <c r="E52" s="918"/>
      <c r="F52" s="870"/>
      <c r="H52" s="870"/>
      <c r="I52" s="870"/>
      <c r="J52" s="870"/>
      <c r="K52" s="870"/>
      <c r="L52" s="870"/>
      <c r="M52" s="870"/>
      <c r="N52" s="878"/>
      <c r="O52" s="897"/>
    </row>
    <row r="53" spans="2:15" s="905" customFormat="1" ht="18" customHeight="1">
      <c r="B53" s="910"/>
      <c r="C53" s="902" t="s">
        <v>139</v>
      </c>
      <c r="D53" s="903"/>
      <c r="E53" s="908"/>
      <c r="F53" s="903"/>
      <c r="G53" s="903"/>
      <c r="H53" s="903"/>
      <c r="I53" s="903"/>
      <c r="J53" s="903"/>
      <c r="K53" s="903"/>
      <c r="L53" s="903"/>
      <c r="M53" s="903"/>
      <c r="N53" s="904"/>
      <c r="O53" s="903"/>
    </row>
    <row r="54" spans="2:15" s="905" customFormat="1" ht="18" customHeight="1">
      <c r="B54" s="901"/>
      <c r="C54" s="903"/>
      <c r="D54" s="903"/>
      <c r="E54" s="903"/>
      <c r="F54" s="903"/>
      <c r="G54" s="903"/>
      <c r="H54" s="903"/>
      <c r="I54" s="903"/>
      <c r="J54" s="903"/>
      <c r="K54" s="903"/>
      <c r="L54" s="903"/>
      <c r="M54" s="903"/>
      <c r="N54" s="904"/>
      <c r="O54" s="903"/>
    </row>
    <row r="55" spans="2:15" s="905" customFormat="1" ht="18" customHeight="1">
      <c r="B55" s="910"/>
      <c r="C55" s="911" t="s">
        <v>140</v>
      </c>
      <c r="D55" s="903"/>
      <c r="E55" s="903"/>
      <c r="F55" s="903"/>
      <c r="G55" s="903"/>
      <c r="H55" s="903"/>
      <c r="I55" s="903"/>
      <c r="J55" s="903"/>
      <c r="K55" s="903"/>
      <c r="L55" s="903"/>
      <c r="M55" s="903"/>
      <c r="N55" s="904"/>
      <c r="O55" s="903"/>
    </row>
    <row r="56" spans="2:15" s="905" customFormat="1" ht="18" customHeight="1">
      <c r="B56" s="901"/>
      <c r="C56" s="903"/>
      <c r="D56" s="903"/>
      <c r="E56" s="903"/>
      <c r="F56" s="911"/>
      <c r="G56" s="913"/>
      <c r="H56" s="903"/>
      <c r="I56" s="903"/>
      <c r="J56" s="905" t="s">
        <v>141</v>
      </c>
      <c r="K56" s="903" t="s">
        <v>142</v>
      </c>
      <c r="L56" s="903"/>
      <c r="M56" s="903"/>
      <c r="N56" s="904"/>
      <c r="O56" s="903"/>
    </row>
    <row r="57" spans="2:15" s="905" customFormat="1" ht="18" customHeight="1">
      <c r="B57" s="901"/>
      <c r="C57" s="903"/>
      <c r="D57" s="903"/>
      <c r="E57" s="866"/>
      <c r="F57" s="911"/>
      <c r="G57" s="913"/>
      <c r="H57" s="903" t="s">
        <v>135</v>
      </c>
      <c r="J57" s="905" t="s">
        <v>143</v>
      </c>
      <c r="K57" s="905" t="s">
        <v>144</v>
      </c>
      <c r="M57" s="903"/>
      <c r="N57" s="904"/>
      <c r="O57" s="903"/>
    </row>
    <row r="58" spans="2:15" s="905" customFormat="1" ht="18" customHeight="1">
      <c r="B58" s="901"/>
      <c r="C58" s="903"/>
      <c r="D58" s="903"/>
      <c r="E58" s="903"/>
      <c r="F58" s="911"/>
      <c r="G58" s="913"/>
      <c r="J58" s="903" t="s">
        <v>145</v>
      </c>
      <c r="K58" s="905" t="s">
        <v>146</v>
      </c>
      <c r="M58" s="903"/>
      <c r="N58" s="904"/>
      <c r="O58" s="903"/>
    </row>
    <row r="59" spans="2:15" s="905" customFormat="1" ht="18" customHeight="1">
      <c r="B59" s="901"/>
      <c r="C59" s="903"/>
      <c r="D59" s="903"/>
      <c r="E59" s="903"/>
      <c r="F59" s="911"/>
      <c r="G59" s="913"/>
      <c r="H59" s="903"/>
      <c r="I59" s="903"/>
      <c r="J59" s="905" t="s">
        <v>147</v>
      </c>
      <c r="K59" s="905" t="s">
        <v>148</v>
      </c>
      <c r="L59" s="903"/>
      <c r="M59" s="903"/>
      <c r="N59" s="904"/>
      <c r="O59" s="903"/>
    </row>
    <row r="60" spans="2:15" s="905" customFormat="1" ht="18" customHeight="1">
      <c r="B60" s="920"/>
      <c r="C60" s="903" t="s">
        <v>149</v>
      </c>
      <c r="D60" s="911" t="s">
        <v>150</v>
      </c>
      <c r="E60" s="903">
        <v>0.013</v>
      </c>
      <c r="F60" s="903" t="s">
        <v>151</v>
      </c>
      <c r="G60" s="903"/>
      <c r="L60" s="903"/>
      <c r="M60" s="903"/>
      <c r="N60" s="904"/>
      <c r="O60" s="903"/>
    </row>
    <row r="61" spans="2:15" s="905" customFormat="1" ht="18" customHeight="1">
      <c r="B61" s="901"/>
      <c r="C61" s="903"/>
      <c r="D61" s="911" t="s">
        <v>150</v>
      </c>
      <c r="E61" s="903">
        <v>0.009</v>
      </c>
      <c r="F61" s="903" t="s">
        <v>152</v>
      </c>
      <c r="G61" s="903"/>
      <c r="L61" s="903"/>
      <c r="M61" s="903"/>
      <c r="N61" s="904"/>
      <c r="O61" s="903"/>
    </row>
    <row r="62" spans="2:15" ht="14.25" customHeight="1" thickBot="1">
      <c r="B62" s="922"/>
      <c r="C62" s="923"/>
      <c r="D62" s="923"/>
      <c r="E62" s="923"/>
      <c r="F62" s="923"/>
      <c r="G62" s="923"/>
      <c r="H62" s="923"/>
      <c r="I62" s="923"/>
      <c r="J62" s="923"/>
      <c r="K62" s="923"/>
      <c r="L62" s="923"/>
      <c r="M62" s="923"/>
      <c r="N62" s="924"/>
      <c r="O62" s="897"/>
    </row>
    <row r="63" ht="9.75" customHeight="1"/>
    <row r="64" spans="3:12" ht="12.75">
      <c r="C64" s="897"/>
      <c r="D64" s="897"/>
      <c r="E64" s="897"/>
      <c r="F64" s="897"/>
      <c r="G64" s="897"/>
      <c r="H64" s="897"/>
      <c r="I64" s="897"/>
      <c r="J64" s="897"/>
      <c r="K64" s="897"/>
      <c r="L64" s="897"/>
    </row>
    <row r="65" spans="3:12" ht="12.75">
      <c r="C65" s="897"/>
      <c r="D65" s="897"/>
      <c r="E65" s="897"/>
      <c r="F65" s="897"/>
      <c r="G65" s="897"/>
      <c r="H65" s="897"/>
      <c r="I65" s="897"/>
      <c r="J65" s="897"/>
      <c r="K65" s="897"/>
      <c r="L65" s="897"/>
    </row>
  </sheetData>
  <sheetProtection/>
  <printOptions horizontalCentered="1" verticalCentered="1"/>
  <pageMargins left="0.6" right="0.57" top="0.56" bottom="0.52" header="0" footer="0"/>
  <pageSetup horizontalDpi="600" verticalDpi="600" orientation="portrait" scale="64" r:id="rId9"/>
  <drawing r:id="rId8"/>
  <legacyDrawing r:id="rId7"/>
  <oleObjects>
    <oleObject progId="Equation.3" shapeId="941684" r:id="rId1"/>
    <oleObject progId="Equation.3" shapeId="941685" r:id="rId2"/>
    <oleObject progId="Equation.3" shapeId="941686" r:id="rId3"/>
    <oleObject progId="Equation.3" shapeId="941687" r:id="rId4"/>
    <oleObject progId="Equation.3" shapeId="941688" r:id="rId5"/>
    <oleObject progId="Equation.3" shapeId="941689" r:id="rId6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3:AH133"/>
  <sheetViews>
    <sheetView view="pageBreakPreview" zoomScale="60" zoomScaleNormal="85" zoomScalePageLayoutView="0" workbookViewId="0" topLeftCell="A1">
      <pane xSplit="4" ySplit="9" topLeftCell="E10" activePane="bottomRight" state="frozen"/>
      <selection pane="topLeft" activeCell="A1" sqref="A1"/>
      <selection pane="topRight" activeCell="L1" sqref="L1"/>
      <selection pane="bottomLeft" activeCell="A20" sqref="A20"/>
      <selection pane="bottomRight" activeCell="B3" sqref="B3:S32"/>
    </sheetView>
  </sheetViews>
  <sheetFormatPr defaultColWidth="12.7109375" defaultRowHeight="12.75"/>
  <cols>
    <col min="1" max="1" width="2.140625" style="49" customWidth="1"/>
    <col min="2" max="2" width="2.00390625" style="49" customWidth="1"/>
    <col min="3" max="3" width="8.28125" style="301" customWidth="1"/>
    <col min="4" max="4" width="10.421875" style="301" bestFit="1" customWidth="1"/>
    <col min="5" max="5" width="8.28125" style="301" customWidth="1"/>
    <col min="6" max="6" width="13.00390625" style="49" customWidth="1"/>
    <col min="7" max="7" width="13.8515625" style="49" customWidth="1"/>
    <col min="8" max="9" width="12.00390625" style="49" customWidth="1"/>
    <col min="10" max="10" width="15.57421875" style="49" customWidth="1"/>
    <col min="11" max="11" width="13.421875" style="49" customWidth="1"/>
    <col min="12" max="12" width="15.57421875" style="49" customWidth="1"/>
    <col min="13" max="13" width="14.00390625" style="49" customWidth="1"/>
    <col min="14" max="16" width="10.8515625" style="49" customWidth="1"/>
    <col min="17" max="17" width="10.8515625" style="97" customWidth="1"/>
    <col min="18" max="18" width="9.00390625" style="97" customWidth="1"/>
    <col min="19" max="19" width="2.421875" style="49" customWidth="1"/>
    <col min="20" max="20" width="3.57421875" style="49" customWidth="1"/>
    <col min="21" max="16384" width="12.7109375" style="49" customWidth="1"/>
  </cols>
  <sheetData>
    <row r="2" ht="15" thickBot="1"/>
    <row r="3" spans="2:19" ht="12" customHeight="1" thickBot="1"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103"/>
      <c r="R3" s="103"/>
      <c r="S3" s="52"/>
    </row>
    <row r="4" spans="1:19" ht="69.75" customHeight="1" thickBot="1">
      <c r="A4" s="53"/>
      <c r="B4" s="53"/>
      <c r="C4" s="54"/>
      <c r="D4" s="225"/>
      <c r="E4" s="225"/>
      <c r="F4" s="57"/>
      <c r="G4" s="57"/>
      <c r="H4" s="55"/>
      <c r="I4" s="55"/>
      <c r="J4" s="55"/>
      <c r="K4" s="58"/>
      <c r="L4" s="58"/>
      <c r="M4" s="58"/>
      <c r="N4" s="58"/>
      <c r="O4" s="58"/>
      <c r="P4" s="58"/>
      <c r="Q4" s="302"/>
      <c r="R4" s="226"/>
      <c r="S4" s="60"/>
    </row>
    <row r="5" spans="1:19" ht="6.75" customHeight="1" thickBot="1">
      <c r="A5" s="53"/>
      <c r="B5" s="303"/>
      <c r="C5" s="61"/>
      <c r="D5" s="61"/>
      <c r="E5" s="61"/>
      <c r="F5" s="61"/>
      <c r="G5" s="61"/>
      <c r="H5" s="61"/>
      <c r="I5" s="61"/>
      <c r="J5" s="61"/>
      <c r="K5" s="61"/>
      <c r="N5" s="60"/>
      <c r="R5" s="110"/>
      <c r="S5" s="60"/>
    </row>
    <row r="6" spans="1:19" ht="41.25" customHeight="1" thickBot="1">
      <c r="A6" s="53"/>
      <c r="B6" s="53"/>
      <c r="C6" s="62" t="s">
        <v>0</v>
      </c>
      <c r="D6" s="304"/>
      <c r="E6" s="304"/>
      <c r="F6" s="304" t="s">
        <v>422</v>
      </c>
      <c r="G6" s="63"/>
      <c r="H6" s="63"/>
      <c r="I6" s="63"/>
      <c r="J6" s="64"/>
      <c r="L6" s="305" t="s">
        <v>2</v>
      </c>
      <c r="M6" s="228">
        <v>8</v>
      </c>
      <c r="N6" s="342"/>
      <c r="O6" s="342"/>
      <c r="P6" s="342"/>
      <c r="Q6" s="229" t="s">
        <v>3</v>
      </c>
      <c r="R6" s="67">
        <v>12</v>
      </c>
      <c r="S6" s="60"/>
    </row>
    <row r="7" spans="2:19" ht="10.5" customHeight="1" thickBot="1">
      <c r="B7" s="53"/>
      <c r="C7" s="306"/>
      <c r="D7" s="306"/>
      <c r="E7" s="306"/>
      <c r="F7" s="61"/>
      <c r="G7" s="61"/>
      <c r="H7" s="61"/>
      <c r="I7" s="61"/>
      <c r="J7" s="61"/>
      <c r="K7" s="569" t="s">
        <v>383</v>
      </c>
      <c r="L7" s="61"/>
      <c r="M7" s="61"/>
      <c r="N7" s="61"/>
      <c r="O7" s="61"/>
      <c r="P7" s="61"/>
      <c r="Q7" s="110"/>
      <c r="R7" s="110"/>
      <c r="S7" s="60"/>
    </row>
    <row r="8" spans="2:19" ht="28.5" customHeight="1" thickBot="1">
      <c r="B8" s="53"/>
      <c r="C8" s="1069" t="s">
        <v>34</v>
      </c>
      <c r="D8" s="1070"/>
      <c r="E8" s="1071" t="s">
        <v>475</v>
      </c>
      <c r="F8" s="284" t="s">
        <v>35</v>
      </c>
      <c r="G8" s="283" t="s">
        <v>36</v>
      </c>
      <c r="H8" s="283" t="s">
        <v>37</v>
      </c>
      <c r="I8" s="283" t="s">
        <v>248</v>
      </c>
      <c r="J8" s="284" t="s">
        <v>249</v>
      </c>
      <c r="K8" s="343" t="s">
        <v>250</v>
      </c>
      <c r="L8" s="283" t="s">
        <v>251</v>
      </c>
      <c r="M8" s="283" t="s">
        <v>252</v>
      </c>
      <c r="N8" s="283" t="s">
        <v>248</v>
      </c>
      <c r="O8" s="1067" t="s">
        <v>457</v>
      </c>
      <c r="P8" s="1068"/>
      <c r="Q8" s="1067" t="s">
        <v>458</v>
      </c>
      <c r="R8" s="1068"/>
      <c r="S8" s="60"/>
    </row>
    <row r="9" spans="2:22" ht="16.5" customHeight="1" thickBot="1">
      <c r="B9" s="53"/>
      <c r="C9" s="344" t="s">
        <v>3</v>
      </c>
      <c r="D9" s="851" t="s">
        <v>45</v>
      </c>
      <c r="E9" s="1072"/>
      <c r="F9" s="345"/>
      <c r="G9" s="288" t="s">
        <v>46</v>
      </c>
      <c r="H9" s="288" t="s">
        <v>47</v>
      </c>
      <c r="I9" s="288" t="s">
        <v>253</v>
      </c>
      <c r="J9" s="288" t="s">
        <v>241</v>
      </c>
      <c r="K9" s="288" t="s">
        <v>254</v>
      </c>
      <c r="L9" s="288" t="s">
        <v>382</v>
      </c>
      <c r="M9" s="288" t="s">
        <v>54</v>
      </c>
      <c r="N9" s="288" t="s">
        <v>54</v>
      </c>
      <c r="O9" s="133" t="s">
        <v>255</v>
      </c>
      <c r="P9" s="133" t="s">
        <v>256</v>
      </c>
      <c r="Q9" s="133" t="s">
        <v>255</v>
      </c>
      <c r="R9" s="133" t="s">
        <v>256</v>
      </c>
      <c r="S9" s="60"/>
      <c r="U9" s="479"/>
      <c r="V9" s="479"/>
    </row>
    <row r="10" spans="2:22" ht="16.5" customHeight="1" thickBot="1">
      <c r="B10" s="53"/>
      <c r="C10" s="574"/>
      <c r="D10" s="574"/>
      <c r="E10" s="574"/>
      <c r="F10" s="575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479"/>
      <c r="R10" s="479"/>
      <c r="S10" s="60"/>
      <c r="U10" s="479"/>
      <c r="V10" s="479"/>
    </row>
    <row r="11" spans="2:22" ht="19.5" customHeight="1" thickBot="1">
      <c r="B11" s="53"/>
      <c r="C11" s="1064" t="s">
        <v>477</v>
      </c>
      <c r="D11" s="1065"/>
      <c r="E11" s="1065"/>
      <c r="F11" s="1065"/>
      <c r="G11" s="1065"/>
      <c r="H11" s="1065"/>
      <c r="I11" s="1065"/>
      <c r="J11" s="1065"/>
      <c r="K11" s="1065"/>
      <c r="L11" s="1065"/>
      <c r="M11" s="1065"/>
      <c r="N11" s="1065"/>
      <c r="O11" s="1065"/>
      <c r="P11" s="1065"/>
      <c r="Q11" s="1065"/>
      <c r="R11" s="1066"/>
      <c r="S11" s="60"/>
      <c r="U11" s="95"/>
      <c r="V11" s="97"/>
    </row>
    <row r="12" spans="2:34" ht="19.5" customHeight="1">
      <c r="B12" s="53"/>
      <c r="C12" s="840" t="s">
        <v>230</v>
      </c>
      <c r="D12" s="841" t="s">
        <v>232</v>
      </c>
      <c r="E12" s="841" t="s">
        <v>476</v>
      </c>
      <c r="F12" s="842">
        <v>8</v>
      </c>
      <c r="G12" s="843">
        <f>IF(F12&lt;38,F12^0.3686*0.7401,IF(F12&lt;235,F12^0.4193*0.6215,IF(F12&lt;932,F12*0.0092+4.2493,F12*0.0069+6.7345)))</f>
        <v>1.592829804301079</v>
      </c>
      <c r="H12" s="842">
        <v>4</v>
      </c>
      <c r="I12" s="842">
        <v>0.5</v>
      </c>
      <c r="J12" s="844">
        <f>ROUND(K12*PI()*(H12*0.0254/2)^2*1000,2)</f>
        <v>5.51</v>
      </c>
      <c r="K12" s="844">
        <f>ROUND(((H12*0.0254/4)^(2/3))/0.009*(I12/100)^(1/2),2)</f>
        <v>0.68</v>
      </c>
      <c r="L12" s="845">
        <f>ROUND(G12/J12,2)</f>
        <v>0.29</v>
      </c>
      <c r="M12" s="842">
        <v>5</v>
      </c>
      <c r="N12" s="846">
        <f>+(M12*I12)/100</f>
        <v>0.025</v>
      </c>
      <c r="O12" s="846">
        <v>29.6</v>
      </c>
      <c r="P12" s="845">
        <f>+O12-N12</f>
        <v>29.575000000000003</v>
      </c>
      <c r="Q12" s="846">
        <f>+O12-0.02</f>
        <v>29.580000000000002</v>
      </c>
      <c r="R12" s="847">
        <f>+P12-0.02</f>
        <v>29.555000000000003</v>
      </c>
      <c r="S12" s="60"/>
      <c r="U12" s="95"/>
      <c r="V12" s="97"/>
      <c r="AH12" s="49" t="s">
        <v>257</v>
      </c>
    </row>
    <row r="13" spans="2:22" ht="19.5" customHeight="1">
      <c r="B13" s="53"/>
      <c r="C13" s="848" t="s">
        <v>232</v>
      </c>
      <c r="D13" s="849" t="s">
        <v>456</v>
      </c>
      <c r="E13" s="849"/>
      <c r="F13" s="527">
        <v>8</v>
      </c>
      <c r="G13" s="78">
        <f>IF(F13&lt;38,F13^0.3686*0.7401,IF(F13&lt;235,F13^0.4193*0.6215,IF(F13&lt;932,F13*0.0092+4.2493,F13*0.0069+6.7345)))</f>
        <v>1.592829804301079</v>
      </c>
      <c r="H13" s="527">
        <v>4</v>
      </c>
      <c r="I13" s="527">
        <v>0.5</v>
      </c>
      <c r="J13" s="72">
        <f>ROUND(K13*PI()*(H13*0.0254/2)^2*1000,2)</f>
        <v>5.51</v>
      </c>
      <c r="K13" s="72">
        <f>ROUND(((H13*0.0254/4)^(2/3))/0.009*(I13/100)^(1/2),2)</f>
        <v>0.68</v>
      </c>
      <c r="L13" s="80">
        <f>ROUND(G13/J13,2)</f>
        <v>0.29</v>
      </c>
      <c r="M13" s="527">
        <v>13</v>
      </c>
      <c r="N13" s="532">
        <f>+(M13*I13)/100</f>
        <v>0.065</v>
      </c>
      <c r="O13" s="532">
        <f aca="true" t="shared" si="0" ref="O13:P18">+Q12</f>
        <v>29.580000000000002</v>
      </c>
      <c r="P13" s="80">
        <f t="shared" si="0"/>
        <v>29.555000000000003</v>
      </c>
      <c r="Q13" s="532">
        <f aca="true" t="shared" si="1" ref="Q13:Q28">+P13-N13</f>
        <v>29.490000000000002</v>
      </c>
      <c r="R13" s="164">
        <f aca="true" t="shared" si="2" ref="R13:R23">+Q13-0.02</f>
        <v>29.470000000000002</v>
      </c>
      <c r="S13" s="60"/>
      <c r="U13" s="95"/>
      <c r="V13" s="97"/>
    </row>
    <row r="14" spans="2:22" ht="19.5" customHeight="1">
      <c r="B14" s="53"/>
      <c r="C14" s="848" t="s">
        <v>456</v>
      </c>
      <c r="D14" s="849" t="s">
        <v>459</v>
      </c>
      <c r="E14" s="849"/>
      <c r="F14" s="527">
        <f>+F13+26</f>
        <v>34</v>
      </c>
      <c r="G14" s="78">
        <f aca="true" t="shared" si="3" ref="G14:G29">IF(F14&lt;38,F14^0.3686*0.7401,IF(F14&lt;235,F14^0.4193*0.6215,IF(F14&lt;932,F14*0.0092+4.2493,F14*0.0069+6.7345)))</f>
        <v>2.7151481594446043</v>
      </c>
      <c r="H14" s="527">
        <v>4</v>
      </c>
      <c r="I14" s="527">
        <v>0.5</v>
      </c>
      <c r="J14" s="72">
        <f aca="true" t="shared" si="4" ref="J14:J29">ROUND(K14*PI()*(H14*0.0254/2)^2*1000,2)</f>
        <v>5.51</v>
      </c>
      <c r="K14" s="72">
        <f aca="true" t="shared" si="5" ref="K14:K29">ROUND(((H14*0.0254/4)^(2/3))/0.009*(I14/100)^(1/2),2)</f>
        <v>0.68</v>
      </c>
      <c r="L14" s="80">
        <f aca="true" t="shared" si="6" ref="L14:L29">ROUND(G14/J14,2)</f>
        <v>0.49</v>
      </c>
      <c r="M14" s="527">
        <v>29</v>
      </c>
      <c r="N14" s="532">
        <f aca="true" t="shared" si="7" ref="N14:N28">+(M14*I14)/100</f>
        <v>0.145</v>
      </c>
      <c r="O14" s="532">
        <f t="shared" si="0"/>
        <v>29.490000000000002</v>
      </c>
      <c r="P14" s="80">
        <f t="shared" si="0"/>
        <v>29.470000000000002</v>
      </c>
      <c r="Q14" s="532">
        <f t="shared" si="1"/>
        <v>29.325000000000003</v>
      </c>
      <c r="R14" s="164">
        <f t="shared" si="2"/>
        <v>29.305000000000003</v>
      </c>
      <c r="S14" s="60"/>
      <c r="U14" s="95"/>
      <c r="V14" s="97"/>
    </row>
    <row r="15" spans="2:22" ht="19.5" customHeight="1">
      <c r="B15" s="53"/>
      <c r="C15" s="848" t="s">
        <v>459</v>
      </c>
      <c r="D15" s="849" t="s">
        <v>460</v>
      </c>
      <c r="E15" s="849"/>
      <c r="F15" s="527">
        <f>+F14+26</f>
        <v>60</v>
      </c>
      <c r="G15" s="78">
        <f t="shared" si="3"/>
        <v>3.459552712635742</v>
      </c>
      <c r="H15" s="527">
        <v>4</v>
      </c>
      <c r="I15" s="527">
        <v>0.5</v>
      </c>
      <c r="J15" s="72">
        <f t="shared" si="4"/>
        <v>5.51</v>
      </c>
      <c r="K15" s="72">
        <f t="shared" si="5"/>
        <v>0.68</v>
      </c>
      <c r="L15" s="80">
        <f t="shared" si="6"/>
        <v>0.63</v>
      </c>
      <c r="M15" s="527">
        <v>14</v>
      </c>
      <c r="N15" s="532">
        <f t="shared" si="7"/>
        <v>0.07</v>
      </c>
      <c r="O15" s="532">
        <f t="shared" si="0"/>
        <v>29.325000000000003</v>
      </c>
      <c r="P15" s="80">
        <f t="shared" si="0"/>
        <v>29.305000000000003</v>
      </c>
      <c r="Q15" s="532">
        <f t="shared" si="1"/>
        <v>29.235000000000003</v>
      </c>
      <c r="R15" s="164">
        <f t="shared" si="2"/>
        <v>29.215000000000003</v>
      </c>
      <c r="S15" s="60"/>
      <c r="U15" s="95"/>
      <c r="V15" s="97"/>
    </row>
    <row r="16" spans="2:22" ht="19.5" customHeight="1">
      <c r="B16" s="53"/>
      <c r="C16" s="848" t="s">
        <v>460</v>
      </c>
      <c r="D16" s="849" t="s">
        <v>461</v>
      </c>
      <c r="E16" s="849"/>
      <c r="F16" s="527">
        <f>+F15</f>
        <v>60</v>
      </c>
      <c r="G16" s="78">
        <f t="shared" si="3"/>
        <v>3.459552712635742</v>
      </c>
      <c r="H16" s="527">
        <v>4</v>
      </c>
      <c r="I16" s="527">
        <v>0.5</v>
      </c>
      <c r="J16" s="72">
        <f t="shared" si="4"/>
        <v>5.51</v>
      </c>
      <c r="K16" s="72">
        <f t="shared" si="5"/>
        <v>0.68</v>
      </c>
      <c r="L16" s="80">
        <f t="shared" si="6"/>
        <v>0.63</v>
      </c>
      <c r="M16" s="527">
        <v>8.6</v>
      </c>
      <c r="N16" s="532">
        <f t="shared" si="7"/>
        <v>0.043</v>
      </c>
      <c r="O16" s="532">
        <f t="shared" si="0"/>
        <v>29.235000000000003</v>
      </c>
      <c r="P16" s="80">
        <f t="shared" si="0"/>
        <v>29.215000000000003</v>
      </c>
      <c r="Q16" s="532">
        <f t="shared" si="1"/>
        <v>29.172000000000004</v>
      </c>
      <c r="R16" s="164">
        <f t="shared" si="2"/>
        <v>29.152000000000005</v>
      </c>
      <c r="S16" s="60"/>
      <c r="U16" s="95"/>
      <c r="V16" s="97"/>
    </row>
    <row r="17" spans="2:22" ht="19.5" customHeight="1">
      <c r="B17" s="53"/>
      <c r="C17" s="848" t="s">
        <v>461</v>
      </c>
      <c r="D17" s="849" t="s">
        <v>462</v>
      </c>
      <c r="E17" s="849"/>
      <c r="F17" s="527">
        <f>+F16+5</f>
        <v>65</v>
      </c>
      <c r="G17" s="78">
        <f t="shared" si="3"/>
        <v>3.5776323047908436</v>
      </c>
      <c r="H17" s="527">
        <v>4</v>
      </c>
      <c r="I17" s="527">
        <v>0.5</v>
      </c>
      <c r="J17" s="72">
        <f t="shared" si="4"/>
        <v>5.51</v>
      </c>
      <c r="K17" s="72">
        <f t="shared" si="5"/>
        <v>0.68</v>
      </c>
      <c r="L17" s="80">
        <f t="shared" si="6"/>
        <v>0.65</v>
      </c>
      <c r="M17" s="527">
        <v>9.2</v>
      </c>
      <c r="N17" s="532">
        <f t="shared" si="7"/>
        <v>0.046</v>
      </c>
      <c r="O17" s="532">
        <f t="shared" si="0"/>
        <v>29.172000000000004</v>
      </c>
      <c r="P17" s="80">
        <f t="shared" si="0"/>
        <v>29.152000000000005</v>
      </c>
      <c r="Q17" s="532">
        <f t="shared" si="1"/>
        <v>29.106000000000005</v>
      </c>
      <c r="R17" s="164">
        <f t="shared" si="2"/>
        <v>29.086000000000006</v>
      </c>
      <c r="S17" s="60"/>
      <c r="U17" s="95"/>
      <c r="V17" s="97"/>
    </row>
    <row r="18" spans="2:22" ht="19.5" customHeight="1">
      <c r="B18" s="53"/>
      <c r="C18" s="848" t="s">
        <v>462</v>
      </c>
      <c r="D18" s="849" t="s">
        <v>463</v>
      </c>
      <c r="E18" s="849"/>
      <c r="F18" s="527">
        <f>+F17+2</f>
        <v>67</v>
      </c>
      <c r="G18" s="78">
        <f t="shared" si="3"/>
        <v>3.6233834618237326</v>
      </c>
      <c r="H18" s="527">
        <v>4</v>
      </c>
      <c r="I18" s="527">
        <v>0.5</v>
      </c>
      <c r="J18" s="72">
        <f t="shared" si="4"/>
        <v>5.51</v>
      </c>
      <c r="K18" s="72">
        <f t="shared" si="5"/>
        <v>0.68</v>
      </c>
      <c r="L18" s="80">
        <f t="shared" si="6"/>
        <v>0.66</v>
      </c>
      <c r="M18" s="527">
        <v>6.6</v>
      </c>
      <c r="N18" s="532">
        <f t="shared" si="7"/>
        <v>0.033</v>
      </c>
      <c r="O18" s="532">
        <f t="shared" si="0"/>
        <v>29.106000000000005</v>
      </c>
      <c r="P18" s="80">
        <f t="shared" si="0"/>
        <v>29.086000000000006</v>
      </c>
      <c r="Q18" s="532">
        <f t="shared" si="1"/>
        <v>29.053000000000004</v>
      </c>
      <c r="R18" s="164">
        <f t="shared" si="2"/>
        <v>29.033000000000005</v>
      </c>
      <c r="S18" s="60"/>
      <c r="U18" s="95"/>
      <c r="V18" s="97"/>
    </row>
    <row r="19" spans="2:22" ht="19.5" customHeight="1">
      <c r="B19" s="53"/>
      <c r="C19" s="848" t="s">
        <v>464</v>
      </c>
      <c r="D19" s="849" t="s">
        <v>465</v>
      </c>
      <c r="E19" s="849" t="s">
        <v>476</v>
      </c>
      <c r="F19" s="527">
        <v>32</v>
      </c>
      <c r="G19" s="78">
        <f t="shared" si="3"/>
        <v>2.6551477078634282</v>
      </c>
      <c r="H19" s="527">
        <v>4</v>
      </c>
      <c r="I19" s="527">
        <v>0.5</v>
      </c>
      <c r="J19" s="72">
        <f t="shared" si="4"/>
        <v>5.51</v>
      </c>
      <c r="K19" s="72">
        <f t="shared" si="5"/>
        <v>0.68</v>
      </c>
      <c r="L19" s="80">
        <f t="shared" si="6"/>
        <v>0.48</v>
      </c>
      <c r="M19" s="527">
        <v>4.9</v>
      </c>
      <c r="N19" s="532">
        <f t="shared" si="7"/>
        <v>0.0245</v>
      </c>
      <c r="O19" s="852">
        <v>30</v>
      </c>
      <c r="P19" s="853">
        <v>29.8</v>
      </c>
      <c r="Q19" s="852">
        <f t="shared" si="1"/>
        <v>29.7755</v>
      </c>
      <c r="R19" s="854">
        <f t="shared" si="2"/>
        <v>29.7555</v>
      </c>
      <c r="S19" s="60"/>
      <c r="U19" s="95"/>
      <c r="V19" s="97"/>
    </row>
    <row r="20" spans="2:22" ht="19.5" customHeight="1">
      <c r="B20" s="53"/>
      <c r="C20" s="848" t="s">
        <v>465</v>
      </c>
      <c r="D20" s="849" t="s">
        <v>466</v>
      </c>
      <c r="E20" s="849"/>
      <c r="F20" s="527">
        <f>+F19+5</f>
        <v>37</v>
      </c>
      <c r="G20" s="78">
        <f t="shared" si="3"/>
        <v>2.8011061026122155</v>
      </c>
      <c r="H20" s="527">
        <v>4</v>
      </c>
      <c r="I20" s="527">
        <v>0.5</v>
      </c>
      <c r="J20" s="72">
        <f t="shared" si="4"/>
        <v>5.51</v>
      </c>
      <c r="K20" s="72">
        <f t="shared" si="5"/>
        <v>0.68</v>
      </c>
      <c r="L20" s="80">
        <f t="shared" si="6"/>
        <v>0.51</v>
      </c>
      <c r="M20" s="527">
        <v>5.4</v>
      </c>
      <c r="N20" s="532">
        <f t="shared" si="7"/>
        <v>0.027000000000000003</v>
      </c>
      <c r="O20" s="532">
        <f aca="true" t="shared" si="8" ref="O20:P24">+Q19</f>
        <v>29.7755</v>
      </c>
      <c r="P20" s="80">
        <f t="shared" si="8"/>
        <v>29.7555</v>
      </c>
      <c r="Q20" s="532">
        <f t="shared" si="1"/>
        <v>29.7285</v>
      </c>
      <c r="R20" s="164">
        <f t="shared" si="2"/>
        <v>29.7085</v>
      </c>
      <c r="S20" s="60"/>
      <c r="U20" s="95"/>
      <c r="V20" s="97"/>
    </row>
    <row r="21" spans="2:22" ht="19.5" customHeight="1">
      <c r="B21" s="53"/>
      <c r="C21" s="848" t="s">
        <v>466</v>
      </c>
      <c r="D21" s="849" t="s">
        <v>467</v>
      </c>
      <c r="E21" s="849"/>
      <c r="F21" s="527">
        <f>+F20+20</f>
        <v>57</v>
      </c>
      <c r="G21" s="78">
        <f t="shared" si="3"/>
        <v>3.385941574602442</v>
      </c>
      <c r="H21" s="527">
        <v>4</v>
      </c>
      <c r="I21" s="527">
        <v>0.5</v>
      </c>
      <c r="J21" s="72">
        <f t="shared" si="4"/>
        <v>5.51</v>
      </c>
      <c r="K21" s="72">
        <f t="shared" si="5"/>
        <v>0.68</v>
      </c>
      <c r="L21" s="80">
        <f t="shared" si="6"/>
        <v>0.61</v>
      </c>
      <c r="M21" s="527">
        <v>16.5</v>
      </c>
      <c r="N21" s="532">
        <f t="shared" si="7"/>
        <v>0.0825</v>
      </c>
      <c r="O21" s="532">
        <f t="shared" si="8"/>
        <v>29.7285</v>
      </c>
      <c r="P21" s="80">
        <f t="shared" si="8"/>
        <v>29.7085</v>
      </c>
      <c r="Q21" s="532">
        <f t="shared" si="1"/>
        <v>29.626</v>
      </c>
      <c r="R21" s="164">
        <f t="shared" si="2"/>
        <v>29.606</v>
      </c>
      <c r="S21" s="60"/>
      <c r="U21" s="95"/>
      <c r="V21" s="97"/>
    </row>
    <row r="22" spans="2:22" ht="19.5" customHeight="1">
      <c r="B22" s="53"/>
      <c r="C22" s="848" t="s">
        <v>467</v>
      </c>
      <c r="D22" s="849" t="s">
        <v>468</v>
      </c>
      <c r="E22" s="849"/>
      <c r="F22" s="527">
        <f>+F21+30</f>
        <v>87</v>
      </c>
      <c r="G22" s="78">
        <f t="shared" si="3"/>
        <v>4.042793470487585</v>
      </c>
      <c r="H22" s="527">
        <v>4</v>
      </c>
      <c r="I22" s="527">
        <v>0.5</v>
      </c>
      <c r="J22" s="72">
        <f t="shared" si="4"/>
        <v>5.51</v>
      </c>
      <c r="K22" s="72">
        <f t="shared" si="5"/>
        <v>0.68</v>
      </c>
      <c r="L22" s="80">
        <f t="shared" si="6"/>
        <v>0.73</v>
      </c>
      <c r="M22" s="527">
        <v>9.5</v>
      </c>
      <c r="N22" s="532">
        <f t="shared" si="7"/>
        <v>0.0475</v>
      </c>
      <c r="O22" s="532">
        <f t="shared" si="8"/>
        <v>29.626</v>
      </c>
      <c r="P22" s="80">
        <f t="shared" si="8"/>
        <v>29.606</v>
      </c>
      <c r="Q22" s="532">
        <f t="shared" si="1"/>
        <v>29.558500000000002</v>
      </c>
      <c r="R22" s="164">
        <f t="shared" si="2"/>
        <v>29.538500000000003</v>
      </c>
      <c r="S22" s="60"/>
      <c r="U22" s="95"/>
      <c r="V22" s="97"/>
    </row>
    <row r="23" spans="2:22" ht="19.5" customHeight="1">
      <c r="B23" s="53"/>
      <c r="C23" s="848" t="s">
        <v>468</v>
      </c>
      <c r="D23" s="849" t="s">
        <v>469</v>
      </c>
      <c r="E23" s="849"/>
      <c r="F23" s="527">
        <f>+F22+20</f>
        <v>107</v>
      </c>
      <c r="G23" s="78">
        <f t="shared" si="3"/>
        <v>4.409219820066464</v>
      </c>
      <c r="H23" s="527">
        <v>4</v>
      </c>
      <c r="I23" s="527">
        <v>0.5</v>
      </c>
      <c r="J23" s="72">
        <f t="shared" si="4"/>
        <v>5.51</v>
      </c>
      <c r="K23" s="72">
        <f t="shared" si="5"/>
        <v>0.68</v>
      </c>
      <c r="L23" s="80">
        <f t="shared" si="6"/>
        <v>0.8</v>
      </c>
      <c r="M23" s="527">
        <v>8.9</v>
      </c>
      <c r="N23" s="532">
        <f t="shared" si="7"/>
        <v>0.044500000000000005</v>
      </c>
      <c r="O23" s="532">
        <f t="shared" si="8"/>
        <v>29.558500000000002</v>
      </c>
      <c r="P23" s="80">
        <f t="shared" si="8"/>
        <v>29.538500000000003</v>
      </c>
      <c r="Q23" s="532">
        <f t="shared" si="1"/>
        <v>29.494000000000003</v>
      </c>
      <c r="R23" s="164">
        <f t="shared" si="2"/>
        <v>29.474000000000004</v>
      </c>
      <c r="S23" s="60"/>
      <c r="U23" s="95"/>
      <c r="V23" s="97"/>
    </row>
    <row r="24" spans="2:22" ht="19.5" customHeight="1">
      <c r="B24" s="53"/>
      <c r="C24" s="848" t="s">
        <v>469</v>
      </c>
      <c r="D24" s="849" t="s">
        <v>463</v>
      </c>
      <c r="E24" s="849"/>
      <c r="F24" s="527">
        <f>+F23+30</f>
        <v>137</v>
      </c>
      <c r="G24" s="78">
        <f t="shared" si="3"/>
        <v>4.8906667024779</v>
      </c>
      <c r="H24" s="527">
        <v>6</v>
      </c>
      <c r="I24" s="527">
        <v>0.5</v>
      </c>
      <c r="J24" s="72">
        <f t="shared" si="4"/>
        <v>16.23</v>
      </c>
      <c r="K24" s="72">
        <f t="shared" si="5"/>
        <v>0.89</v>
      </c>
      <c r="L24" s="80">
        <f t="shared" si="6"/>
        <v>0.3</v>
      </c>
      <c r="M24" s="527">
        <v>13.5</v>
      </c>
      <c r="N24" s="532">
        <f t="shared" si="7"/>
        <v>0.0675</v>
      </c>
      <c r="O24" s="532">
        <f t="shared" si="8"/>
        <v>29.494000000000003</v>
      </c>
      <c r="P24" s="80">
        <f t="shared" si="8"/>
        <v>29.474000000000004</v>
      </c>
      <c r="Q24" s="532">
        <f t="shared" si="1"/>
        <v>29.406500000000005</v>
      </c>
      <c r="R24" s="164">
        <f>+R18</f>
        <v>29.033000000000005</v>
      </c>
      <c r="S24" s="60"/>
      <c r="U24" s="95"/>
      <c r="V24" s="97"/>
    </row>
    <row r="25" spans="2:22" ht="19.5" customHeight="1">
      <c r="B25" s="53"/>
      <c r="C25" s="848" t="s">
        <v>463</v>
      </c>
      <c r="D25" s="849" t="s">
        <v>470</v>
      </c>
      <c r="E25" s="849"/>
      <c r="F25" s="527">
        <f>+F24+F18</f>
        <v>204</v>
      </c>
      <c r="G25" s="78">
        <f t="shared" si="3"/>
        <v>5.779217803356009</v>
      </c>
      <c r="H25" s="527">
        <v>6</v>
      </c>
      <c r="I25" s="527">
        <v>0.5</v>
      </c>
      <c r="J25" s="72">
        <f t="shared" si="4"/>
        <v>16.23</v>
      </c>
      <c r="K25" s="72">
        <f t="shared" si="5"/>
        <v>0.89</v>
      </c>
      <c r="L25" s="80">
        <f t="shared" si="6"/>
        <v>0.36</v>
      </c>
      <c r="M25" s="527">
        <v>9.2</v>
      </c>
      <c r="N25" s="532">
        <f t="shared" si="7"/>
        <v>0.046</v>
      </c>
      <c r="O25" s="532">
        <v>29.05</v>
      </c>
      <c r="P25" s="164">
        <f>+O25-0.02</f>
        <v>29.03</v>
      </c>
      <c r="Q25" s="532">
        <f t="shared" si="1"/>
        <v>28.984</v>
      </c>
      <c r="R25" s="164">
        <f>+Q25-0.02</f>
        <v>28.964000000000002</v>
      </c>
      <c r="S25" s="60"/>
      <c r="U25" s="95"/>
      <c r="V25" s="97"/>
    </row>
    <row r="26" spans="2:22" ht="19.5" customHeight="1">
      <c r="B26" s="53"/>
      <c r="C26" s="848" t="s">
        <v>471</v>
      </c>
      <c r="D26" s="850">
        <v>17</v>
      </c>
      <c r="E26" s="850" t="s">
        <v>476</v>
      </c>
      <c r="F26" s="527">
        <v>19</v>
      </c>
      <c r="G26" s="78">
        <f t="shared" si="3"/>
        <v>2.190982867167177</v>
      </c>
      <c r="H26" s="527">
        <v>4</v>
      </c>
      <c r="I26" s="527">
        <v>0.5</v>
      </c>
      <c r="J26" s="72">
        <f t="shared" si="4"/>
        <v>5.51</v>
      </c>
      <c r="K26" s="72">
        <f t="shared" si="5"/>
        <v>0.68</v>
      </c>
      <c r="L26" s="80">
        <f t="shared" si="6"/>
        <v>0.4</v>
      </c>
      <c r="M26" s="527">
        <v>5.2</v>
      </c>
      <c r="N26" s="532">
        <f t="shared" si="7"/>
        <v>0.026000000000000002</v>
      </c>
      <c r="O26" s="852">
        <v>29.8</v>
      </c>
      <c r="P26" s="853">
        <v>29.7</v>
      </c>
      <c r="Q26" s="852">
        <f t="shared" si="1"/>
        <v>29.674</v>
      </c>
      <c r="R26" s="854">
        <f>+Q26-0.02</f>
        <v>29.654</v>
      </c>
      <c r="S26" s="60"/>
      <c r="U26" s="95"/>
      <c r="V26" s="97"/>
    </row>
    <row r="27" spans="2:22" ht="19.5" customHeight="1">
      <c r="B27" s="53"/>
      <c r="C27" s="848" t="s">
        <v>472</v>
      </c>
      <c r="D27" s="849" t="s">
        <v>473</v>
      </c>
      <c r="E27" s="849"/>
      <c r="F27" s="527">
        <f>+F26+5</f>
        <v>24</v>
      </c>
      <c r="G27" s="78">
        <f t="shared" si="3"/>
        <v>2.3880106972065067</v>
      </c>
      <c r="H27" s="527">
        <v>4</v>
      </c>
      <c r="I27" s="527">
        <v>0.5</v>
      </c>
      <c r="J27" s="72">
        <f t="shared" si="4"/>
        <v>5.51</v>
      </c>
      <c r="K27" s="72">
        <f t="shared" si="5"/>
        <v>0.68</v>
      </c>
      <c r="L27" s="80">
        <f t="shared" si="6"/>
        <v>0.43</v>
      </c>
      <c r="M27" s="527">
        <v>27.5</v>
      </c>
      <c r="N27" s="532">
        <f t="shared" si="7"/>
        <v>0.1375</v>
      </c>
      <c r="O27" s="532">
        <f>+Q26</f>
        <v>29.674</v>
      </c>
      <c r="P27" s="80">
        <f>+R26</f>
        <v>29.654</v>
      </c>
      <c r="Q27" s="532">
        <f t="shared" si="1"/>
        <v>29.5165</v>
      </c>
      <c r="R27" s="164">
        <f>+Q27-0.02</f>
        <v>29.4965</v>
      </c>
      <c r="S27" s="60"/>
      <c r="U27" s="95"/>
      <c r="V27" s="97"/>
    </row>
    <row r="28" spans="2:22" ht="19.5" customHeight="1">
      <c r="B28" s="53"/>
      <c r="C28" s="848" t="s">
        <v>473</v>
      </c>
      <c r="D28" s="849" t="s">
        <v>470</v>
      </c>
      <c r="E28" s="849"/>
      <c r="F28" s="527">
        <f>+F27+22</f>
        <v>46</v>
      </c>
      <c r="G28" s="78">
        <f t="shared" si="3"/>
        <v>3.0948206913552543</v>
      </c>
      <c r="H28" s="527">
        <v>4</v>
      </c>
      <c r="I28" s="527">
        <v>0.5</v>
      </c>
      <c r="J28" s="72">
        <f t="shared" si="4"/>
        <v>5.51</v>
      </c>
      <c r="K28" s="72">
        <f t="shared" si="5"/>
        <v>0.68</v>
      </c>
      <c r="L28" s="80">
        <f t="shared" si="6"/>
        <v>0.56</v>
      </c>
      <c r="M28" s="527">
        <v>16</v>
      </c>
      <c r="N28" s="532">
        <f t="shared" si="7"/>
        <v>0.08</v>
      </c>
      <c r="O28" s="532">
        <f>+Q27</f>
        <v>29.5165</v>
      </c>
      <c r="P28" s="80">
        <f>+R27</f>
        <v>29.4965</v>
      </c>
      <c r="Q28" s="532">
        <f t="shared" si="1"/>
        <v>29.416500000000003</v>
      </c>
      <c r="R28" s="164">
        <v>28.96</v>
      </c>
      <c r="S28" s="60"/>
      <c r="U28" s="95"/>
      <c r="V28" s="97"/>
    </row>
    <row r="29" spans="2:22" ht="19.5" customHeight="1">
      <c r="B29" s="53"/>
      <c r="C29" s="848" t="s">
        <v>470</v>
      </c>
      <c r="D29" s="849" t="s">
        <v>474</v>
      </c>
      <c r="E29" s="849"/>
      <c r="F29" s="527">
        <f>+F25+F28</f>
        <v>250</v>
      </c>
      <c r="G29" s="78">
        <f t="shared" si="3"/>
        <v>6.5493</v>
      </c>
      <c r="H29" s="527">
        <v>6</v>
      </c>
      <c r="I29" s="527">
        <v>0.5</v>
      </c>
      <c r="J29" s="72">
        <f t="shared" si="4"/>
        <v>16.23</v>
      </c>
      <c r="K29" s="72">
        <f t="shared" si="5"/>
        <v>0.89</v>
      </c>
      <c r="L29" s="80">
        <f t="shared" si="6"/>
        <v>0.4</v>
      </c>
      <c r="M29" s="527"/>
      <c r="N29" s="532"/>
      <c r="O29" s="532"/>
      <c r="P29" s="80"/>
      <c r="Q29" s="532"/>
      <c r="R29" s="164"/>
      <c r="S29" s="60"/>
      <c r="U29" s="95"/>
      <c r="V29" s="97"/>
    </row>
    <row r="30" spans="2:22" ht="19.5" customHeight="1">
      <c r="B30" s="53"/>
      <c r="C30" s="529"/>
      <c r="D30" s="544"/>
      <c r="E30" s="544"/>
      <c r="F30" s="527"/>
      <c r="G30" s="80"/>
      <c r="H30" s="527"/>
      <c r="I30" s="527"/>
      <c r="J30" s="72"/>
      <c r="K30" s="72"/>
      <c r="L30" s="80"/>
      <c r="M30" s="527"/>
      <c r="N30" s="542"/>
      <c r="O30" s="839"/>
      <c r="P30" s="206"/>
      <c r="Q30" s="543"/>
      <c r="R30" s="346"/>
      <c r="S30" s="60"/>
      <c r="U30" s="97"/>
      <c r="V30" s="97"/>
    </row>
    <row r="31" spans="2:19" ht="13.5" customHeight="1" thickBot="1">
      <c r="B31" s="53"/>
      <c r="C31" s="170"/>
      <c r="D31" s="578"/>
      <c r="E31" s="578"/>
      <c r="F31" s="579"/>
      <c r="G31" s="580"/>
      <c r="H31" s="579"/>
      <c r="I31" s="579"/>
      <c r="J31" s="579"/>
      <c r="K31" s="579"/>
      <c r="L31" s="580"/>
      <c r="M31" s="579"/>
      <c r="N31" s="579"/>
      <c r="O31" s="579"/>
      <c r="P31" s="579"/>
      <c r="Q31" s="580"/>
      <c r="R31" s="581"/>
      <c r="S31" s="60"/>
    </row>
    <row r="32" spans="2:19" s="89" customFormat="1" ht="12" customHeight="1" thickBot="1">
      <c r="B32" s="86"/>
      <c r="C32" s="309"/>
      <c r="D32" s="309"/>
      <c r="E32" s="309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182"/>
      <c r="R32" s="182"/>
      <c r="S32" s="88"/>
    </row>
    <row r="33" spans="3:18" s="89" customFormat="1" ht="14.25">
      <c r="C33" s="347"/>
      <c r="D33" s="347"/>
      <c r="E33" s="347"/>
      <c r="Q33" s="185"/>
      <c r="R33" s="185"/>
    </row>
    <row r="34" spans="3:18" s="89" customFormat="1" ht="14.25">
      <c r="C34" s="347"/>
      <c r="D34" s="347"/>
      <c r="E34" s="347"/>
      <c r="Q34" s="185"/>
      <c r="R34" s="185"/>
    </row>
    <row r="35" spans="3:18" s="89" customFormat="1" ht="14.25">
      <c r="C35" s="347"/>
      <c r="D35" s="347"/>
      <c r="E35" s="347"/>
      <c r="Q35" s="185"/>
      <c r="R35" s="185"/>
    </row>
    <row r="36" spans="3:18" s="89" customFormat="1" ht="14.25">
      <c r="C36" s="347"/>
      <c r="D36" s="347"/>
      <c r="E36" s="347"/>
      <c r="Q36" s="185"/>
      <c r="R36" s="185"/>
    </row>
    <row r="37" spans="3:18" s="89" customFormat="1" ht="14.25">
      <c r="C37" s="347"/>
      <c r="D37" s="347"/>
      <c r="E37" s="347"/>
      <c r="Q37" s="185"/>
      <c r="R37" s="185"/>
    </row>
    <row r="38" spans="3:18" s="89" customFormat="1" ht="14.25">
      <c r="C38" s="347"/>
      <c r="D38" s="347"/>
      <c r="E38" s="347"/>
      <c r="Q38" s="185"/>
      <c r="R38" s="185"/>
    </row>
    <row r="39" spans="3:18" s="89" customFormat="1" ht="14.25">
      <c r="C39" s="347"/>
      <c r="D39" s="347"/>
      <c r="E39" s="347"/>
      <c r="Q39" s="185"/>
      <c r="R39" s="185"/>
    </row>
    <row r="40" spans="3:18" s="89" customFormat="1" ht="14.25">
      <c r="C40" s="347"/>
      <c r="D40" s="347"/>
      <c r="E40" s="347"/>
      <c r="Q40" s="185"/>
      <c r="R40" s="185"/>
    </row>
    <row r="41" spans="3:18" s="89" customFormat="1" ht="14.25">
      <c r="C41" s="347"/>
      <c r="D41" s="347"/>
      <c r="E41" s="347"/>
      <c r="Q41" s="185"/>
      <c r="R41" s="185"/>
    </row>
    <row r="42" spans="3:18" s="89" customFormat="1" ht="14.25">
      <c r="C42" s="347"/>
      <c r="D42" s="347"/>
      <c r="E42" s="347"/>
      <c r="Q42" s="185"/>
      <c r="R42" s="185"/>
    </row>
    <row r="43" spans="3:18" s="89" customFormat="1" ht="14.25">
      <c r="C43" s="347"/>
      <c r="D43" s="347"/>
      <c r="E43" s="347"/>
      <c r="Q43" s="185"/>
      <c r="R43" s="185"/>
    </row>
    <row r="44" spans="3:18" s="89" customFormat="1" ht="14.25">
      <c r="C44" s="347"/>
      <c r="D44" s="347"/>
      <c r="E44" s="347"/>
      <c r="Q44" s="185"/>
      <c r="R44" s="185"/>
    </row>
    <row r="45" spans="3:18" s="89" customFormat="1" ht="14.25">
      <c r="C45" s="347"/>
      <c r="D45" s="347"/>
      <c r="E45" s="347"/>
      <c r="Q45" s="185"/>
      <c r="R45" s="185"/>
    </row>
    <row r="46" spans="3:18" s="89" customFormat="1" ht="14.25">
      <c r="C46" s="347"/>
      <c r="D46" s="347"/>
      <c r="E46" s="347"/>
      <c r="Q46" s="185"/>
      <c r="R46" s="185"/>
    </row>
    <row r="47" spans="3:18" s="89" customFormat="1" ht="14.25">
      <c r="C47" s="347"/>
      <c r="D47" s="347"/>
      <c r="E47" s="347"/>
      <c r="Q47" s="185"/>
      <c r="R47" s="185"/>
    </row>
    <row r="48" spans="3:18" s="89" customFormat="1" ht="14.25">
      <c r="C48" s="347"/>
      <c r="D48" s="347"/>
      <c r="E48" s="347"/>
      <c r="Q48" s="185"/>
      <c r="R48" s="185"/>
    </row>
    <row r="49" spans="3:18" s="89" customFormat="1" ht="14.25">
      <c r="C49" s="347"/>
      <c r="D49" s="347"/>
      <c r="E49" s="347"/>
      <c r="Q49" s="185"/>
      <c r="R49" s="185"/>
    </row>
    <row r="50" spans="3:18" s="89" customFormat="1" ht="14.25">
      <c r="C50" s="347"/>
      <c r="D50" s="347"/>
      <c r="E50" s="347"/>
      <c r="Q50" s="185"/>
      <c r="R50" s="185"/>
    </row>
    <row r="51" spans="3:18" s="89" customFormat="1" ht="14.25">
      <c r="C51" s="347"/>
      <c r="D51" s="347"/>
      <c r="E51" s="347"/>
      <c r="Q51" s="185"/>
      <c r="R51" s="185"/>
    </row>
    <row r="52" spans="3:18" s="89" customFormat="1" ht="14.25">
      <c r="C52" s="347"/>
      <c r="D52" s="347"/>
      <c r="E52" s="347"/>
      <c r="Q52" s="185"/>
      <c r="R52" s="185"/>
    </row>
    <row r="53" spans="3:18" s="89" customFormat="1" ht="14.25">
      <c r="C53" s="347"/>
      <c r="D53" s="347"/>
      <c r="E53" s="347"/>
      <c r="Q53" s="185"/>
      <c r="R53" s="185"/>
    </row>
    <row r="54" spans="3:18" s="89" customFormat="1" ht="14.25">
      <c r="C54" s="347"/>
      <c r="D54" s="347"/>
      <c r="E54" s="347"/>
      <c r="Q54" s="185"/>
      <c r="R54" s="185"/>
    </row>
    <row r="55" spans="3:18" s="89" customFormat="1" ht="14.25">
      <c r="C55" s="347"/>
      <c r="D55" s="347"/>
      <c r="E55" s="347"/>
      <c r="Q55" s="185"/>
      <c r="R55" s="185"/>
    </row>
    <row r="56" spans="3:18" s="89" customFormat="1" ht="14.25">
      <c r="C56" s="347"/>
      <c r="D56" s="347"/>
      <c r="E56" s="347"/>
      <c r="Q56" s="185"/>
      <c r="R56" s="185"/>
    </row>
    <row r="57" spans="3:18" s="89" customFormat="1" ht="14.25">
      <c r="C57" s="347"/>
      <c r="D57" s="347"/>
      <c r="E57" s="347"/>
      <c r="Q57" s="185"/>
      <c r="R57" s="185"/>
    </row>
    <row r="58" spans="3:18" s="89" customFormat="1" ht="14.25">
      <c r="C58" s="347"/>
      <c r="D58" s="347"/>
      <c r="E58" s="347"/>
      <c r="Q58" s="185"/>
      <c r="R58" s="185"/>
    </row>
    <row r="59" spans="3:18" s="89" customFormat="1" ht="14.25">
      <c r="C59" s="347"/>
      <c r="D59" s="347"/>
      <c r="E59" s="347"/>
      <c r="Q59" s="185"/>
      <c r="R59" s="185"/>
    </row>
    <row r="60" spans="3:18" s="89" customFormat="1" ht="14.25">
      <c r="C60" s="347"/>
      <c r="D60" s="347"/>
      <c r="E60" s="347"/>
      <c r="Q60" s="185"/>
      <c r="R60" s="185"/>
    </row>
    <row r="61" spans="3:18" s="89" customFormat="1" ht="14.25">
      <c r="C61" s="347"/>
      <c r="D61" s="347"/>
      <c r="E61" s="347"/>
      <c r="Q61" s="185"/>
      <c r="R61" s="185"/>
    </row>
    <row r="62" spans="3:18" s="89" customFormat="1" ht="14.25">
      <c r="C62" s="347"/>
      <c r="D62" s="347"/>
      <c r="E62" s="347"/>
      <c r="Q62" s="185"/>
      <c r="R62" s="185"/>
    </row>
    <row r="63" spans="3:18" s="89" customFormat="1" ht="14.25">
      <c r="C63" s="347"/>
      <c r="D63" s="347"/>
      <c r="E63" s="347"/>
      <c r="Q63" s="185"/>
      <c r="R63" s="185"/>
    </row>
    <row r="64" spans="3:18" s="89" customFormat="1" ht="14.25">
      <c r="C64" s="347"/>
      <c r="D64" s="347"/>
      <c r="E64" s="347"/>
      <c r="Q64" s="185"/>
      <c r="R64" s="185"/>
    </row>
    <row r="65" spans="3:18" s="89" customFormat="1" ht="14.25">
      <c r="C65" s="347"/>
      <c r="D65" s="347"/>
      <c r="E65" s="347"/>
      <c r="Q65" s="185"/>
      <c r="R65" s="185"/>
    </row>
    <row r="66" spans="3:18" s="89" customFormat="1" ht="14.25">
      <c r="C66" s="347"/>
      <c r="D66" s="347"/>
      <c r="E66" s="347"/>
      <c r="Q66" s="185"/>
      <c r="R66" s="185"/>
    </row>
    <row r="67" spans="3:18" s="89" customFormat="1" ht="14.25">
      <c r="C67" s="347"/>
      <c r="D67" s="347"/>
      <c r="E67" s="347"/>
      <c r="Q67" s="185"/>
      <c r="R67" s="185"/>
    </row>
    <row r="68" spans="3:18" s="89" customFormat="1" ht="14.25">
      <c r="C68" s="347"/>
      <c r="D68" s="347"/>
      <c r="E68" s="347"/>
      <c r="Q68" s="185"/>
      <c r="R68" s="185"/>
    </row>
    <row r="69" spans="3:18" s="89" customFormat="1" ht="14.25">
      <c r="C69" s="347"/>
      <c r="D69" s="347"/>
      <c r="E69" s="347"/>
      <c r="Q69" s="185"/>
      <c r="R69" s="185"/>
    </row>
    <row r="70" spans="3:18" s="89" customFormat="1" ht="14.25">
      <c r="C70" s="347"/>
      <c r="D70" s="347"/>
      <c r="E70" s="347"/>
      <c r="Q70" s="185"/>
      <c r="R70" s="185"/>
    </row>
    <row r="71" spans="3:18" s="89" customFormat="1" ht="14.25">
      <c r="C71" s="347"/>
      <c r="D71" s="347"/>
      <c r="E71" s="347"/>
      <c r="Q71" s="185"/>
      <c r="R71" s="185"/>
    </row>
    <row r="72" spans="3:18" s="89" customFormat="1" ht="14.25">
      <c r="C72" s="347"/>
      <c r="D72" s="347"/>
      <c r="E72" s="347"/>
      <c r="Q72" s="185"/>
      <c r="R72" s="185"/>
    </row>
    <row r="73" spans="3:18" s="89" customFormat="1" ht="14.25">
      <c r="C73" s="347"/>
      <c r="D73" s="347"/>
      <c r="E73" s="347"/>
      <c r="Q73" s="185"/>
      <c r="R73" s="185"/>
    </row>
    <row r="74" spans="3:18" s="89" customFormat="1" ht="14.25">
      <c r="C74" s="347"/>
      <c r="D74" s="347"/>
      <c r="E74" s="347"/>
      <c r="Q74" s="185"/>
      <c r="R74" s="185"/>
    </row>
    <row r="75" spans="3:18" s="89" customFormat="1" ht="14.25">
      <c r="C75" s="347"/>
      <c r="D75" s="347"/>
      <c r="E75" s="347"/>
      <c r="Q75" s="185"/>
      <c r="R75" s="185"/>
    </row>
    <row r="76" spans="3:18" s="89" customFormat="1" ht="14.25">
      <c r="C76" s="347"/>
      <c r="D76" s="347"/>
      <c r="E76" s="347"/>
      <c r="K76" s="348"/>
      <c r="Q76" s="185"/>
      <c r="R76" s="185"/>
    </row>
    <row r="77" spans="3:18" s="89" customFormat="1" ht="14.25">
      <c r="C77" s="347"/>
      <c r="D77" s="347"/>
      <c r="E77" s="347"/>
      <c r="Q77" s="185"/>
      <c r="R77" s="185"/>
    </row>
    <row r="78" spans="3:18" s="89" customFormat="1" ht="14.25">
      <c r="C78" s="347"/>
      <c r="D78" s="347"/>
      <c r="E78" s="347"/>
      <c r="L78" s="185"/>
      <c r="Q78" s="185"/>
      <c r="R78" s="185"/>
    </row>
    <row r="79" spans="3:18" s="89" customFormat="1" ht="14.25">
      <c r="C79" s="347"/>
      <c r="D79" s="347"/>
      <c r="E79" s="347"/>
      <c r="Q79" s="185"/>
      <c r="R79" s="185"/>
    </row>
    <row r="80" spans="3:18" s="89" customFormat="1" ht="14.25">
      <c r="C80" s="347"/>
      <c r="D80" s="347"/>
      <c r="E80" s="347"/>
      <c r="Q80" s="185"/>
      <c r="R80" s="185"/>
    </row>
    <row r="81" spans="3:18" s="89" customFormat="1" ht="14.25">
      <c r="C81" s="347"/>
      <c r="D81" s="347"/>
      <c r="E81" s="347"/>
      <c r="Q81" s="185"/>
      <c r="R81" s="185"/>
    </row>
    <row r="82" spans="3:18" s="89" customFormat="1" ht="14.25" customHeight="1">
      <c r="C82" s="347"/>
      <c r="D82" s="347"/>
      <c r="E82" s="347"/>
      <c r="Q82" s="185"/>
      <c r="R82" s="185"/>
    </row>
    <row r="83" spans="3:18" s="89" customFormat="1" ht="14.25">
      <c r="C83" s="347"/>
      <c r="D83" s="347"/>
      <c r="E83" s="347"/>
      <c r="Q83" s="185"/>
      <c r="R83" s="185"/>
    </row>
    <row r="84" spans="3:18" s="89" customFormat="1" ht="14.25" customHeight="1">
      <c r="C84" s="347"/>
      <c r="D84" s="347"/>
      <c r="E84" s="347"/>
      <c r="Q84" s="185"/>
      <c r="R84" s="185"/>
    </row>
    <row r="85" spans="3:18" s="89" customFormat="1" ht="14.25" customHeight="1">
      <c r="C85" s="347"/>
      <c r="D85" s="347"/>
      <c r="E85" s="347"/>
      <c r="Q85" s="185"/>
      <c r="R85" s="185"/>
    </row>
    <row r="86" spans="3:18" s="89" customFormat="1" ht="14.25" customHeight="1">
      <c r="C86" s="347"/>
      <c r="D86" s="347"/>
      <c r="E86" s="347"/>
      <c r="Q86" s="185"/>
      <c r="R86" s="185"/>
    </row>
    <row r="87" spans="3:18" s="89" customFormat="1" ht="14.25" customHeight="1">
      <c r="C87" s="347"/>
      <c r="D87" s="347"/>
      <c r="E87" s="347"/>
      <c r="Q87" s="185"/>
      <c r="R87" s="185"/>
    </row>
    <row r="88" spans="3:18" s="89" customFormat="1" ht="14.25" customHeight="1">
      <c r="C88" s="347"/>
      <c r="D88" s="347"/>
      <c r="E88" s="347"/>
      <c r="Q88" s="185"/>
      <c r="R88" s="185"/>
    </row>
    <row r="89" spans="3:18" s="89" customFormat="1" ht="14.25">
      <c r="C89" s="347"/>
      <c r="D89" s="347"/>
      <c r="E89" s="347"/>
      <c r="Q89" s="185"/>
      <c r="R89" s="185"/>
    </row>
    <row r="90" spans="3:18" s="91" customFormat="1" ht="15" customHeight="1">
      <c r="C90" s="349"/>
      <c r="D90" s="349"/>
      <c r="E90" s="349"/>
      <c r="Q90" s="350"/>
      <c r="R90" s="350"/>
    </row>
    <row r="91" spans="3:18" s="89" customFormat="1" ht="14.25" customHeight="1">
      <c r="C91" s="347"/>
      <c r="D91" s="347"/>
      <c r="E91" s="347"/>
      <c r="Q91" s="185"/>
      <c r="R91" s="185"/>
    </row>
    <row r="92" spans="3:18" s="89" customFormat="1" ht="14.25" customHeight="1">
      <c r="C92" s="347"/>
      <c r="D92" s="347"/>
      <c r="E92" s="347"/>
      <c r="Q92" s="185"/>
      <c r="R92" s="185"/>
    </row>
    <row r="93" spans="3:18" s="89" customFormat="1" ht="14.25" customHeight="1">
      <c r="C93" s="347"/>
      <c r="D93" s="347"/>
      <c r="E93" s="347"/>
      <c r="Q93" s="185"/>
      <c r="R93" s="185"/>
    </row>
    <row r="94" spans="3:18" s="89" customFormat="1" ht="14.25" customHeight="1">
      <c r="C94" s="347"/>
      <c r="D94" s="347"/>
      <c r="E94" s="347"/>
      <c r="Q94" s="185"/>
      <c r="R94" s="185"/>
    </row>
    <row r="95" spans="3:18" s="89" customFormat="1" ht="14.25" customHeight="1">
      <c r="C95" s="347"/>
      <c r="D95" s="347"/>
      <c r="E95" s="347"/>
      <c r="Q95" s="185"/>
      <c r="R95" s="185"/>
    </row>
    <row r="96" spans="3:18" s="89" customFormat="1" ht="14.25" customHeight="1">
      <c r="C96" s="347"/>
      <c r="D96" s="347"/>
      <c r="E96" s="347"/>
      <c r="Q96" s="185"/>
      <c r="R96" s="185"/>
    </row>
    <row r="97" spans="3:18" s="89" customFormat="1" ht="14.25">
      <c r="C97" s="347"/>
      <c r="D97" s="347"/>
      <c r="E97" s="347"/>
      <c r="Q97" s="185"/>
      <c r="R97" s="185"/>
    </row>
    <row r="98" spans="3:18" s="89" customFormat="1" ht="14.25">
      <c r="C98" s="347"/>
      <c r="D98" s="347"/>
      <c r="E98" s="347"/>
      <c r="Q98" s="185"/>
      <c r="R98" s="185"/>
    </row>
    <row r="99" spans="3:18" s="89" customFormat="1" ht="14.25">
      <c r="C99" s="347"/>
      <c r="D99" s="347"/>
      <c r="E99" s="347"/>
      <c r="Q99" s="185"/>
      <c r="R99" s="185"/>
    </row>
    <row r="100" spans="3:18" s="89" customFormat="1" ht="14.25">
      <c r="C100" s="347"/>
      <c r="D100" s="347"/>
      <c r="E100" s="347"/>
      <c r="Q100" s="185"/>
      <c r="R100" s="185"/>
    </row>
    <row r="101" spans="3:18" s="89" customFormat="1" ht="14.25">
      <c r="C101" s="347"/>
      <c r="D101" s="347"/>
      <c r="E101" s="347"/>
      <c r="Q101" s="185"/>
      <c r="R101" s="185"/>
    </row>
    <row r="102" spans="3:18" s="89" customFormat="1" ht="14.25">
      <c r="C102" s="347"/>
      <c r="D102" s="347"/>
      <c r="E102" s="347"/>
      <c r="Q102" s="185"/>
      <c r="R102" s="185"/>
    </row>
    <row r="103" spans="3:18" s="89" customFormat="1" ht="14.25">
      <c r="C103" s="347"/>
      <c r="D103" s="347"/>
      <c r="E103" s="347"/>
      <c r="Q103" s="185"/>
      <c r="R103" s="185"/>
    </row>
    <row r="104" spans="3:18" s="89" customFormat="1" ht="14.25">
      <c r="C104" s="347"/>
      <c r="D104" s="347"/>
      <c r="E104" s="347"/>
      <c r="Q104" s="185"/>
      <c r="R104" s="185"/>
    </row>
    <row r="105" spans="3:18" s="89" customFormat="1" ht="14.25">
      <c r="C105" s="347"/>
      <c r="D105" s="347"/>
      <c r="E105" s="347"/>
      <c r="Q105" s="185"/>
      <c r="R105" s="185"/>
    </row>
    <row r="106" spans="3:18" s="89" customFormat="1" ht="14.25">
      <c r="C106" s="347"/>
      <c r="D106" s="347"/>
      <c r="E106" s="347"/>
      <c r="Q106" s="185"/>
      <c r="R106" s="185"/>
    </row>
    <row r="107" spans="3:18" s="89" customFormat="1" ht="14.25">
      <c r="C107" s="347"/>
      <c r="D107" s="347"/>
      <c r="E107" s="347"/>
      <c r="Q107" s="185"/>
      <c r="R107" s="185"/>
    </row>
    <row r="108" spans="3:18" s="89" customFormat="1" ht="14.25">
      <c r="C108" s="347"/>
      <c r="D108" s="347"/>
      <c r="E108" s="347"/>
      <c r="Q108" s="185"/>
      <c r="R108" s="185"/>
    </row>
    <row r="109" spans="3:18" s="89" customFormat="1" ht="14.25">
      <c r="C109" s="347"/>
      <c r="D109" s="347"/>
      <c r="E109" s="347"/>
      <c r="Q109" s="185"/>
      <c r="R109" s="185"/>
    </row>
    <row r="110" spans="3:18" s="89" customFormat="1" ht="14.25">
      <c r="C110" s="347"/>
      <c r="D110" s="347"/>
      <c r="E110" s="347"/>
      <c r="Q110" s="185"/>
      <c r="R110" s="185"/>
    </row>
    <row r="111" spans="3:18" s="89" customFormat="1" ht="14.25">
      <c r="C111" s="347"/>
      <c r="D111" s="347"/>
      <c r="E111" s="347"/>
      <c r="Q111" s="185"/>
      <c r="R111" s="185"/>
    </row>
    <row r="112" spans="3:18" s="89" customFormat="1" ht="14.25">
      <c r="C112" s="347"/>
      <c r="D112" s="347"/>
      <c r="E112" s="347"/>
      <c r="Q112" s="185"/>
      <c r="R112" s="185"/>
    </row>
    <row r="113" spans="3:18" s="89" customFormat="1" ht="14.25">
      <c r="C113" s="347"/>
      <c r="D113" s="347"/>
      <c r="E113" s="347"/>
      <c r="Q113" s="185"/>
      <c r="R113" s="185"/>
    </row>
    <row r="114" spans="3:18" s="89" customFormat="1" ht="14.25">
      <c r="C114" s="347"/>
      <c r="D114" s="347"/>
      <c r="E114" s="347"/>
      <c r="Q114" s="185"/>
      <c r="R114" s="185"/>
    </row>
    <row r="115" spans="3:18" s="89" customFormat="1" ht="14.25">
      <c r="C115" s="347"/>
      <c r="D115" s="347"/>
      <c r="E115" s="347"/>
      <c r="Q115" s="185"/>
      <c r="R115" s="185"/>
    </row>
    <row r="116" spans="3:18" s="89" customFormat="1" ht="14.25">
      <c r="C116" s="347"/>
      <c r="D116" s="347"/>
      <c r="E116" s="347"/>
      <c r="Q116" s="185"/>
      <c r="R116" s="185"/>
    </row>
    <row r="117" spans="3:18" s="89" customFormat="1" ht="14.25">
      <c r="C117" s="347"/>
      <c r="D117" s="347"/>
      <c r="E117" s="347"/>
      <c r="Q117" s="185"/>
      <c r="R117" s="185"/>
    </row>
    <row r="118" spans="3:18" s="89" customFormat="1" ht="14.25">
      <c r="C118" s="347"/>
      <c r="D118" s="347"/>
      <c r="E118" s="347"/>
      <c r="Q118" s="185"/>
      <c r="R118" s="185"/>
    </row>
    <row r="119" spans="3:18" s="89" customFormat="1" ht="14.25">
      <c r="C119" s="347"/>
      <c r="D119" s="347"/>
      <c r="E119" s="347"/>
      <c r="Q119" s="185"/>
      <c r="R119" s="185"/>
    </row>
    <row r="120" spans="3:18" s="89" customFormat="1" ht="14.25">
      <c r="C120" s="347"/>
      <c r="D120" s="347"/>
      <c r="E120" s="347"/>
      <c r="Q120" s="185"/>
      <c r="R120" s="185"/>
    </row>
    <row r="121" spans="3:18" s="89" customFormat="1" ht="14.25">
      <c r="C121" s="347"/>
      <c r="D121" s="347"/>
      <c r="E121" s="347"/>
      <c r="Q121" s="185"/>
      <c r="R121" s="185"/>
    </row>
    <row r="122" spans="3:18" s="89" customFormat="1" ht="14.25">
      <c r="C122" s="347"/>
      <c r="D122" s="347"/>
      <c r="E122" s="347"/>
      <c r="Q122" s="185"/>
      <c r="R122" s="185"/>
    </row>
    <row r="123" spans="3:18" s="89" customFormat="1" ht="14.25">
      <c r="C123" s="347"/>
      <c r="D123" s="347"/>
      <c r="E123" s="347"/>
      <c r="Q123" s="185"/>
      <c r="R123" s="185"/>
    </row>
    <row r="124" spans="3:18" s="89" customFormat="1" ht="14.25">
      <c r="C124" s="347"/>
      <c r="D124" s="347"/>
      <c r="E124" s="347"/>
      <c r="Q124" s="185"/>
      <c r="R124" s="185"/>
    </row>
    <row r="125" spans="3:18" s="89" customFormat="1" ht="14.25">
      <c r="C125" s="347"/>
      <c r="D125" s="347"/>
      <c r="E125" s="347"/>
      <c r="Q125" s="185"/>
      <c r="R125" s="185"/>
    </row>
    <row r="126" spans="3:18" s="89" customFormat="1" ht="14.25">
      <c r="C126" s="347"/>
      <c r="D126" s="347"/>
      <c r="E126" s="347"/>
      <c r="Q126" s="185"/>
      <c r="R126" s="185"/>
    </row>
    <row r="127" spans="3:18" s="89" customFormat="1" ht="14.25">
      <c r="C127" s="347"/>
      <c r="D127" s="347"/>
      <c r="E127" s="347"/>
      <c r="Q127" s="185"/>
      <c r="R127" s="185"/>
    </row>
    <row r="128" spans="3:18" s="89" customFormat="1" ht="14.25">
      <c r="C128" s="347"/>
      <c r="D128" s="347"/>
      <c r="E128" s="347"/>
      <c r="Q128" s="185"/>
      <c r="R128" s="185"/>
    </row>
    <row r="129" spans="3:18" s="89" customFormat="1" ht="14.25">
      <c r="C129" s="347"/>
      <c r="D129" s="347"/>
      <c r="E129" s="347"/>
      <c r="Q129" s="185"/>
      <c r="R129" s="185"/>
    </row>
    <row r="130" spans="3:18" s="89" customFormat="1" ht="14.25">
      <c r="C130" s="347"/>
      <c r="D130" s="347"/>
      <c r="E130" s="347"/>
      <c r="Q130" s="185"/>
      <c r="R130" s="185"/>
    </row>
    <row r="132" spans="3:18" s="193" customFormat="1" ht="12.75">
      <c r="C132" s="351"/>
      <c r="D132" s="351"/>
      <c r="E132" s="351"/>
      <c r="Q132" s="191"/>
      <c r="R132" s="191"/>
    </row>
    <row r="133" spans="3:18" s="199" customFormat="1" ht="15">
      <c r="C133" s="352"/>
      <c r="D133" s="352"/>
      <c r="E133" s="352"/>
      <c r="Q133" s="197"/>
      <c r="R133" s="197"/>
    </row>
  </sheetData>
  <sheetProtection/>
  <mergeCells count="5">
    <mergeCell ref="C11:R11"/>
    <mergeCell ref="O8:P8"/>
    <mergeCell ref="Q8:R8"/>
    <mergeCell ref="C8:D8"/>
    <mergeCell ref="E8:E9"/>
  </mergeCells>
  <printOptions horizontalCentered="1"/>
  <pageMargins left="0.7480314960629921" right="0.3937007874015748" top="0.7086614173228347" bottom="0.5511811023622047" header="0" footer="0"/>
  <pageSetup horizontalDpi="600" verticalDpi="600" orientation="landscape" scale="6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Q131"/>
  <sheetViews>
    <sheetView tabSelected="1" view="pageBreakPreview" zoomScale="70" zoomScaleNormal="115" zoomScaleSheetLayoutView="70" zoomScalePageLayoutView="0" workbookViewId="0" topLeftCell="A1">
      <selection activeCell="V20" sqref="V20"/>
    </sheetView>
  </sheetViews>
  <sheetFormatPr defaultColWidth="12.7109375" defaultRowHeight="12.75"/>
  <cols>
    <col min="1" max="1" width="2.00390625" style="4" customWidth="1"/>
    <col min="2" max="2" width="11.140625" style="4" customWidth="1"/>
    <col min="3" max="3" width="13.8515625" style="4" customWidth="1"/>
    <col min="4" max="4" width="12.28125" style="4" customWidth="1"/>
    <col min="5" max="5" width="12.00390625" style="27" customWidth="1"/>
    <col min="6" max="6" width="11.00390625" style="4" customWidth="1"/>
    <col min="7" max="7" width="13.00390625" style="4" customWidth="1"/>
    <col min="8" max="8" width="6.28125" style="4" customWidth="1"/>
    <col min="9" max="9" width="9.8515625" style="4" customWidth="1"/>
    <col min="10" max="10" width="2.421875" style="4" customWidth="1"/>
    <col min="11" max="11" width="12.7109375" style="4" customWidth="1"/>
    <col min="12" max="12" width="7.57421875" style="4" customWidth="1"/>
    <col min="13" max="13" width="13.57421875" style="4" bestFit="1" customWidth="1"/>
    <col min="14" max="16384" width="12.7109375" style="4" customWidth="1"/>
  </cols>
  <sheetData>
    <row r="1" spans="1:10" ht="12" customHeight="1" thickBot="1">
      <c r="A1" s="1"/>
      <c r="B1" s="2"/>
      <c r="C1" s="2"/>
      <c r="D1" s="2"/>
      <c r="E1" s="28"/>
      <c r="F1" s="2"/>
      <c r="G1" s="2"/>
      <c r="H1" s="2"/>
      <c r="I1" s="2"/>
      <c r="J1" s="3"/>
    </row>
    <row r="2" spans="1:10" ht="69.75" customHeight="1" thickBot="1">
      <c r="A2" s="5"/>
      <c r="B2" s="6"/>
      <c r="C2" s="7"/>
      <c r="D2" s="8"/>
      <c r="E2" s="311"/>
      <c r="F2" s="9"/>
      <c r="G2" s="7"/>
      <c r="H2" s="7"/>
      <c r="I2" s="312"/>
      <c r="J2" s="11"/>
    </row>
    <row r="3" spans="1:10" ht="6.75" customHeight="1" thickBot="1">
      <c r="A3" s="5"/>
      <c r="C3" s="12"/>
      <c r="D3" s="12"/>
      <c r="E3" s="30"/>
      <c r="F3" s="12"/>
      <c r="G3" s="12"/>
      <c r="H3" s="12"/>
      <c r="I3" s="12"/>
      <c r="J3" s="11"/>
    </row>
    <row r="4" spans="1:17" ht="26.25" thickBot="1">
      <c r="A4" s="5"/>
      <c r="B4" s="13" t="s">
        <v>0</v>
      </c>
      <c r="C4" s="313" t="s">
        <v>234</v>
      </c>
      <c r="D4" s="314" t="s">
        <v>235</v>
      </c>
      <c r="E4" s="315"/>
      <c r="F4" s="374" t="s">
        <v>2</v>
      </c>
      <c r="G4" s="476"/>
      <c r="H4" s="46" t="s">
        <v>3</v>
      </c>
      <c r="I4" s="316"/>
      <c r="J4" s="11"/>
      <c r="M4" s="84"/>
      <c r="N4" s="84"/>
      <c r="O4" s="49"/>
      <c r="P4" s="76"/>
      <c r="Q4" s="317"/>
    </row>
    <row r="5" spans="1:10" ht="10.5" customHeight="1" thickBot="1">
      <c r="A5" s="5"/>
      <c r="C5" s="12"/>
      <c r="D5" s="12"/>
      <c r="E5" s="30"/>
      <c r="F5" s="12"/>
      <c r="G5" s="12"/>
      <c r="H5" s="12"/>
      <c r="I5" s="12"/>
      <c r="J5" s="11"/>
    </row>
    <row r="6" spans="1:10" ht="16.5" customHeight="1">
      <c r="A6" s="5"/>
      <c r="C6" s="318" t="s">
        <v>222</v>
      </c>
      <c r="D6" s="318" t="s">
        <v>161</v>
      </c>
      <c r="E6" s="32" t="s">
        <v>27</v>
      </c>
      <c r="F6" s="318" t="s">
        <v>172</v>
      </c>
      <c r="G6" s="318" t="s">
        <v>172</v>
      </c>
      <c r="H6" s="284" t="s">
        <v>223</v>
      </c>
      <c r="I6" s="319"/>
      <c r="J6" s="11"/>
    </row>
    <row r="7" spans="1:16" ht="28.5" customHeight="1" thickBot="1">
      <c r="A7" s="5"/>
      <c r="C7" s="320" t="s">
        <v>236</v>
      </c>
      <c r="D7" s="321" t="s">
        <v>237</v>
      </c>
      <c r="E7" s="322" t="s">
        <v>238</v>
      </c>
      <c r="F7" s="522" t="s">
        <v>359</v>
      </c>
      <c r="G7" s="522" t="s">
        <v>360</v>
      </c>
      <c r="H7" s="288" t="s">
        <v>54</v>
      </c>
      <c r="I7" s="324"/>
      <c r="J7" s="11"/>
      <c r="L7" s="292"/>
      <c r="M7" s="71"/>
      <c r="N7" s="293"/>
      <c r="O7" s="294"/>
      <c r="P7" s="71"/>
    </row>
    <row r="8" spans="1:10" ht="10.5" customHeight="1" thickBot="1">
      <c r="A8" s="5"/>
      <c r="C8" s="19"/>
      <c r="D8" s="325"/>
      <c r="E8" s="35"/>
      <c r="F8" s="325"/>
      <c r="G8" s="325"/>
      <c r="H8" s="290"/>
      <c r="I8" s="325"/>
      <c r="J8" s="11"/>
    </row>
    <row r="9" spans="1:14" ht="24" customHeight="1">
      <c r="A9" s="5"/>
      <c r="C9" s="545">
        <v>1</v>
      </c>
      <c r="D9" s="541">
        <f>95.52+41.37</f>
        <v>136.89</v>
      </c>
      <c r="E9" s="326">
        <f>D9*$F$26*$F$27/3600</f>
        <v>3.8024999999999993</v>
      </c>
      <c r="F9" s="291">
        <f>(E9/(1.754*((7/24)^(5/3))))^(3/8)</f>
        <v>2.8870919360375704</v>
      </c>
      <c r="G9" s="547">
        <f>IF((ROUNDUP(F9,0))&lt;4,4,(ROUNDUP(F9,0)))</f>
        <v>4</v>
      </c>
      <c r="H9" s="548">
        <v>5</v>
      </c>
      <c r="I9" s="1035"/>
      <c r="J9" s="11"/>
      <c r="M9" s="1036">
        <f>95.52+41.33</f>
        <v>136.85</v>
      </c>
      <c r="N9" s="27">
        <f>+D9-M9</f>
        <v>0.03999999999999204</v>
      </c>
    </row>
    <row r="10" spans="1:14" ht="30" customHeight="1">
      <c r="A10" s="5"/>
      <c r="C10" s="546">
        <f aca="true" t="shared" si="0" ref="C10:C20">+C9+1</f>
        <v>2</v>
      </c>
      <c r="D10" s="532">
        <v>133.57</v>
      </c>
      <c r="E10" s="20">
        <f>D10*$F$26*$F$27/3600</f>
        <v>3.710277777777778</v>
      </c>
      <c r="F10" s="20">
        <f>(E10/(1.754*((7/24)^(5/3))))^(3/8)</f>
        <v>2.860632475111008</v>
      </c>
      <c r="G10" s="549">
        <f>IF((ROUNDUP(F10,0))&lt;4,4,(ROUNDUP(F10,0)))</f>
        <v>4</v>
      </c>
      <c r="H10" s="550">
        <v>5</v>
      </c>
      <c r="I10" s="1035"/>
      <c r="J10" s="11"/>
      <c r="K10" s="27"/>
      <c r="M10" s="1036">
        <f>34.66+98.95</f>
        <v>133.61</v>
      </c>
      <c r="N10" s="27">
        <f aca="true" t="shared" si="1" ref="N10:N22">+D10-M10</f>
        <v>-0.040000000000020464</v>
      </c>
    </row>
    <row r="11" spans="1:14" ht="30" customHeight="1">
      <c r="A11" s="5"/>
      <c r="C11" s="546">
        <f t="shared" si="0"/>
        <v>3</v>
      </c>
      <c r="D11" s="532">
        <v>122.66</v>
      </c>
      <c r="E11" s="20">
        <f>D11*$F$26*$F$27/3600</f>
        <v>3.4072222222222224</v>
      </c>
      <c r="F11" s="20">
        <f>(E11/(1.754*((7/24)^(5/3))))^(3/8)</f>
        <v>2.770670160759318</v>
      </c>
      <c r="G11" s="549">
        <f aca="true" t="shared" si="2" ref="G11:G20">IF((ROUNDUP(F11,0))&lt;4,4,(ROUNDUP(F11,0)))</f>
        <v>4</v>
      </c>
      <c r="H11" s="550">
        <v>5</v>
      </c>
      <c r="I11" s="1035"/>
      <c r="J11" s="11"/>
      <c r="K11" s="1037"/>
      <c r="M11" s="1036">
        <f>95.52+27.16</f>
        <v>122.67999999999999</v>
      </c>
      <c r="N11" s="27">
        <f t="shared" si="1"/>
        <v>-0.01999999999999602</v>
      </c>
    </row>
    <row r="12" spans="1:14" ht="30" customHeight="1">
      <c r="A12" s="5"/>
      <c r="C12" s="546">
        <f t="shared" si="0"/>
        <v>4</v>
      </c>
      <c r="D12" s="532">
        <v>114.56</v>
      </c>
      <c r="E12" s="20">
        <f aca="true" t="shared" si="3" ref="E12:E20">D12*$F$26*$F$27/3600</f>
        <v>3.1822222222222223</v>
      </c>
      <c r="F12" s="20">
        <f aca="true" t="shared" si="4" ref="F12:F20">(E12/(1.754*((7/24)^(5/3))))^(3/8)</f>
        <v>2.7005896211156895</v>
      </c>
      <c r="G12" s="549">
        <f t="shared" si="2"/>
        <v>4</v>
      </c>
      <c r="H12" s="550">
        <v>5</v>
      </c>
      <c r="I12" s="1035"/>
      <c r="J12" s="11"/>
      <c r="M12" s="1036">
        <f>15.66+98.95</f>
        <v>114.61</v>
      </c>
      <c r="N12" s="27">
        <f t="shared" si="1"/>
        <v>-0.04999999999999716</v>
      </c>
    </row>
    <row r="13" spans="1:14" ht="30" customHeight="1">
      <c r="A13" s="5"/>
      <c r="C13" s="546">
        <f t="shared" si="0"/>
        <v>5</v>
      </c>
      <c r="D13" s="532">
        <v>165.45999999999998</v>
      </c>
      <c r="E13" s="20">
        <f t="shared" si="3"/>
        <v>4.59611111111111</v>
      </c>
      <c r="F13" s="20">
        <f t="shared" si="4"/>
        <v>3.099781627650068</v>
      </c>
      <c r="G13" s="549">
        <f t="shared" si="2"/>
        <v>4</v>
      </c>
      <c r="H13" s="550">
        <v>5</v>
      </c>
      <c r="I13" s="1035"/>
      <c r="J13" s="11"/>
      <c r="K13" s="1037"/>
      <c r="M13" s="1036">
        <f>35.96+33.99+95.52</f>
        <v>165.47</v>
      </c>
      <c r="N13" s="27">
        <f t="shared" si="1"/>
        <v>-0.010000000000019327</v>
      </c>
    </row>
    <row r="14" spans="1:14" ht="30" customHeight="1">
      <c r="A14" s="5"/>
      <c r="C14" s="546">
        <f t="shared" si="0"/>
        <v>6</v>
      </c>
      <c r="D14" s="532">
        <v>133.53</v>
      </c>
      <c r="E14" s="20">
        <f t="shared" si="3"/>
        <v>3.7091666666666665</v>
      </c>
      <c r="F14" s="20">
        <f t="shared" si="4"/>
        <v>2.8603111941091757</v>
      </c>
      <c r="G14" s="549">
        <f t="shared" si="2"/>
        <v>4</v>
      </c>
      <c r="H14" s="550">
        <v>5</v>
      </c>
      <c r="I14" s="1035"/>
      <c r="J14" s="11"/>
      <c r="M14" s="1036">
        <f>19.65+15.66+98.95</f>
        <v>134.26</v>
      </c>
      <c r="N14" s="27">
        <f t="shared" si="1"/>
        <v>-0.7299999999999898</v>
      </c>
    </row>
    <row r="15" spans="1:14" ht="30" customHeight="1">
      <c r="A15" s="5"/>
      <c r="C15" s="546">
        <f t="shared" si="0"/>
        <v>7</v>
      </c>
      <c r="D15" s="532">
        <v>95.5</v>
      </c>
      <c r="E15" s="20">
        <f t="shared" si="3"/>
        <v>2.6527777777777777</v>
      </c>
      <c r="F15" s="20">
        <f t="shared" si="4"/>
        <v>2.5224495081714546</v>
      </c>
      <c r="G15" s="549">
        <f t="shared" si="2"/>
        <v>4</v>
      </c>
      <c r="H15" s="550">
        <v>5</v>
      </c>
      <c r="I15" s="1035"/>
      <c r="J15" s="11"/>
      <c r="M15" s="1036">
        <v>95.52</v>
      </c>
      <c r="N15" s="27">
        <f t="shared" si="1"/>
        <v>-0.01999999999999602</v>
      </c>
    </row>
    <row r="16" spans="1:14" ht="30" customHeight="1">
      <c r="A16" s="5"/>
      <c r="C16" s="546">
        <f t="shared" si="0"/>
        <v>8</v>
      </c>
      <c r="D16" s="532">
        <v>199.02999999999997</v>
      </c>
      <c r="E16" s="20">
        <f t="shared" si="3"/>
        <v>5.52861111111111</v>
      </c>
      <c r="F16" s="20">
        <f t="shared" si="4"/>
        <v>3.3221227174072725</v>
      </c>
      <c r="G16" s="549">
        <f t="shared" si="2"/>
        <v>4</v>
      </c>
      <c r="H16" s="550">
        <v>5</v>
      </c>
      <c r="I16" s="1035"/>
      <c r="J16" s="11"/>
      <c r="M16" s="1036">
        <f>84.43+98.95+15.66</f>
        <v>199.04</v>
      </c>
      <c r="N16" s="27">
        <f t="shared" si="1"/>
        <v>-0.010000000000019327</v>
      </c>
    </row>
    <row r="17" spans="1:14" ht="30" customHeight="1">
      <c r="A17" s="5"/>
      <c r="C17" s="546">
        <f t="shared" si="0"/>
        <v>9</v>
      </c>
      <c r="D17" s="532">
        <v>245.83999999999997</v>
      </c>
      <c r="E17" s="20">
        <f t="shared" si="3"/>
        <v>6.828888888888888</v>
      </c>
      <c r="F17" s="20">
        <f t="shared" si="4"/>
        <v>3.5959688631963345</v>
      </c>
      <c r="G17" s="549">
        <f t="shared" si="2"/>
        <v>4</v>
      </c>
      <c r="H17" s="550">
        <v>5</v>
      </c>
      <c r="I17" s="1035"/>
      <c r="J17" s="11"/>
      <c r="M17" s="1036">
        <f>69.3+176.54</f>
        <v>245.83999999999997</v>
      </c>
      <c r="N17" s="27">
        <f t="shared" si="1"/>
        <v>0</v>
      </c>
    </row>
    <row r="18" spans="1:14" ht="30" customHeight="1">
      <c r="A18" s="5"/>
      <c r="C18" s="546">
        <f t="shared" si="0"/>
        <v>10</v>
      </c>
      <c r="D18" s="532">
        <v>169.29</v>
      </c>
      <c r="E18" s="20">
        <f t="shared" si="3"/>
        <v>4.7025</v>
      </c>
      <c r="F18" s="20">
        <f t="shared" si="4"/>
        <v>3.1264965714001476</v>
      </c>
      <c r="G18" s="549">
        <f t="shared" si="2"/>
        <v>4</v>
      </c>
      <c r="H18" s="550">
        <v>5</v>
      </c>
      <c r="I18" s="1035"/>
      <c r="J18" s="11"/>
      <c r="M18" s="1036">
        <f>22.78+146.51</f>
        <v>169.29</v>
      </c>
      <c r="N18" s="27">
        <f t="shared" si="1"/>
        <v>0</v>
      </c>
    </row>
    <row r="19" spans="1:14" ht="30" customHeight="1">
      <c r="A19" s="5"/>
      <c r="C19" s="546">
        <f t="shared" si="0"/>
        <v>11</v>
      </c>
      <c r="D19" s="532">
        <v>193.01</v>
      </c>
      <c r="E19" s="20">
        <f t="shared" si="3"/>
        <v>5.3613888888888885</v>
      </c>
      <c r="F19" s="20">
        <f t="shared" si="4"/>
        <v>3.2840793832958126</v>
      </c>
      <c r="G19" s="549">
        <f t="shared" si="2"/>
        <v>4</v>
      </c>
      <c r="H19" s="550">
        <v>5</v>
      </c>
      <c r="I19" s="1035"/>
      <c r="J19" s="11"/>
      <c r="M19" s="1036">
        <f>41.84+151.14</f>
        <v>192.98</v>
      </c>
      <c r="N19" s="27">
        <f t="shared" si="1"/>
        <v>0.030000000000001137</v>
      </c>
    </row>
    <row r="20" spans="1:14" ht="30" customHeight="1">
      <c r="A20" s="5"/>
      <c r="C20" s="546">
        <f t="shared" si="0"/>
        <v>12</v>
      </c>
      <c r="D20" s="532">
        <v>123.76</v>
      </c>
      <c r="E20" s="20">
        <f t="shared" si="3"/>
        <v>3.437777777777778</v>
      </c>
      <c r="F20" s="20">
        <f t="shared" si="4"/>
        <v>2.7799618122428638</v>
      </c>
      <c r="G20" s="549">
        <f t="shared" si="2"/>
        <v>4</v>
      </c>
      <c r="H20" s="550">
        <v>5</v>
      </c>
      <c r="I20" s="1035"/>
      <c r="J20" s="11"/>
      <c r="M20" s="1036">
        <v>123.76</v>
      </c>
      <c r="N20" s="27">
        <f t="shared" si="1"/>
        <v>0</v>
      </c>
    </row>
    <row r="21" spans="1:14" ht="30" customHeight="1">
      <c r="A21" s="5"/>
      <c r="C21" s="546">
        <v>13</v>
      </c>
      <c r="D21" s="532">
        <v>72.8</v>
      </c>
      <c r="E21" s="20">
        <f>D21*$F$26*$F$27/3600</f>
        <v>2.022222222222222</v>
      </c>
      <c r="F21" s="20">
        <f>(E21/(1.754*((7/24)^(5/3))))^(3/8)</f>
        <v>2.2783502280323096</v>
      </c>
      <c r="G21" s="549">
        <f>IF((ROUNDUP(F21,0))&lt;4,4,(ROUNDUP(F21,0)))</f>
        <v>4</v>
      </c>
      <c r="H21" s="550">
        <v>5</v>
      </c>
      <c r="I21" s="1035"/>
      <c r="J21" s="11"/>
      <c r="M21" s="1036">
        <f>36.42+36.38</f>
        <v>72.80000000000001</v>
      </c>
      <c r="N21" s="27">
        <f t="shared" si="1"/>
        <v>0</v>
      </c>
    </row>
    <row r="22" spans="1:14" ht="30" customHeight="1" thickBot="1">
      <c r="A22" s="5"/>
      <c r="C22" s="1031">
        <v>14</v>
      </c>
      <c r="D22" s="1032">
        <v>52.3</v>
      </c>
      <c r="E22" s="37">
        <f>D22*$F$26*$F$27/3600</f>
        <v>1.4527777777777777</v>
      </c>
      <c r="F22" s="37">
        <f>(E22/(1.754*((7/24)^(5/3))))^(3/8)</f>
        <v>2.0126087232111405</v>
      </c>
      <c r="G22" s="1033">
        <f>IF((ROUNDUP(F22,0))&lt;4,4,(ROUNDUP(F22,0)))</f>
        <v>4</v>
      </c>
      <c r="H22" s="1034">
        <v>5</v>
      </c>
      <c r="I22" s="1035"/>
      <c r="J22" s="11"/>
      <c r="M22" s="1036">
        <v>52.3</v>
      </c>
      <c r="N22" s="27">
        <f t="shared" si="1"/>
        <v>0</v>
      </c>
    </row>
    <row r="23" spans="1:10" ht="8.25" customHeight="1" thickBot="1">
      <c r="A23" s="16"/>
      <c r="B23" s="327"/>
      <c r="C23" s="327"/>
      <c r="D23" s="327"/>
      <c r="E23" s="328"/>
      <c r="F23" s="327"/>
      <c r="J23" s="11"/>
    </row>
    <row r="24" spans="1:13" ht="15">
      <c r="A24" s="1"/>
      <c r="B24"/>
      <c r="C24" s="329" t="s">
        <v>239</v>
      </c>
      <c r="D24" s="330"/>
      <c r="E24" s="331"/>
      <c r="F24" s="2"/>
      <c r="G24" s="2"/>
      <c r="H24" s="2"/>
      <c r="I24" s="2"/>
      <c r="J24" s="3"/>
      <c r="M24" s="332"/>
    </row>
    <row r="25" spans="1:10" ht="15">
      <c r="A25" s="5"/>
      <c r="B25"/>
      <c r="C25" s="333" t="s">
        <v>240</v>
      </c>
      <c r="D25" s="334"/>
      <c r="E25" s="331"/>
      <c r="F25" s="332"/>
      <c r="G25" s="33" t="s">
        <v>241</v>
      </c>
      <c r="J25" s="11"/>
    </row>
    <row r="26" spans="1:10" ht="15">
      <c r="A26" s="5"/>
      <c r="B26"/>
      <c r="C26" s="333" t="s">
        <v>242</v>
      </c>
      <c r="D26" s="334"/>
      <c r="E26" s="331"/>
      <c r="F26" s="551">
        <v>1</v>
      </c>
      <c r="G26" s="333" t="s">
        <v>243</v>
      </c>
      <c r="J26" s="11"/>
    </row>
    <row r="27" spans="1:10" ht="15">
      <c r="A27" s="5"/>
      <c r="B27"/>
      <c r="C27" s="333" t="s">
        <v>244</v>
      </c>
      <c r="D27" s="334"/>
      <c r="E27" s="331"/>
      <c r="F27" s="552">
        <v>100</v>
      </c>
      <c r="G27" s="335" t="s">
        <v>245</v>
      </c>
      <c r="J27" s="11"/>
    </row>
    <row r="28" spans="1:10" ht="15.75" thickBot="1">
      <c r="A28" s="16"/>
      <c r="B28" s="336"/>
      <c r="C28" s="337" t="s">
        <v>246</v>
      </c>
      <c r="D28" s="327"/>
      <c r="E28" s="328"/>
      <c r="F28" s="327"/>
      <c r="G28" s="338" t="s">
        <v>247</v>
      </c>
      <c r="H28" s="327"/>
      <c r="I28" s="327"/>
      <c r="J28" s="17"/>
    </row>
    <row r="29" spans="1:10" ht="15">
      <c r="A29" s="1"/>
      <c r="B29" s="339"/>
      <c r="C29" s="340"/>
      <c r="D29" s="2"/>
      <c r="E29" s="28"/>
      <c r="F29" s="2"/>
      <c r="G29" s="341"/>
      <c r="H29" s="2"/>
      <c r="I29" s="2"/>
      <c r="J29" s="3"/>
    </row>
    <row r="30" spans="1:10" ht="15.75" thickBot="1">
      <c r="A30" s="16"/>
      <c r="B30" s="336"/>
      <c r="C30" s="337"/>
      <c r="D30" s="327"/>
      <c r="E30" s="328"/>
      <c r="F30" s="327"/>
      <c r="G30" s="338"/>
      <c r="H30" s="327"/>
      <c r="I30" s="327"/>
      <c r="J30" s="17"/>
    </row>
    <row r="31" s="24" customFormat="1" ht="14.25">
      <c r="E31" s="39"/>
    </row>
    <row r="32" s="24" customFormat="1" ht="14.25">
      <c r="E32" s="39"/>
    </row>
    <row r="33" s="24" customFormat="1" ht="14.25">
      <c r="E33" s="39"/>
    </row>
    <row r="34" s="24" customFormat="1" ht="14.25">
      <c r="E34" s="39"/>
    </row>
    <row r="35" s="24" customFormat="1" ht="14.25">
      <c r="E35" s="39"/>
    </row>
    <row r="36" s="24" customFormat="1" ht="14.25">
      <c r="E36" s="39"/>
    </row>
    <row r="37" s="24" customFormat="1" ht="14.25">
      <c r="E37" s="39"/>
    </row>
    <row r="38" s="24" customFormat="1" ht="14.25">
      <c r="E38" s="39"/>
    </row>
    <row r="39" s="24" customFormat="1" ht="14.25">
      <c r="E39" s="39"/>
    </row>
    <row r="40" s="24" customFormat="1" ht="14.25">
      <c r="E40" s="39"/>
    </row>
    <row r="41" s="24" customFormat="1" ht="14.25">
      <c r="E41" s="39"/>
    </row>
    <row r="42" s="24" customFormat="1" ht="14.25">
      <c r="E42" s="39"/>
    </row>
    <row r="43" s="24" customFormat="1" ht="14.25">
      <c r="E43" s="39"/>
    </row>
    <row r="44" s="24" customFormat="1" ht="14.25">
      <c r="E44" s="39"/>
    </row>
    <row r="45" s="24" customFormat="1" ht="14.25">
      <c r="E45" s="39"/>
    </row>
    <row r="46" s="24" customFormat="1" ht="14.25">
      <c r="E46" s="39"/>
    </row>
    <row r="47" s="24" customFormat="1" ht="14.25">
      <c r="E47" s="39"/>
    </row>
    <row r="48" s="24" customFormat="1" ht="14.25">
      <c r="E48" s="39"/>
    </row>
    <row r="49" s="24" customFormat="1" ht="14.25">
      <c r="E49" s="39"/>
    </row>
    <row r="50" s="24" customFormat="1" ht="14.25">
      <c r="E50" s="39"/>
    </row>
    <row r="51" s="24" customFormat="1" ht="14.25">
      <c r="E51" s="39"/>
    </row>
    <row r="52" s="24" customFormat="1" ht="14.25">
      <c r="E52" s="39"/>
    </row>
    <row r="53" s="24" customFormat="1" ht="14.25">
      <c r="E53" s="39"/>
    </row>
    <row r="54" s="24" customFormat="1" ht="14.25">
      <c r="E54" s="39"/>
    </row>
    <row r="55" s="24" customFormat="1" ht="14.25">
      <c r="E55" s="39"/>
    </row>
    <row r="56" s="24" customFormat="1" ht="14.25">
      <c r="E56" s="39"/>
    </row>
    <row r="57" s="24" customFormat="1" ht="14.25">
      <c r="E57" s="39"/>
    </row>
    <row r="58" s="24" customFormat="1" ht="14.25">
      <c r="E58" s="39"/>
    </row>
    <row r="59" s="24" customFormat="1" ht="14.25">
      <c r="E59" s="39"/>
    </row>
    <row r="60" s="24" customFormat="1" ht="14.25">
      <c r="E60" s="39"/>
    </row>
    <row r="61" s="24" customFormat="1" ht="14.25">
      <c r="E61" s="39"/>
    </row>
    <row r="62" s="24" customFormat="1" ht="14.25">
      <c r="E62" s="39"/>
    </row>
    <row r="63" s="24" customFormat="1" ht="14.25">
      <c r="E63" s="39"/>
    </row>
    <row r="64" s="24" customFormat="1" ht="14.25">
      <c r="E64" s="39"/>
    </row>
    <row r="65" s="24" customFormat="1" ht="14.25">
      <c r="E65" s="39"/>
    </row>
    <row r="66" s="24" customFormat="1" ht="14.25">
      <c r="E66" s="39"/>
    </row>
    <row r="67" s="24" customFormat="1" ht="14.25">
      <c r="E67" s="39"/>
    </row>
    <row r="68" s="24" customFormat="1" ht="14.25">
      <c r="E68" s="39"/>
    </row>
    <row r="69" s="24" customFormat="1" ht="14.25">
      <c r="E69" s="39"/>
    </row>
    <row r="70" s="24" customFormat="1" ht="14.25">
      <c r="E70" s="39"/>
    </row>
    <row r="71" s="24" customFormat="1" ht="14.25">
      <c r="E71" s="39"/>
    </row>
    <row r="72" s="24" customFormat="1" ht="14.25">
      <c r="E72" s="39"/>
    </row>
    <row r="73" s="24" customFormat="1" ht="14.25">
      <c r="E73" s="39"/>
    </row>
    <row r="74" s="24" customFormat="1" ht="14.25">
      <c r="E74" s="39"/>
    </row>
    <row r="75" s="24" customFormat="1" ht="14.25">
      <c r="E75" s="39"/>
    </row>
    <row r="76" s="24" customFormat="1" ht="14.25">
      <c r="E76" s="39"/>
    </row>
    <row r="77" s="24" customFormat="1" ht="14.25">
      <c r="E77" s="39"/>
    </row>
    <row r="78" s="24" customFormat="1" ht="14.25">
      <c r="E78" s="39"/>
    </row>
    <row r="79" s="24" customFormat="1" ht="14.25">
      <c r="E79" s="39"/>
    </row>
    <row r="80" s="24" customFormat="1" ht="14.25" customHeight="1">
      <c r="E80" s="39"/>
    </row>
    <row r="81" s="24" customFormat="1" ht="14.25">
      <c r="E81" s="39"/>
    </row>
    <row r="82" s="24" customFormat="1" ht="14.25" customHeight="1">
      <c r="E82" s="39"/>
    </row>
    <row r="83" s="24" customFormat="1" ht="14.25" customHeight="1">
      <c r="E83" s="39"/>
    </row>
    <row r="84" s="24" customFormat="1" ht="14.25" customHeight="1">
      <c r="E84" s="39"/>
    </row>
    <row r="85" s="24" customFormat="1" ht="14.25" customHeight="1">
      <c r="E85" s="39"/>
    </row>
    <row r="86" s="24" customFormat="1" ht="14.25" customHeight="1">
      <c r="E86" s="39"/>
    </row>
    <row r="87" s="24" customFormat="1" ht="14.25">
      <c r="E87" s="39"/>
    </row>
    <row r="88" s="25" customFormat="1" ht="15" customHeight="1">
      <c r="E88" s="41"/>
    </row>
    <row r="89" s="24" customFormat="1" ht="14.25" customHeight="1">
      <c r="E89" s="39"/>
    </row>
    <row r="90" s="24" customFormat="1" ht="14.25" customHeight="1">
      <c r="E90" s="39"/>
    </row>
    <row r="91" s="24" customFormat="1" ht="14.25" customHeight="1">
      <c r="E91" s="39"/>
    </row>
    <row r="92" s="24" customFormat="1" ht="14.25" customHeight="1">
      <c r="E92" s="39"/>
    </row>
    <row r="93" s="24" customFormat="1" ht="14.25" customHeight="1">
      <c r="E93" s="39"/>
    </row>
    <row r="94" s="24" customFormat="1" ht="14.25" customHeight="1">
      <c r="E94" s="39"/>
    </row>
    <row r="95" s="24" customFormat="1" ht="14.25">
      <c r="E95" s="39"/>
    </row>
    <row r="96" s="24" customFormat="1" ht="14.25">
      <c r="E96" s="39"/>
    </row>
    <row r="97" s="24" customFormat="1" ht="14.25">
      <c r="E97" s="39"/>
    </row>
    <row r="98" s="24" customFormat="1" ht="14.25">
      <c r="E98" s="39"/>
    </row>
    <row r="99" s="24" customFormat="1" ht="14.25">
      <c r="E99" s="39"/>
    </row>
    <row r="100" s="24" customFormat="1" ht="14.25">
      <c r="E100" s="39"/>
    </row>
    <row r="101" s="24" customFormat="1" ht="14.25">
      <c r="E101" s="39"/>
    </row>
    <row r="102" s="24" customFormat="1" ht="14.25">
      <c r="E102" s="39"/>
    </row>
    <row r="103" s="24" customFormat="1" ht="14.25">
      <c r="E103" s="39"/>
    </row>
    <row r="104" s="24" customFormat="1" ht="14.25">
      <c r="E104" s="39"/>
    </row>
    <row r="105" s="24" customFormat="1" ht="14.25">
      <c r="E105" s="39"/>
    </row>
    <row r="106" s="24" customFormat="1" ht="14.25">
      <c r="E106" s="39"/>
    </row>
    <row r="107" s="24" customFormat="1" ht="14.25">
      <c r="E107" s="39"/>
    </row>
    <row r="108" s="24" customFormat="1" ht="14.25">
      <c r="E108" s="39"/>
    </row>
    <row r="109" s="24" customFormat="1" ht="14.25">
      <c r="E109" s="39"/>
    </row>
    <row r="110" s="24" customFormat="1" ht="14.25">
      <c r="E110" s="39"/>
    </row>
    <row r="111" s="24" customFormat="1" ht="14.25">
      <c r="E111" s="39"/>
    </row>
    <row r="112" s="24" customFormat="1" ht="14.25">
      <c r="E112" s="39"/>
    </row>
    <row r="113" s="24" customFormat="1" ht="14.25">
      <c r="E113" s="39"/>
    </row>
    <row r="114" s="24" customFormat="1" ht="14.25">
      <c r="E114" s="39"/>
    </row>
    <row r="115" s="24" customFormat="1" ht="14.25">
      <c r="E115" s="39"/>
    </row>
    <row r="116" s="24" customFormat="1" ht="14.25">
      <c r="E116" s="39"/>
    </row>
    <row r="117" s="24" customFormat="1" ht="14.25">
      <c r="E117" s="39"/>
    </row>
    <row r="118" s="24" customFormat="1" ht="14.25">
      <c r="E118" s="39"/>
    </row>
    <row r="119" s="24" customFormat="1" ht="14.25">
      <c r="E119" s="39"/>
    </row>
    <row r="120" s="24" customFormat="1" ht="14.25">
      <c r="E120" s="39"/>
    </row>
    <row r="121" s="24" customFormat="1" ht="14.25">
      <c r="E121" s="39"/>
    </row>
    <row r="122" s="24" customFormat="1" ht="14.25">
      <c r="E122" s="39"/>
    </row>
    <row r="123" s="24" customFormat="1" ht="14.25">
      <c r="E123" s="39"/>
    </row>
    <row r="124" s="24" customFormat="1" ht="14.25">
      <c r="E124" s="39"/>
    </row>
    <row r="125" s="24" customFormat="1" ht="14.25">
      <c r="E125" s="39"/>
    </row>
    <row r="126" s="24" customFormat="1" ht="14.25">
      <c r="E126" s="39"/>
    </row>
    <row r="127" s="24" customFormat="1" ht="14.25">
      <c r="E127" s="39"/>
    </row>
    <row r="128" s="24" customFormat="1" ht="14.25">
      <c r="E128" s="39"/>
    </row>
    <row r="130" s="19" customFormat="1" ht="12.75">
      <c r="E130" s="42"/>
    </row>
    <row r="131" s="26" customFormat="1" ht="15">
      <c r="E131" s="43"/>
    </row>
  </sheetData>
  <sheetProtection/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3:Y142"/>
  <sheetViews>
    <sheetView tabSelected="1" view="pageBreakPreview" zoomScale="70" zoomScaleSheetLayoutView="70" zoomScalePageLayoutView="0" workbookViewId="0" topLeftCell="A1">
      <selection activeCell="V20" sqref="V20"/>
    </sheetView>
  </sheetViews>
  <sheetFormatPr defaultColWidth="12.7109375" defaultRowHeight="12.75"/>
  <cols>
    <col min="1" max="1" width="4.00390625" style="4" customWidth="1"/>
    <col min="2" max="2" width="2.00390625" style="4" customWidth="1"/>
    <col min="3" max="3" width="8.28125" style="4" customWidth="1"/>
    <col min="4" max="5" width="9.7109375" style="4" customWidth="1"/>
    <col min="6" max="6" width="16.57421875" style="40" customWidth="1"/>
    <col min="7" max="7" width="10.421875" style="27" customWidth="1"/>
    <col min="8" max="9" width="12.00390625" style="4" customWidth="1"/>
    <col min="10" max="10" width="12.140625" style="4" customWidth="1"/>
    <col min="11" max="12" width="15.57421875" style="4" customWidth="1"/>
    <col min="13" max="16" width="10.8515625" style="27" customWidth="1"/>
    <col min="17" max="18" width="10.8515625" style="4" customWidth="1"/>
    <col min="19" max="19" width="2.00390625" style="4" customWidth="1"/>
    <col min="20" max="22" width="12.7109375" style="4" customWidth="1"/>
    <col min="23" max="23" width="2.8515625" style="4" customWidth="1"/>
    <col min="24" max="16384" width="12.7109375" style="4" customWidth="1"/>
  </cols>
  <sheetData>
    <row r="2" ht="15" thickBot="1"/>
    <row r="3" spans="2:19" ht="12" customHeight="1" thickBot="1">
      <c r="B3" s="1"/>
      <c r="C3" s="2"/>
      <c r="D3" s="2"/>
      <c r="E3" s="2"/>
      <c r="F3" s="353"/>
      <c r="G3" s="2"/>
      <c r="H3" s="2"/>
      <c r="I3" s="2"/>
      <c r="J3" s="2"/>
      <c r="K3" s="2"/>
      <c r="L3" s="2"/>
      <c r="M3" s="28"/>
      <c r="N3" s="28"/>
      <c r="O3" s="28"/>
      <c r="P3" s="28"/>
      <c r="Q3" s="7"/>
      <c r="R3" s="7"/>
      <c r="S3" s="3"/>
    </row>
    <row r="4" spans="2:19" ht="69.75" customHeight="1" thickBot="1">
      <c r="B4" s="5"/>
      <c r="C4" s="354"/>
      <c r="D4" s="45"/>
      <c r="E4" s="45"/>
      <c r="F4" s="355"/>
      <c r="G4" s="9"/>
      <c r="H4" s="7"/>
      <c r="I4" s="7"/>
      <c r="J4" s="7"/>
      <c r="K4" s="10"/>
      <c r="L4" s="10"/>
      <c r="M4" s="356"/>
      <c r="N4" s="356"/>
      <c r="O4" s="356"/>
      <c r="P4" s="356"/>
      <c r="Q4" s="10"/>
      <c r="R4" s="857"/>
      <c r="S4" s="11"/>
    </row>
    <row r="5" spans="1:19" ht="6.75" customHeight="1" thickBot="1">
      <c r="A5" s="5"/>
      <c r="B5" s="5"/>
      <c r="C5" s="12"/>
      <c r="D5" s="12"/>
      <c r="E5" s="12"/>
      <c r="F5" s="357"/>
      <c r="G5" s="12"/>
      <c r="H5" s="12"/>
      <c r="I5" s="12"/>
      <c r="J5" s="12"/>
      <c r="K5" s="12"/>
      <c r="R5" s="11"/>
      <c r="S5" s="11"/>
    </row>
    <row r="6" spans="1:19" ht="41.25" customHeight="1" thickBot="1">
      <c r="A6" s="5"/>
      <c r="B6" s="5"/>
      <c r="C6" s="13" t="s">
        <v>0</v>
      </c>
      <c r="D6" s="358"/>
      <c r="E6" s="358"/>
      <c r="F6" s="359"/>
      <c r="G6" s="360" t="s">
        <v>423</v>
      </c>
      <c r="H6" s="360"/>
      <c r="I6" s="14"/>
      <c r="J6" s="15"/>
      <c r="L6" s="374" t="s">
        <v>2</v>
      </c>
      <c r="M6" s="361">
        <v>9</v>
      </c>
      <c r="N6" s="361"/>
      <c r="O6" s="361"/>
      <c r="P6" s="361"/>
      <c r="Q6" s="46" t="s">
        <v>3</v>
      </c>
      <c r="R6" s="316">
        <v>12</v>
      </c>
      <c r="S6" s="11"/>
    </row>
    <row r="7" spans="2:19" ht="10.5" customHeight="1" thickBot="1">
      <c r="B7" s="5"/>
      <c r="C7" s="12"/>
      <c r="D7" s="12"/>
      <c r="E7" s="12"/>
      <c r="F7" s="357"/>
      <c r="G7" s="30"/>
      <c r="H7" s="12"/>
      <c r="I7" s="12"/>
      <c r="J7" s="12"/>
      <c r="K7" s="29" t="s">
        <v>391</v>
      </c>
      <c r="L7" s="12"/>
      <c r="M7" s="30"/>
      <c r="N7" s="30"/>
      <c r="O7" s="30"/>
      <c r="P7" s="30"/>
      <c r="Q7" s="12"/>
      <c r="R7" s="858"/>
      <c r="S7" s="11"/>
    </row>
    <row r="8" spans="2:19" ht="28.5" customHeight="1" thickBot="1">
      <c r="B8" s="5"/>
      <c r="C8" s="1079" t="s">
        <v>34</v>
      </c>
      <c r="D8" s="1080"/>
      <c r="E8" s="1081" t="s">
        <v>478</v>
      </c>
      <c r="F8" s="47" t="s">
        <v>258</v>
      </c>
      <c r="G8" s="32" t="s">
        <v>36</v>
      </c>
      <c r="H8" s="318" t="s">
        <v>37</v>
      </c>
      <c r="I8" s="318" t="s">
        <v>248</v>
      </c>
      <c r="J8" s="31" t="s">
        <v>249</v>
      </c>
      <c r="K8" s="318" t="s">
        <v>250</v>
      </c>
      <c r="L8" s="318" t="s">
        <v>251</v>
      </c>
      <c r="M8" s="32" t="s">
        <v>252</v>
      </c>
      <c r="N8" s="283" t="s">
        <v>248</v>
      </c>
      <c r="O8" s="1067" t="s">
        <v>457</v>
      </c>
      <c r="P8" s="1068"/>
      <c r="Q8" s="1067" t="s">
        <v>458</v>
      </c>
      <c r="R8" s="1068"/>
      <c r="S8" s="11"/>
    </row>
    <row r="9" spans="2:19" ht="16.5" customHeight="1" thickBot="1">
      <c r="B9" s="5"/>
      <c r="C9" s="362" t="s">
        <v>3</v>
      </c>
      <c r="D9" s="861" t="s">
        <v>45</v>
      </c>
      <c r="E9" s="1082"/>
      <c r="F9" s="48" t="s">
        <v>247</v>
      </c>
      <c r="G9" s="34" t="s">
        <v>46</v>
      </c>
      <c r="H9" s="323" t="s">
        <v>47</v>
      </c>
      <c r="I9" s="323" t="s">
        <v>253</v>
      </c>
      <c r="J9" s="323" t="s">
        <v>241</v>
      </c>
      <c r="K9" s="323" t="s">
        <v>254</v>
      </c>
      <c r="L9" s="288" t="s">
        <v>382</v>
      </c>
      <c r="M9" s="34" t="s">
        <v>54</v>
      </c>
      <c r="N9" s="288" t="s">
        <v>54</v>
      </c>
      <c r="O9" s="133" t="s">
        <v>255</v>
      </c>
      <c r="P9" s="133" t="s">
        <v>256</v>
      </c>
      <c r="Q9" s="133" t="s">
        <v>255</v>
      </c>
      <c r="R9" s="133" t="s">
        <v>256</v>
      </c>
      <c r="S9" s="11"/>
    </row>
    <row r="10" spans="2:19" ht="10.5" customHeight="1" thickBot="1">
      <c r="B10" s="5"/>
      <c r="C10" s="363"/>
      <c r="D10" s="363"/>
      <c r="E10" s="363"/>
      <c r="F10" s="364"/>
      <c r="G10" s="35"/>
      <c r="H10" s="325"/>
      <c r="I10" s="325"/>
      <c r="J10" s="325"/>
      <c r="K10" s="325"/>
      <c r="L10" s="325"/>
      <c r="M10" s="35"/>
      <c r="N10" s="35"/>
      <c r="O10" s="35"/>
      <c r="P10" s="35"/>
      <c r="Q10" s="365"/>
      <c r="R10" s="859"/>
      <c r="S10" s="11"/>
    </row>
    <row r="11" spans="2:19" ht="19.5" customHeight="1">
      <c r="B11" s="5"/>
      <c r="C11" s="1076" t="s">
        <v>479</v>
      </c>
      <c r="D11" s="1077"/>
      <c r="E11" s="1077"/>
      <c r="F11" s="1077"/>
      <c r="G11" s="1077"/>
      <c r="H11" s="1077"/>
      <c r="I11" s="1077"/>
      <c r="J11" s="1077"/>
      <c r="K11" s="1077"/>
      <c r="L11" s="1077"/>
      <c r="M11" s="1077"/>
      <c r="N11" s="1077"/>
      <c r="O11" s="1077"/>
      <c r="P11" s="1077"/>
      <c r="Q11" s="1077"/>
      <c r="R11" s="1078"/>
      <c r="S11" s="11"/>
    </row>
    <row r="12" spans="2:19" ht="19.5" customHeight="1">
      <c r="B12" s="5"/>
      <c r="C12" s="1038">
        <v>1</v>
      </c>
      <c r="D12" s="865">
        <v>2</v>
      </c>
      <c r="E12" s="865" t="s">
        <v>476</v>
      </c>
      <c r="F12" s="539">
        <v>14.22</v>
      </c>
      <c r="G12" s="20">
        <f aca="true" t="shared" si="0" ref="G12:G19">$G$41*$G$42*F12/3600</f>
        <v>0.3555</v>
      </c>
      <c r="H12" s="527">
        <v>6</v>
      </c>
      <c r="I12" s="527">
        <v>0.5</v>
      </c>
      <c r="J12" s="20">
        <f aca="true" t="shared" si="1" ref="J12:J19">ROUND(K12*PI()*(H12*0.0254/2)^2*1000,2)</f>
        <v>16.23</v>
      </c>
      <c r="K12" s="20">
        <f aca="true" t="shared" si="2" ref="K12:K19">ROUND(((H12*0.0254/4)^(2/3))/0.009*(I12/100)^(1/2),2)</f>
        <v>0.89</v>
      </c>
      <c r="L12" s="20">
        <f aca="true" t="shared" si="3" ref="L12:L19">ROUND(G12/J12,2)</f>
        <v>0.02</v>
      </c>
      <c r="M12" s="532">
        <v>13.1</v>
      </c>
      <c r="N12" s="532">
        <f aca="true" t="shared" si="4" ref="N12:N19">+(M12*I12)/100</f>
        <v>0.0655</v>
      </c>
      <c r="O12" s="532">
        <v>30.15</v>
      </c>
      <c r="P12" s="80">
        <v>30.11</v>
      </c>
      <c r="Q12" s="532">
        <f>+P12-N12</f>
        <v>30.0445</v>
      </c>
      <c r="R12" s="164">
        <f>+Q12-0.02</f>
        <v>30.0245</v>
      </c>
      <c r="S12" s="11"/>
    </row>
    <row r="13" spans="2:19" ht="19.5" customHeight="1">
      <c r="B13" s="5"/>
      <c r="C13" s="1038">
        <f>D12</f>
        <v>2</v>
      </c>
      <c r="D13" s="865">
        <v>3</v>
      </c>
      <c r="E13" s="865"/>
      <c r="F13" s="539">
        <f>F12+19.32</f>
        <v>33.54</v>
      </c>
      <c r="G13" s="20">
        <f t="shared" si="0"/>
        <v>0.8385</v>
      </c>
      <c r="H13" s="527">
        <v>6</v>
      </c>
      <c r="I13" s="527">
        <v>0.5</v>
      </c>
      <c r="J13" s="20">
        <f t="shared" si="1"/>
        <v>16.23</v>
      </c>
      <c r="K13" s="20">
        <f t="shared" si="2"/>
        <v>0.89</v>
      </c>
      <c r="L13" s="20">
        <f t="shared" si="3"/>
        <v>0.05</v>
      </c>
      <c r="M13" s="532">
        <v>14.8</v>
      </c>
      <c r="N13" s="532">
        <f t="shared" si="4"/>
        <v>0.07400000000000001</v>
      </c>
      <c r="O13" s="532">
        <f aca="true" t="shared" si="5" ref="O13:P19">+Q12</f>
        <v>30.0445</v>
      </c>
      <c r="P13" s="80">
        <f t="shared" si="5"/>
        <v>30.0245</v>
      </c>
      <c r="Q13" s="532">
        <f>+P13-N13</f>
        <v>29.950499999999998</v>
      </c>
      <c r="R13" s="164">
        <f>+Q13-0.06</f>
        <v>29.8905</v>
      </c>
      <c r="S13" s="11"/>
    </row>
    <row r="14" spans="2:19" ht="19.5" customHeight="1">
      <c r="B14" s="5"/>
      <c r="C14" s="1038">
        <f aca="true" t="shared" si="6" ref="C14:C33">D13</f>
        <v>3</v>
      </c>
      <c r="D14" s="865">
        <v>4</v>
      </c>
      <c r="E14" s="865"/>
      <c r="F14" s="539">
        <f>F13+24.96</f>
        <v>58.5</v>
      </c>
      <c r="G14" s="20">
        <f t="shared" si="0"/>
        <v>1.4625</v>
      </c>
      <c r="H14" s="527">
        <v>6</v>
      </c>
      <c r="I14" s="527">
        <v>0.5</v>
      </c>
      <c r="J14" s="20">
        <f aca="true" t="shared" si="7" ref="J14:J19">ROUND(K14*PI()*(H14*0.0254/2)^2*1000,2)</f>
        <v>16.23</v>
      </c>
      <c r="K14" s="20">
        <f aca="true" t="shared" si="8" ref="K14:K19">ROUND(((H14*0.0254/4)^(2/3))/0.009*(I14/100)^(1/2),2)</f>
        <v>0.89</v>
      </c>
      <c r="L14" s="20">
        <f aca="true" t="shared" si="9" ref="L14:L19">ROUND(G14/J14,2)</f>
        <v>0.09</v>
      </c>
      <c r="M14" s="532">
        <v>13.9</v>
      </c>
      <c r="N14" s="532">
        <f t="shared" si="4"/>
        <v>0.0695</v>
      </c>
      <c r="O14" s="532">
        <f t="shared" si="5"/>
        <v>29.950499999999998</v>
      </c>
      <c r="P14" s="80">
        <f t="shared" si="5"/>
        <v>29.8905</v>
      </c>
      <c r="Q14" s="532">
        <f aca="true" t="shared" si="10" ref="Q14:Q19">+P14-N14</f>
        <v>29.820999999999998</v>
      </c>
      <c r="R14" s="164">
        <f>+Q14-0.06</f>
        <v>29.761</v>
      </c>
      <c r="S14" s="11"/>
    </row>
    <row r="15" spans="2:19" ht="19.5" customHeight="1">
      <c r="B15" s="5"/>
      <c r="C15" s="1038">
        <f t="shared" si="6"/>
        <v>4</v>
      </c>
      <c r="D15" s="865">
        <v>5</v>
      </c>
      <c r="E15" s="865"/>
      <c r="F15" s="539">
        <f>F14+24.26</f>
        <v>82.76</v>
      </c>
      <c r="G15" s="20">
        <f t="shared" si="0"/>
        <v>2.069</v>
      </c>
      <c r="H15" s="527">
        <v>6</v>
      </c>
      <c r="I15" s="527">
        <v>0.5</v>
      </c>
      <c r="J15" s="20">
        <f t="shared" si="7"/>
        <v>16.23</v>
      </c>
      <c r="K15" s="20">
        <f t="shared" si="8"/>
        <v>0.89</v>
      </c>
      <c r="L15" s="20">
        <f t="shared" si="9"/>
        <v>0.13</v>
      </c>
      <c r="M15" s="532">
        <v>14.8</v>
      </c>
      <c r="N15" s="532">
        <f t="shared" si="4"/>
        <v>0.07400000000000001</v>
      </c>
      <c r="O15" s="532">
        <f t="shared" si="5"/>
        <v>29.820999999999998</v>
      </c>
      <c r="P15" s="80">
        <f t="shared" si="5"/>
        <v>29.761</v>
      </c>
      <c r="Q15" s="532">
        <f t="shared" si="10"/>
        <v>29.686999999999998</v>
      </c>
      <c r="R15" s="164">
        <f>+Q15-0.06</f>
        <v>29.627</v>
      </c>
      <c r="S15" s="11"/>
    </row>
    <row r="16" spans="2:19" ht="19.5" customHeight="1">
      <c r="B16" s="5"/>
      <c r="C16" s="1038">
        <f t="shared" si="6"/>
        <v>5</v>
      </c>
      <c r="D16" s="865">
        <v>6</v>
      </c>
      <c r="E16" s="865"/>
      <c r="F16" s="539">
        <f>F15+25.74+22.04</f>
        <v>130.54</v>
      </c>
      <c r="G16" s="20">
        <f t="shared" si="0"/>
        <v>3.2634999999999996</v>
      </c>
      <c r="H16" s="527">
        <v>6</v>
      </c>
      <c r="I16" s="527">
        <v>0.5</v>
      </c>
      <c r="J16" s="20">
        <f t="shared" si="7"/>
        <v>16.23</v>
      </c>
      <c r="K16" s="20">
        <f t="shared" si="8"/>
        <v>0.89</v>
      </c>
      <c r="L16" s="20">
        <f t="shared" si="9"/>
        <v>0.2</v>
      </c>
      <c r="M16" s="532">
        <v>12.8</v>
      </c>
      <c r="N16" s="532">
        <f t="shared" si="4"/>
        <v>0.064</v>
      </c>
      <c r="O16" s="532">
        <f t="shared" si="5"/>
        <v>29.686999999999998</v>
      </c>
      <c r="P16" s="80">
        <f t="shared" si="5"/>
        <v>29.627</v>
      </c>
      <c r="Q16" s="532">
        <f t="shared" si="10"/>
        <v>29.563</v>
      </c>
      <c r="R16" s="164">
        <f>+Q16-0.19</f>
        <v>29.372999999999998</v>
      </c>
      <c r="S16" s="11"/>
    </row>
    <row r="17" spans="2:19" ht="19.5" customHeight="1">
      <c r="B17" s="5"/>
      <c r="C17" s="1038">
        <f t="shared" si="6"/>
        <v>6</v>
      </c>
      <c r="D17" s="865">
        <v>15</v>
      </c>
      <c r="E17" s="865"/>
      <c r="F17" s="539">
        <f>F16+F28</f>
        <v>1243.8600000000001</v>
      </c>
      <c r="G17" s="20">
        <f t="shared" si="0"/>
        <v>31.096500000000002</v>
      </c>
      <c r="H17" s="527">
        <v>10</v>
      </c>
      <c r="I17" s="527">
        <v>0.5</v>
      </c>
      <c r="J17" s="20">
        <f t="shared" si="7"/>
        <v>63.34</v>
      </c>
      <c r="K17" s="20">
        <f t="shared" si="8"/>
        <v>1.25</v>
      </c>
      <c r="L17" s="20">
        <f t="shared" si="9"/>
        <v>0.49</v>
      </c>
      <c r="M17" s="532">
        <v>15.2</v>
      </c>
      <c r="N17" s="532">
        <f t="shared" si="4"/>
        <v>0.076</v>
      </c>
      <c r="O17" s="532">
        <f t="shared" si="5"/>
        <v>29.563</v>
      </c>
      <c r="P17" s="80">
        <f t="shared" si="5"/>
        <v>29.372999999999998</v>
      </c>
      <c r="Q17" s="532">
        <f t="shared" si="10"/>
        <v>29.296999999999997</v>
      </c>
      <c r="R17" s="164">
        <f>+Q17-0.05</f>
        <v>29.246999999999996</v>
      </c>
      <c r="S17" s="11"/>
    </row>
    <row r="18" spans="2:19" ht="19.5" customHeight="1">
      <c r="B18" s="5"/>
      <c r="C18" s="1038">
        <f t="shared" si="6"/>
        <v>15</v>
      </c>
      <c r="D18" s="865" t="s">
        <v>480</v>
      </c>
      <c r="E18" s="865"/>
      <c r="F18" s="539">
        <f>F17+F33</f>
        <v>2100.86</v>
      </c>
      <c r="G18" s="20">
        <f t="shared" si="0"/>
        <v>52.5215</v>
      </c>
      <c r="H18" s="527">
        <v>10</v>
      </c>
      <c r="I18" s="527">
        <v>0.5</v>
      </c>
      <c r="J18" s="20">
        <f t="shared" si="7"/>
        <v>63.34</v>
      </c>
      <c r="K18" s="20">
        <f t="shared" si="8"/>
        <v>1.25</v>
      </c>
      <c r="L18" s="20">
        <f t="shared" si="9"/>
        <v>0.83</v>
      </c>
      <c r="M18" s="532">
        <v>4.6</v>
      </c>
      <c r="N18" s="532">
        <f t="shared" si="4"/>
        <v>0.023</v>
      </c>
      <c r="O18" s="532">
        <f t="shared" si="5"/>
        <v>29.296999999999997</v>
      </c>
      <c r="P18" s="80">
        <f t="shared" si="5"/>
        <v>29.246999999999996</v>
      </c>
      <c r="Q18" s="532">
        <f t="shared" si="10"/>
        <v>29.223999999999997</v>
      </c>
      <c r="R18" s="164">
        <f>+Q18-0.05</f>
        <v>29.173999999999996</v>
      </c>
      <c r="S18" s="11"/>
    </row>
    <row r="19" spans="2:19" ht="19.5" customHeight="1">
      <c r="B19" s="5"/>
      <c r="C19" s="1038" t="str">
        <f t="shared" si="6"/>
        <v>PZ 20</v>
      </c>
      <c r="D19" s="865" t="s">
        <v>481</v>
      </c>
      <c r="E19" s="865"/>
      <c r="F19" s="539">
        <f>F18+F37</f>
        <v>2341.75</v>
      </c>
      <c r="G19" s="20">
        <f t="shared" si="0"/>
        <v>58.54375</v>
      </c>
      <c r="H19" s="527">
        <v>10</v>
      </c>
      <c r="I19" s="527">
        <v>1</v>
      </c>
      <c r="J19" s="20">
        <f t="shared" si="7"/>
        <v>89.69</v>
      </c>
      <c r="K19" s="20">
        <f t="shared" si="8"/>
        <v>1.77</v>
      </c>
      <c r="L19" s="20">
        <f t="shared" si="9"/>
        <v>0.65</v>
      </c>
      <c r="M19" s="532">
        <v>26.5</v>
      </c>
      <c r="N19" s="532">
        <f t="shared" si="4"/>
        <v>0.265</v>
      </c>
      <c r="O19" s="532">
        <f t="shared" si="5"/>
        <v>29.223999999999997</v>
      </c>
      <c r="P19" s="80">
        <f t="shared" si="5"/>
        <v>29.173999999999996</v>
      </c>
      <c r="Q19" s="532">
        <f t="shared" si="10"/>
        <v>28.908999999999995</v>
      </c>
      <c r="R19" s="1039" t="s">
        <v>482</v>
      </c>
      <c r="S19" s="11"/>
    </row>
    <row r="20" spans="2:19" ht="19.5" customHeight="1">
      <c r="B20" s="5"/>
      <c r="C20" s="1038"/>
      <c r="D20" s="865"/>
      <c r="E20" s="865"/>
      <c r="F20" s="539"/>
      <c r="G20" s="20"/>
      <c r="H20" s="527"/>
      <c r="I20" s="527"/>
      <c r="J20" s="20"/>
      <c r="K20" s="20"/>
      <c r="L20" s="20"/>
      <c r="M20" s="532"/>
      <c r="N20" s="532"/>
      <c r="O20" s="532"/>
      <c r="P20" s="80"/>
      <c r="Q20" s="532"/>
      <c r="R20" s="164"/>
      <c r="S20" s="11"/>
    </row>
    <row r="21" spans="2:19" ht="19.5" customHeight="1">
      <c r="B21" s="5"/>
      <c r="C21" s="1038">
        <v>7</v>
      </c>
      <c r="D21" s="865">
        <v>8</v>
      </c>
      <c r="E21" s="865" t="s">
        <v>476</v>
      </c>
      <c r="F21" s="539">
        <v>11.49</v>
      </c>
      <c r="G21" s="20">
        <f aca="true" t="shared" si="11" ref="G21:G28">$G$41*$G$42*F21/3600</f>
        <v>0.28724999999999995</v>
      </c>
      <c r="H21" s="527">
        <v>6</v>
      </c>
      <c r="I21" s="527">
        <v>0.5</v>
      </c>
      <c r="J21" s="20">
        <f aca="true" t="shared" si="12" ref="J21:J28">ROUND(K21*PI()*(H21*0.0254/2)^2*1000,2)</f>
        <v>16.23</v>
      </c>
      <c r="K21" s="20">
        <f aca="true" t="shared" si="13" ref="K21:K28">ROUND(((H21*0.0254/4)^(2/3))/0.009*(I21/100)^(1/2),2)</f>
        <v>0.89</v>
      </c>
      <c r="L21" s="20">
        <f aca="true" t="shared" si="14" ref="L21:L28">ROUND(G21/J21,2)</f>
        <v>0.02</v>
      </c>
      <c r="M21" s="532">
        <v>14.58</v>
      </c>
      <c r="N21" s="532">
        <f aca="true" t="shared" si="15" ref="N21:N28">+(M21*I21)/100</f>
        <v>0.0729</v>
      </c>
      <c r="O21" s="532">
        <v>30.11</v>
      </c>
      <c r="P21" s="80">
        <v>30.07</v>
      </c>
      <c r="Q21" s="532">
        <f aca="true" t="shared" si="16" ref="Q21:Q28">+P21-N21</f>
        <v>29.9971</v>
      </c>
      <c r="R21" s="164">
        <f>+Q21-0.04</f>
        <v>29.9571</v>
      </c>
      <c r="S21" s="11"/>
    </row>
    <row r="22" spans="2:19" ht="19.5" customHeight="1">
      <c r="B22" s="5"/>
      <c r="C22" s="1038">
        <f t="shared" si="6"/>
        <v>8</v>
      </c>
      <c r="D22" s="865">
        <v>9</v>
      </c>
      <c r="E22" s="865"/>
      <c r="F22" s="539">
        <f>F21+136.89+133.57</f>
        <v>281.95</v>
      </c>
      <c r="G22" s="20">
        <f t="shared" si="11"/>
        <v>7.04875</v>
      </c>
      <c r="H22" s="527">
        <v>6</v>
      </c>
      <c r="I22" s="527">
        <v>0.5</v>
      </c>
      <c r="J22" s="20">
        <f t="shared" si="12"/>
        <v>16.23</v>
      </c>
      <c r="K22" s="20">
        <f t="shared" si="13"/>
        <v>0.89</v>
      </c>
      <c r="L22" s="20">
        <f t="shared" si="14"/>
        <v>0.43</v>
      </c>
      <c r="M22" s="532">
        <f>3.4+5.1</f>
        <v>8.5</v>
      </c>
      <c r="N22" s="532">
        <f t="shared" si="15"/>
        <v>0.0425</v>
      </c>
      <c r="O22" s="532">
        <f aca="true" t="shared" si="17" ref="O22:P28">+Q21</f>
        <v>29.9971</v>
      </c>
      <c r="P22" s="80">
        <f t="shared" si="17"/>
        <v>29.9571</v>
      </c>
      <c r="Q22" s="532">
        <f t="shared" si="16"/>
        <v>29.9146</v>
      </c>
      <c r="R22" s="164">
        <f>+Q22-0.03</f>
        <v>29.8846</v>
      </c>
      <c r="S22" s="11"/>
    </row>
    <row r="23" spans="2:19" ht="19.5" customHeight="1">
      <c r="B23" s="5"/>
      <c r="C23" s="1038">
        <f t="shared" si="6"/>
        <v>9</v>
      </c>
      <c r="D23" s="865">
        <v>10</v>
      </c>
      <c r="E23" s="865"/>
      <c r="F23" s="539">
        <f>F22+122.66+114.56</f>
        <v>519.1700000000001</v>
      </c>
      <c r="G23" s="20">
        <f t="shared" si="11"/>
        <v>12.97925</v>
      </c>
      <c r="H23" s="527">
        <v>8</v>
      </c>
      <c r="I23" s="527">
        <v>0.5</v>
      </c>
      <c r="J23" s="20">
        <f t="shared" si="12"/>
        <v>35.02</v>
      </c>
      <c r="K23" s="20">
        <f t="shared" si="13"/>
        <v>1.08</v>
      </c>
      <c r="L23" s="20">
        <f t="shared" si="14"/>
        <v>0.37</v>
      </c>
      <c r="M23" s="532">
        <v>5.3</v>
      </c>
      <c r="N23" s="532">
        <f t="shared" si="15"/>
        <v>0.0265</v>
      </c>
      <c r="O23" s="532">
        <f t="shared" si="17"/>
        <v>29.9146</v>
      </c>
      <c r="P23" s="80">
        <f t="shared" si="17"/>
        <v>29.8846</v>
      </c>
      <c r="Q23" s="532">
        <f t="shared" si="16"/>
        <v>29.8581</v>
      </c>
      <c r="R23" s="164">
        <f aca="true" t="shared" si="18" ref="R22:R27">+Q23-0.05</f>
        <v>29.8081</v>
      </c>
      <c r="S23" s="11"/>
    </row>
    <row r="24" spans="2:19" ht="19.5" customHeight="1">
      <c r="B24" s="5"/>
      <c r="C24" s="1038">
        <f t="shared" si="6"/>
        <v>10</v>
      </c>
      <c r="D24" s="865">
        <v>11</v>
      </c>
      <c r="E24" s="865"/>
      <c r="F24" s="539">
        <f>F23+165.46</f>
        <v>684.6300000000001</v>
      </c>
      <c r="G24" s="20">
        <f t="shared" si="11"/>
        <v>17.115750000000002</v>
      </c>
      <c r="H24" s="527">
        <v>8</v>
      </c>
      <c r="I24" s="527">
        <v>0.5</v>
      </c>
      <c r="J24" s="20">
        <f t="shared" si="12"/>
        <v>35.02</v>
      </c>
      <c r="K24" s="20">
        <f t="shared" si="13"/>
        <v>1.08</v>
      </c>
      <c r="L24" s="20">
        <f t="shared" si="14"/>
        <v>0.49</v>
      </c>
      <c r="M24" s="532">
        <v>7.9</v>
      </c>
      <c r="N24" s="532">
        <f t="shared" si="15"/>
        <v>0.0395</v>
      </c>
      <c r="O24" s="532">
        <f t="shared" si="17"/>
        <v>29.8581</v>
      </c>
      <c r="P24" s="80">
        <f t="shared" si="17"/>
        <v>29.8081</v>
      </c>
      <c r="Q24" s="532">
        <f t="shared" si="16"/>
        <v>29.7686</v>
      </c>
      <c r="R24" s="164">
        <f>+Q24-0.06</f>
        <v>29.7086</v>
      </c>
      <c r="S24" s="11"/>
    </row>
    <row r="25" spans="2:19" ht="19.5" customHeight="1">
      <c r="B25" s="5"/>
      <c r="C25" s="1038">
        <f t="shared" si="6"/>
        <v>11</v>
      </c>
      <c r="D25" s="865">
        <v>12</v>
      </c>
      <c r="E25" s="865"/>
      <c r="F25" s="539">
        <f>F24</f>
        <v>684.6300000000001</v>
      </c>
      <c r="G25" s="20">
        <f t="shared" si="11"/>
        <v>17.115750000000002</v>
      </c>
      <c r="H25" s="527">
        <v>8</v>
      </c>
      <c r="I25" s="527">
        <v>0.5</v>
      </c>
      <c r="J25" s="20">
        <f t="shared" si="12"/>
        <v>35.02</v>
      </c>
      <c r="K25" s="20">
        <f t="shared" si="13"/>
        <v>1.08</v>
      </c>
      <c r="L25" s="20">
        <f t="shared" si="14"/>
        <v>0.49</v>
      </c>
      <c r="M25" s="532">
        <v>5.2</v>
      </c>
      <c r="N25" s="532">
        <f t="shared" si="15"/>
        <v>0.026000000000000002</v>
      </c>
      <c r="O25" s="532">
        <f t="shared" si="17"/>
        <v>29.7686</v>
      </c>
      <c r="P25" s="80">
        <f t="shared" si="17"/>
        <v>29.7086</v>
      </c>
      <c r="Q25" s="532">
        <f t="shared" si="16"/>
        <v>29.6826</v>
      </c>
      <c r="R25" s="164">
        <f t="shared" si="18"/>
        <v>29.6326</v>
      </c>
      <c r="S25" s="11"/>
    </row>
    <row r="26" spans="2:19" ht="19.5" customHeight="1">
      <c r="B26" s="5"/>
      <c r="C26" s="1038">
        <f t="shared" si="6"/>
        <v>12</v>
      </c>
      <c r="D26" s="865">
        <v>13</v>
      </c>
      <c r="E26" s="865"/>
      <c r="F26" s="539">
        <f>F25+133.56+95.5</f>
        <v>913.69</v>
      </c>
      <c r="G26" s="20">
        <f t="shared" si="11"/>
        <v>22.84225</v>
      </c>
      <c r="H26" s="527">
        <v>8</v>
      </c>
      <c r="I26" s="527">
        <v>0.5</v>
      </c>
      <c r="J26" s="20">
        <f t="shared" si="12"/>
        <v>35.02</v>
      </c>
      <c r="K26" s="20">
        <f t="shared" si="13"/>
        <v>1.08</v>
      </c>
      <c r="L26" s="20">
        <f t="shared" si="14"/>
        <v>0.65</v>
      </c>
      <c r="M26" s="532">
        <v>5.5</v>
      </c>
      <c r="N26" s="532">
        <f t="shared" si="15"/>
        <v>0.0275</v>
      </c>
      <c r="O26" s="532">
        <f t="shared" si="17"/>
        <v>29.6826</v>
      </c>
      <c r="P26" s="80">
        <f t="shared" si="17"/>
        <v>29.6326</v>
      </c>
      <c r="Q26" s="532">
        <f t="shared" si="16"/>
        <v>29.6051</v>
      </c>
      <c r="R26" s="164">
        <f>+Q26-0.06</f>
        <v>29.5451</v>
      </c>
      <c r="S26" s="11"/>
    </row>
    <row r="27" spans="2:19" ht="19.5" customHeight="1">
      <c r="B27" s="5"/>
      <c r="C27" s="1038">
        <f t="shared" si="6"/>
        <v>13</v>
      </c>
      <c r="D27" s="865">
        <v>14</v>
      </c>
      <c r="E27" s="865"/>
      <c r="F27" s="539">
        <f>F26+199.63</f>
        <v>1113.3200000000002</v>
      </c>
      <c r="G27" s="20">
        <f t="shared" si="11"/>
        <v>27.833000000000006</v>
      </c>
      <c r="H27" s="527">
        <v>8</v>
      </c>
      <c r="I27" s="527">
        <v>0.5</v>
      </c>
      <c r="J27" s="20">
        <f t="shared" si="12"/>
        <v>35.02</v>
      </c>
      <c r="K27" s="20">
        <f t="shared" si="13"/>
        <v>1.08</v>
      </c>
      <c r="L27" s="20">
        <f t="shared" si="14"/>
        <v>0.79</v>
      </c>
      <c r="M27" s="532">
        <v>8.5</v>
      </c>
      <c r="N27" s="532">
        <f t="shared" si="15"/>
        <v>0.0425</v>
      </c>
      <c r="O27" s="532">
        <f t="shared" si="17"/>
        <v>29.6051</v>
      </c>
      <c r="P27" s="80">
        <f t="shared" si="17"/>
        <v>29.5451</v>
      </c>
      <c r="Q27" s="532">
        <f t="shared" si="16"/>
        <v>29.5026</v>
      </c>
      <c r="R27" s="164">
        <f>+Q27-0.04</f>
        <v>29.462600000000002</v>
      </c>
      <c r="S27" s="11"/>
    </row>
    <row r="28" spans="2:19" ht="19.5" customHeight="1">
      <c r="B28" s="5"/>
      <c r="C28" s="1038">
        <f t="shared" si="6"/>
        <v>14</v>
      </c>
      <c r="D28" s="865">
        <v>6</v>
      </c>
      <c r="E28" s="865"/>
      <c r="F28" s="539">
        <f>F27</f>
        <v>1113.3200000000002</v>
      </c>
      <c r="G28" s="20">
        <f t="shared" si="11"/>
        <v>27.833000000000006</v>
      </c>
      <c r="H28" s="527">
        <v>8</v>
      </c>
      <c r="I28" s="527">
        <v>0.5</v>
      </c>
      <c r="J28" s="20">
        <f t="shared" si="12"/>
        <v>35.02</v>
      </c>
      <c r="K28" s="20">
        <f t="shared" si="13"/>
        <v>1.08</v>
      </c>
      <c r="L28" s="20">
        <f t="shared" si="14"/>
        <v>0.79</v>
      </c>
      <c r="M28" s="532">
        <v>6.9</v>
      </c>
      <c r="N28" s="532">
        <f t="shared" si="15"/>
        <v>0.0345</v>
      </c>
      <c r="O28" s="532">
        <f t="shared" si="17"/>
        <v>29.5026</v>
      </c>
      <c r="P28" s="80">
        <f t="shared" si="17"/>
        <v>29.462600000000002</v>
      </c>
      <c r="Q28" s="532">
        <f t="shared" si="16"/>
        <v>29.4281</v>
      </c>
      <c r="R28" s="1039" t="s">
        <v>482</v>
      </c>
      <c r="S28" s="11"/>
    </row>
    <row r="29" spans="2:19" ht="19.5" customHeight="1">
      <c r="B29" s="5"/>
      <c r="C29" s="1038"/>
      <c r="D29" s="865"/>
      <c r="E29" s="865"/>
      <c r="F29" s="539"/>
      <c r="G29" s="20"/>
      <c r="H29" s="527"/>
      <c r="I29" s="527"/>
      <c r="J29" s="20"/>
      <c r="K29" s="20"/>
      <c r="L29" s="20"/>
      <c r="M29" s="532"/>
      <c r="N29" s="532"/>
      <c r="O29" s="532"/>
      <c r="P29" s="80"/>
      <c r="Q29" s="532"/>
      <c r="R29" s="164"/>
      <c r="S29" s="11"/>
    </row>
    <row r="30" spans="2:19" ht="19.5" customHeight="1">
      <c r="B30" s="5"/>
      <c r="C30" s="1038">
        <v>16</v>
      </c>
      <c r="D30" s="865">
        <v>17</v>
      </c>
      <c r="E30" s="865" t="s">
        <v>476</v>
      </c>
      <c r="F30" s="539">
        <v>245.84</v>
      </c>
      <c r="G30" s="20">
        <f>$G$41*$G$42*F30/3600</f>
        <v>6.146</v>
      </c>
      <c r="H30" s="527">
        <v>6</v>
      </c>
      <c r="I30" s="527">
        <v>0.5</v>
      </c>
      <c r="J30" s="20">
        <f>ROUND(K30*PI()*(H30*0.0254/2)^2*1000,2)</f>
        <v>16.23</v>
      </c>
      <c r="K30" s="20">
        <f>ROUND(((H30*0.0254/4)^(2/3))/0.009*(I30/100)^(1/2),2)</f>
        <v>0.89</v>
      </c>
      <c r="L30" s="20">
        <f>ROUND(G30/J30,2)</f>
        <v>0.38</v>
      </c>
      <c r="M30" s="532">
        <f>6+14.2</f>
        <v>20.2</v>
      </c>
      <c r="N30" s="532">
        <f aca="true" t="shared" si="19" ref="N30:N37">+(M30*I30)/100</f>
        <v>0.10099999999999999</v>
      </c>
      <c r="O30" s="532">
        <v>30.25</v>
      </c>
      <c r="P30" s="80">
        <v>30.1</v>
      </c>
      <c r="Q30" s="532">
        <f>+P30-N30-0.1</f>
        <v>29.899</v>
      </c>
      <c r="R30" s="164">
        <f>+Q30-0.05</f>
        <v>29.849</v>
      </c>
      <c r="S30" s="11"/>
    </row>
    <row r="31" spans="2:19" ht="19.5" customHeight="1">
      <c r="B31" s="5"/>
      <c r="C31" s="1038">
        <f t="shared" si="6"/>
        <v>17</v>
      </c>
      <c r="D31" s="865">
        <v>18</v>
      </c>
      <c r="E31" s="865"/>
      <c r="F31" s="539">
        <f>F30+169.29</f>
        <v>415.13</v>
      </c>
      <c r="G31" s="20">
        <f>$G$41*$G$42*F31/3600</f>
        <v>10.37825</v>
      </c>
      <c r="H31" s="527">
        <v>6</v>
      </c>
      <c r="I31" s="527">
        <v>0.5</v>
      </c>
      <c r="J31" s="20">
        <f>ROUND(K31*PI()*(H31*0.0254/2)^2*1000,2)</f>
        <v>16.23</v>
      </c>
      <c r="K31" s="20">
        <f>ROUND(((H31*0.0254/4)^(2/3))/0.009*(I31/100)^(1/2),2)</f>
        <v>0.89</v>
      </c>
      <c r="L31" s="20">
        <f>ROUND(G31/J31,2)</f>
        <v>0.64</v>
      </c>
      <c r="M31" s="532">
        <v>17.7</v>
      </c>
      <c r="N31" s="532">
        <f t="shared" si="19"/>
        <v>0.0885</v>
      </c>
      <c r="O31" s="532">
        <f aca="true" t="shared" si="20" ref="O31:O37">+Q30</f>
        <v>29.899</v>
      </c>
      <c r="P31" s="80">
        <f aca="true" t="shared" si="21" ref="P31:P37">+R30</f>
        <v>29.849</v>
      </c>
      <c r="Q31" s="532">
        <f>+P31-N31</f>
        <v>29.7605</v>
      </c>
      <c r="R31" s="164">
        <f>+Q31-0.04</f>
        <v>29.7205</v>
      </c>
      <c r="S31" s="11"/>
    </row>
    <row r="32" spans="2:19" ht="19.5" customHeight="1">
      <c r="B32" s="5"/>
      <c r="C32" s="1038">
        <f t="shared" si="6"/>
        <v>18</v>
      </c>
      <c r="D32" s="865">
        <v>19</v>
      </c>
      <c r="E32" s="865"/>
      <c r="F32" s="539">
        <f>F31+193.01</f>
        <v>608.14</v>
      </c>
      <c r="G32" s="20">
        <f>$G$41*$G$42*F32/3600</f>
        <v>15.2035</v>
      </c>
      <c r="H32" s="527">
        <v>6</v>
      </c>
      <c r="I32" s="527">
        <v>0.5</v>
      </c>
      <c r="J32" s="20">
        <f>ROUND(K32*PI()*(H32*0.0254/2)^2*1000,2)</f>
        <v>16.23</v>
      </c>
      <c r="K32" s="20">
        <f>ROUND(((H32*0.0254/4)^(2/3))/0.009*(I32/100)^(1/2),2)</f>
        <v>0.89</v>
      </c>
      <c r="L32" s="20">
        <f>ROUND(G32/J32,2)</f>
        <v>0.94</v>
      </c>
      <c r="M32" s="532">
        <v>11.7</v>
      </c>
      <c r="N32" s="532">
        <f t="shared" si="19"/>
        <v>0.058499999999999996</v>
      </c>
      <c r="O32" s="532">
        <f t="shared" si="20"/>
        <v>29.7605</v>
      </c>
      <c r="P32" s="80">
        <f t="shared" si="21"/>
        <v>29.7205</v>
      </c>
      <c r="Q32" s="532">
        <f>+P32-N32</f>
        <v>29.662000000000003</v>
      </c>
      <c r="R32" s="164">
        <f>+Q32-0.08</f>
        <v>29.582000000000004</v>
      </c>
      <c r="S32" s="11"/>
    </row>
    <row r="33" spans="2:19" ht="19.5" customHeight="1">
      <c r="B33" s="5"/>
      <c r="C33" s="1038">
        <f t="shared" si="6"/>
        <v>19</v>
      </c>
      <c r="D33" s="865">
        <v>15</v>
      </c>
      <c r="E33" s="865"/>
      <c r="F33" s="539">
        <f>F32+123.76+72.8+52.3</f>
        <v>856.9999999999999</v>
      </c>
      <c r="G33" s="20">
        <f>$G$41*$G$42*F33/3600</f>
        <v>21.424999999999997</v>
      </c>
      <c r="H33" s="527">
        <v>8</v>
      </c>
      <c r="I33" s="527">
        <v>0.5</v>
      </c>
      <c r="J33" s="20">
        <f>ROUND(K33*PI()*(H33*0.0254/2)^2*1000,2)</f>
        <v>35.02</v>
      </c>
      <c r="K33" s="20">
        <f>ROUND(((H33*0.0254/4)^(2/3))/0.009*(I33/100)^(1/2),2)</f>
        <v>1.08</v>
      </c>
      <c r="L33" s="20">
        <f>ROUND(G33/J33,2)</f>
        <v>0.61</v>
      </c>
      <c r="M33" s="532">
        <v>2.7</v>
      </c>
      <c r="N33" s="532">
        <f t="shared" si="19"/>
        <v>0.013500000000000002</v>
      </c>
      <c r="O33" s="532">
        <f t="shared" si="20"/>
        <v>29.662000000000003</v>
      </c>
      <c r="P33" s="80">
        <f t="shared" si="21"/>
        <v>29.582000000000004</v>
      </c>
      <c r="Q33" s="532">
        <f>+P33-N33</f>
        <v>29.568500000000004</v>
      </c>
      <c r="R33" s="1039" t="s">
        <v>482</v>
      </c>
      <c r="S33" s="11"/>
    </row>
    <row r="34" spans="2:19" ht="19.5" customHeight="1">
      <c r="B34" s="5"/>
      <c r="C34" s="1038"/>
      <c r="D34" s="865"/>
      <c r="E34" s="865"/>
      <c r="F34" s="539"/>
      <c r="G34" s="20"/>
      <c r="H34" s="527"/>
      <c r="I34" s="527"/>
      <c r="J34" s="20"/>
      <c r="K34" s="20"/>
      <c r="L34" s="20"/>
      <c r="M34" s="532"/>
      <c r="N34" s="532"/>
      <c r="O34" s="532"/>
      <c r="P34" s="80"/>
      <c r="Q34" s="532"/>
      <c r="R34" s="164"/>
      <c r="S34" s="11"/>
    </row>
    <row r="35" spans="2:19" ht="19.5" customHeight="1">
      <c r="B35" s="5"/>
      <c r="C35" s="1038">
        <v>21</v>
      </c>
      <c r="D35" s="865">
        <v>22</v>
      </c>
      <c r="E35" s="865" t="s">
        <v>476</v>
      </c>
      <c r="F35" s="539">
        <v>108.09</v>
      </c>
      <c r="G35" s="20">
        <f>$G$41*$G$42*F35/3600</f>
        <v>2.7022500000000003</v>
      </c>
      <c r="H35" s="527">
        <v>6</v>
      </c>
      <c r="I35" s="527">
        <v>0.5</v>
      </c>
      <c r="J35" s="20">
        <f>ROUND(K35*PI()*(H35*0.0254/2)^2*1000,2)</f>
        <v>16.23</v>
      </c>
      <c r="K35" s="20">
        <f>ROUND(((H35*0.0254/4)^(2/3))/0.009*(I35/100)^(1/2),2)</f>
        <v>0.89</v>
      </c>
      <c r="L35" s="20">
        <f>ROUND(G35/J35,2)</f>
        <v>0.17</v>
      </c>
      <c r="M35" s="532">
        <v>13</v>
      </c>
      <c r="N35" s="532">
        <f t="shared" si="19"/>
        <v>0.065</v>
      </c>
      <c r="O35" s="532">
        <v>29.84</v>
      </c>
      <c r="P35" s="80">
        <v>29.8</v>
      </c>
      <c r="Q35" s="532">
        <f>+P35-N35-0.03</f>
        <v>29.705</v>
      </c>
      <c r="R35" s="164">
        <f>+Q35-0.05</f>
        <v>29.654999999999998</v>
      </c>
      <c r="S35" s="11"/>
    </row>
    <row r="36" spans="2:19" ht="19.5" customHeight="1">
      <c r="B36" s="5"/>
      <c r="C36" s="1038">
        <f>D35</f>
        <v>22</v>
      </c>
      <c r="D36" s="865">
        <v>23</v>
      </c>
      <c r="E36" s="865"/>
      <c r="F36" s="539">
        <f>F35+39.44</f>
        <v>147.53</v>
      </c>
      <c r="G36" s="20">
        <f>$G$41*$G$42*F36/3600</f>
        <v>3.68825</v>
      </c>
      <c r="H36" s="527">
        <v>6</v>
      </c>
      <c r="I36" s="527">
        <v>0.5</v>
      </c>
      <c r="J36" s="20">
        <f>ROUND(K36*PI()*(H36*0.0254/2)^2*1000,2)</f>
        <v>16.23</v>
      </c>
      <c r="K36" s="20">
        <f>ROUND(((H36*0.0254/4)^(2/3))/0.009*(I36/100)^(1/2),2)</f>
        <v>0.89</v>
      </c>
      <c r="L36" s="20">
        <f>ROUND(G36/J36,2)</f>
        <v>0.23</v>
      </c>
      <c r="M36" s="532">
        <v>18.2</v>
      </c>
      <c r="N36" s="532">
        <f t="shared" si="19"/>
        <v>0.091</v>
      </c>
      <c r="O36" s="532">
        <f t="shared" si="20"/>
        <v>29.705</v>
      </c>
      <c r="P36" s="80">
        <f t="shared" si="21"/>
        <v>29.654999999999998</v>
      </c>
      <c r="Q36" s="532">
        <f>+P36-N36</f>
        <v>29.563999999999997</v>
      </c>
      <c r="R36" s="164">
        <f>+Q36-0.06</f>
        <v>29.503999999999998</v>
      </c>
      <c r="S36" s="11"/>
    </row>
    <row r="37" spans="2:19" ht="19.5" customHeight="1">
      <c r="B37" s="5"/>
      <c r="C37" s="1038">
        <f>D36</f>
        <v>23</v>
      </c>
      <c r="D37" s="865" t="s">
        <v>480</v>
      </c>
      <c r="E37" s="865"/>
      <c r="F37" s="539">
        <f>F36+93.36</f>
        <v>240.89</v>
      </c>
      <c r="G37" s="20">
        <f>$G$41*$G$42*F37/3600</f>
        <v>6.02225</v>
      </c>
      <c r="H37" s="527">
        <v>6</v>
      </c>
      <c r="I37" s="527">
        <v>0.5</v>
      </c>
      <c r="J37" s="20">
        <f>ROUND(K37*PI()*(H37*0.0254/2)^2*1000,2)</f>
        <v>16.23</v>
      </c>
      <c r="K37" s="20">
        <f>ROUND(((H37*0.0254/4)^(2/3))/0.009*(I37/100)^(1/2),2)</f>
        <v>0.89</v>
      </c>
      <c r="L37" s="20">
        <f>ROUND(G37/J37,2)</f>
        <v>0.37</v>
      </c>
      <c r="M37" s="532">
        <v>2.95</v>
      </c>
      <c r="N37" s="532">
        <f t="shared" si="19"/>
        <v>0.014750000000000001</v>
      </c>
      <c r="O37" s="532">
        <f t="shared" si="20"/>
        <v>29.563999999999997</v>
      </c>
      <c r="P37" s="80">
        <f t="shared" si="21"/>
        <v>29.503999999999998</v>
      </c>
      <c r="Q37" s="532">
        <f>+P37-N37</f>
        <v>29.48925</v>
      </c>
      <c r="R37" s="1039" t="s">
        <v>482</v>
      </c>
      <c r="S37" s="11"/>
    </row>
    <row r="38" spans="2:19" ht="19.5" customHeight="1" thickBot="1">
      <c r="B38" s="16"/>
      <c r="C38" s="576"/>
      <c r="D38" s="37"/>
      <c r="E38" s="37"/>
      <c r="F38" s="577"/>
      <c r="G38" s="37"/>
      <c r="H38" s="36"/>
      <c r="I38" s="36"/>
      <c r="J38" s="36"/>
      <c r="K38" s="36"/>
      <c r="L38" s="37"/>
      <c r="M38" s="37"/>
      <c r="N38" s="37"/>
      <c r="O38" s="37"/>
      <c r="P38" s="37"/>
      <c r="Q38" s="36"/>
      <c r="R38" s="860"/>
      <c r="S38" s="11"/>
    </row>
    <row r="39" spans="2:19" ht="19.5" customHeight="1">
      <c r="B39" s="5"/>
      <c r="C39" s="1008" t="s">
        <v>239</v>
      </c>
      <c r="D39" s="1009"/>
      <c r="E39" s="1009"/>
      <c r="F39" s="1010"/>
      <c r="G39" s="1011"/>
      <c r="H39" s="909"/>
      <c r="J39" s="18"/>
      <c r="K39" s="18"/>
      <c r="L39" s="44"/>
      <c r="M39" s="44"/>
      <c r="N39" s="44"/>
      <c r="O39" s="44"/>
      <c r="P39" s="44"/>
      <c r="Q39" s="18"/>
      <c r="R39" s="275"/>
      <c r="S39" s="11"/>
    </row>
    <row r="40" spans="2:19" ht="19.5" customHeight="1">
      <c r="B40" s="5"/>
      <c r="C40" s="1012" t="s">
        <v>240</v>
      </c>
      <c r="D40" s="1009"/>
      <c r="E40" s="1009"/>
      <c r="F40" s="1010"/>
      <c r="G40" s="1011"/>
      <c r="H40" s="1009" t="s">
        <v>241</v>
      </c>
      <c r="J40" s="18"/>
      <c r="K40" s="18"/>
      <c r="L40" s="44"/>
      <c r="M40" s="44"/>
      <c r="N40" s="44"/>
      <c r="O40" s="44"/>
      <c r="P40" s="44"/>
      <c r="Q40" s="18"/>
      <c r="R40" s="275"/>
      <c r="S40" s="11"/>
    </row>
    <row r="41" spans="2:19" ht="19.5" customHeight="1">
      <c r="B41" s="5"/>
      <c r="C41" s="1012" t="s">
        <v>242</v>
      </c>
      <c r="D41" s="1009"/>
      <c r="E41" s="1009"/>
      <c r="F41" s="1010"/>
      <c r="G41" s="986">
        <v>0.9</v>
      </c>
      <c r="I41" s="82"/>
      <c r="J41" s="82"/>
      <c r="K41" s="82"/>
      <c r="L41" s="252"/>
      <c r="M41" s="220"/>
      <c r="N41" s="220"/>
      <c r="O41" s="220"/>
      <c r="P41" s="220"/>
      <c r="Q41" s="70"/>
      <c r="R41" s="1017"/>
      <c r="S41" s="11"/>
    </row>
    <row r="42" spans="2:19" ht="19.5" customHeight="1">
      <c r="B42" s="5"/>
      <c r="C42" s="1012" t="s">
        <v>244</v>
      </c>
      <c r="D42" s="1009"/>
      <c r="E42" s="1009"/>
      <c r="F42" s="1010"/>
      <c r="G42" s="986">
        <v>100</v>
      </c>
      <c r="H42" s="1009" t="s">
        <v>245</v>
      </c>
      <c r="J42" s="18"/>
      <c r="K42" s="18"/>
      <c r="L42" s="44"/>
      <c r="M42" s="44"/>
      <c r="N42" s="44"/>
      <c r="O42" s="44"/>
      <c r="P42" s="44"/>
      <c r="Q42" s="18"/>
      <c r="R42" s="275"/>
      <c r="S42" s="11"/>
    </row>
    <row r="43" spans="2:19" ht="19.5" customHeight="1" thickBot="1">
      <c r="B43" s="5"/>
      <c r="C43" s="1013" t="s">
        <v>246</v>
      </c>
      <c r="D43" s="1014"/>
      <c r="E43" s="1014"/>
      <c r="F43" s="1014"/>
      <c r="G43" s="1015"/>
      <c r="H43" s="1016" t="s">
        <v>247</v>
      </c>
      <c r="I43" s="327"/>
      <c r="J43" s="862"/>
      <c r="K43" s="862"/>
      <c r="L43" s="863"/>
      <c r="M43" s="863"/>
      <c r="N43" s="863"/>
      <c r="O43" s="863"/>
      <c r="P43" s="863"/>
      <c r="Q43" s="862"/>
      <c r="R43" s="864"/>
      <c r="S43" s="11"/>
    </row>
    <row r="44" spans="2:25" s="24" customFormat="1" ht="12" customHeight="1" thickBot="1">
      <c r="B44" s="21"/>
      <c r="C44" s="22"/>
      <c r="D44" s="22"/>
      <c r="E44" s="22"/>
      <c r="F44" s="367"/>
      <c r="G44" s="38"/>
      <c r="H44" s="22"/>
      <c r="I44" s="22"/>
      <c r="J44" s="22"/>
      <c r="K44" s="22"/>
      <c r="L44" s="22"/>
      <c r="M44" s="38"/>
      <c r="N44" s="38"/>
      <c r="O44" s="38"/>
      <c r="P44" s="38"/>
      <c r="Q44" s="22"/>
      <c r="R44" s="22"/>
      <c r="S44" s="23"/>
      <c r="U44" s="4"/>
      <c r="V44" s="4"/>
      <c r="W44" s="4"/>
      <c r="X44" s="4"/>
      <c r="Y44" s="4"/>
    </row>
    <row r="45" spans="6:25" s="24" customFormat="1" ht="14.25">
      <c r="F45" s="368"/>
      <c r="G45" s="39"/>
      <c r="M45" s="39"/>
      <c r="N45" s="39"/>
      <c r="O45" s="39"/>
      <c r="P45" s="39"/>
      <c r="U45" s="4"/>
      <c r="V45" s="4"/>
      <c r="W45" s="4"/>
      <c r="X45" s="4"/>
      <c r="Y45" s="4"/>
    </row>
    <row r="46" spans="6:25" s="24" customFormat="1" ht="15" thickBot="1">
      <c r="F46" s="368"/>
      <c r="G46" s="39"/>
      <c r="M46" s="39"/>
      <c r="N46" s="39"/>
      <c r="O46" s="39"/>
      <c r="P46" s="39"/>
      <c r="U46" s="4"/>
      <c r="V46" s="4"/>
      <c r="W46" s="4"/>
      <c r="X46" s="4"/>
      <c r="Y46" s="4"/>
    </row>
    <row r="47" spans="3:25" s="24" customFormat="1" ht="15.75" thickBot="1">
      <c r="C47" s="1018" t="s">
        <v>312</v>
      </c>
      <c r="D47" s="1019"/>
      <c r="E47" s="1019"/>
      <c r="F47" s="1020"/>
      <c r="G47" s="1021"/>
      <c r="H47" s="1019"/>
      <c r="I47" s="1019"/>
      <c r="J47" s="1019"/>
      <c r="K47" s="1019"/>
      <c r="L47" s="1019"/>
      <c r="M47" s="1022" t="s">
        <v>24</v>
      </c>
      <c r="N47" s="855"/>
      <c r="O47" s="855"/>
      <c r="P47" s="855"/>
      <c r="U47" s="4"/>
      <c r="V47" s="4"/>
      <c r="W47" s="4"/>
      <c r="X47" s="4"/>
      <c r="Y47" s="4"/>
    </row>
    <row r="48" spans="3:25" s="24" customFormat="1" ht="14.25">
      <c r="C48" s="1023" t="s">
        <v>314</v>
      </c>
      <c r="D48" s="1000"/>
      <c r="E48" s="1000"/>
      <c r="F48" s="1024"/>
      <c r="G48" s="1025"/>
      <c r="H48" s="1000"/>
      <c r="I48" s="1000"/>
      <c r="J48" s="1000"/>
      <c r="K48" s="1000"/>
      <c r="L48" s="1026"/>
      <c r="M48" s="1027">
        <v>0.9</v>
      </c>
      <c r="N48" s="856"/>
      <c r="O48" s="856"/>
      <c r="P48" s="856"/>
      <c r="U48" s="4"/>
      <c r="V48" s="4"/>
      <c r="W48" s="4"/>
      <c r="X48" s="4"/>
      <c r="Y48" s="4"/>
    </row>
    <row r="49" spans="3:25" s="24" customFormat="1" ht="14.25">
      <c r="C49" s="1023" t="s">
        <v>315</v>
      </c>
      <c r="D49" s="1000"/>
      <c r="E49" s="1000"/>
      <c r="F49" s="1024"/>
      <c r="G49" s="1025"/>
      <c r="H49" s="1000"/>
      <c r="I49" s="1000"/>
      <c r="J49" s="1000"/>
      <c r="K49" s="1000"/>
      <c r="L49" s="1026"/>
      <c r="M49" s="1027">
        <v>0.8</v>
      </c>
      <c r="N49" s="856"/>
      <c r="O49" s="856"/>
      <c r="P49" s="856"/>
      <c r="U49" s="4"/>
      <c r="V49" s="4"/>
      <c r="W49" s="4"/>
      <c r="X49" s="4"/>
      <c r="Y49" s="4"/>
    </row>
    <row r="50" spans="3:25" s="24" customFormat="1" ht="14.25">
      <c r="C50" s="1023" t="s">
        <v>316</v>
      </c>
      <c r="D50" s="1000"/>
      <c r="E50" s="1000"/>
      <c r="F50" s="1024"/>
      <c r="G50" s="1025"/>
      <c r="H50" s="1000"/>
      <c r="I50" s="1000"/>
      <c r="J50" s="1000"/>
      <c r="K50" s="1000"/>
      <c r="L50" s="1026"/>
      <c r="M50" s="1027">
        <v>0.7</v>
      </c>
      <c r="N50" s="856"/>
      <c r="O50" s="856"/>
      <c r="P50" s="856"/>
      <c r="U50" s="4"/>
      <c r="V50" s="4"/>
      <c r="W50" s="4"/>
      <c r="X50" s="4"/>
      <c r="Y50" s="4"/>
    </row>
    <row r="51" spans="3:16" ht="14.25">
      <c r="C51" s="1023" t="s">
        <v>317</v>
      </c>
      <c r="D51" s="909"/>
      <c r="E51" s="909"/>
      <c r="F51" s="909"/>
      <c r="G51" s="909"/>
      <c r="H51" s="909"/>
      <c r="I51" s="909"/>
      <c r="J51" s="909"/>
      <c r="K51" s="909"/>
      <c r="L51" s="935"/>
      <c r="M51" s="1027">
        <v>0.6</v>
      </c>
      <c r="N51" s="856"/>
      <c r="O51" s="856"/>
      <c r="P51" s="856"/>
    </row>
    <row r="52" spans="3:16" ht="14.25">
      <c r="C52" s="1023" t="s">
        <v>318</v>
      </c>
      <c r="D52" s="909"/>
      <c r="E52" s="909"/>
      <c r="F52" s="909"/>
      <c r="G52" s="909"/>
      <c r="H52" s="909"/>
      <c r="I52" s="909"/>
      <c r="J52" s="909"/>
      <c r="K52" s="909"/>
      <c r="L52" s="935"/>
      <c r="M52" s="1027">
        <v>0.5</v>
      </c>
      <c r="N52" s="856"/>
      <c r="O52" s="856"/>
      <c r="P52" s="856"/>
    </row>
    <row r="53" spans="3:25" s="24" customFormat="1" ht="14.25">
      <c r="C53" s="1023" t="s">
        <v>319</v>
      </c>
      <c r="D53" s="960"/>
      <c r="E53" s="960"/>
      <c r="F53" s="1000"/>
      <c r="G53" s="1000"/>
      <c r="H53" s="1000"/>
      <c r="I53" s="1000"/>
      <c r="J53" s="1000"/>
      <c r="K53" s="909"/>
      <c r="L53" s="935"/>
      <c r="M53" s="1027">
        <v>0.5</v>
      </c>
      <c r="N53" s="856"/>
      <c r="O53" s="856"/>
      <c r="P53" s="856"/>
      <c r="U53" s="4"/>
      <c r="V53" s="4"/>
      <c r="W53" s="4"/>
      <c r="X53" s="4"/>
      <c r="Y53" s="4"/>
    </row>
    <row r="54" spans="3:25" s="24" customFormat="1" ht="15" thickBot="1">
      <c r="C54" s="1028" t="s">
        <v>320</v>
      </c>
      <c r="D54" s="1029"/>
      <c r="E54" s="1029"/>
      <c r="F54" s="998"/>
      <c r="G54" s="998"/>
      <c r="H54" s="998"/>
      <c r="I54" s="998"/>
      <c r="J54" s="998"/>
      <c r="K54" s="1014"/>
      <c r="L54" s="951"/>
      <c r="M54" s="1030">
        <v>0.3</v>
      </c>
      <c r="N54" s="856"/>
      <c r="O54" s="856"/>
      <c r="P54" s="856"/>
      <c r="U54" s="4"/>
      <c r="V54" s="4"/>
      <c r="W54" s="4"/>
      <c r="X54" s="4"/>
      <c r="Y54" s="4"/>
    </row>
    <row r="55" spans="3:25" s="24" customFormat="1" ht="14.25">
      <c r="C55" s="481"/>
      <c r="D55" s="19"/>
      <c r="E55" s="19"/>
      <c r="K55" s="4"/>
      <c r="L55" s="4"/>
      <c r="M55" s="11"/>
      <c r="N55" s="4"/>
      <c r="O55" s="4"/>
      <c r="P55" s="4"/>
      <c r="U55" s="4"/>
      <c r="V55" s="4"/>
      <c r="W55" s="4"/>
      <c r="X55" s="4"/>
      <c r="Y55" s="4"/>
    </row>
    <row r="56" spans="3:25" s="24" customFormat="1" ht="14.25">
      <c r="C56" s="1073" t="s">
        <v>313</v>
      </c>
      <c r="D56" s="1074"/>
      <c r="E56" s="1074"/>
      <c r="F56" s="1074"/>
      <c r="G56" s="1074"/>
      <c r="H56" s="1074"/>
      <c r="I56" s="1074"/>
      <c r="J56" s="1074"/>
      <c r="K56" s="1074"/>
      <c r="L56" s="1074"/>
      <c r="M56" s="1075"/>
      <c r="N56" s="838"/>
      <c r="O56" s="838"/>
      <c r="P56" s="838"/>
      <c r="U56" s="4"/>
      <c r="V56" s="4"/>
      <c r="W56" s="4"/>
      <c r="X56" s="4"/>
      <c r="Y56" s="4"/>
    </row>
    <row r="57" spans="3:25" s="24" customFormat="1" ht="14.25">
      <c r="C57" s="1073"/>
      <c r="D57" s="1074"/>
      <c r="E57" s="1074"/>
      <c r="F57" s="1074"/>
      <c r="G57" s="1074"/>
      <c r="H57" s="1074"/>
      <c r="I57" s="1074"/>
      <c r="J57" s="1074"/>
      <c r="K57" s="1074"/>
      <c r="L57" s="1074"/>
      <c r="M57" s="1075"/>
      <c r="N57" s="838"/>
      <c r="O57" s="838"/>
      <c r="P57" s="838"/>
      <c r="U57" s="4"/>
      <c r="V57" s="4"/>
      <c r="W57" s="4"/>
      <c r="X57" s="4"/>
      <c r="Y57" s="4"/>
    </row>
    <row r="58" spans="3:25" s="24" customFormat="1" ht="14.25">
      <c r="C58" s="483"/>
      <c r="F58" s="368"/>
      <c r="G58" s="39"/>
      <c r="M58" s="482"/>
      <c r="N58" s="39"/>
      <c r="O58" s="39"/>
      <c r="P58" s="39"/>
      <c r="U58" s="4"/>
      <c r="V58" s="4"/>
      <c r="W58" s="4"/>
      <c r="X58" s="4"/>
      <c r="Y58" s="4"/>
    </row>
    <row r="59" spans="3:25" s="24" customFormat="1" ht="14.25">
      <c r="C59" s="484"/>
      <c r="F59" s="368"/>
      <c r="G59" s="39"/>
      <c r="M59" s="482"/>
      <c r="N59" s="39"/>
      <c r="O59" s="39"/>
      <c r="P59" s="39"/>
      <c r="U59" s="4"/>
      <c r="V59" s="4"/>
      <c r="W59" s="4"/>
      <c r="X59" s="4"/>
      <c r="Y59" s="4"/>
    </row>
    <row r="60" spans="3:25" s="24" customFormat="1" ht="15" thickBot="1">
      <c r="C60" s="485"/>
      <c r="D60" s="22"/>
      <c r="E60" s="22"/>
      <c r="F60" s="367"/>
      <c r="G60" s="38"/>
      <c r="H60" s="22"/>
      <c r="I60" s="22"/>
      <c r="J60" s="22"/>
      <c r="K60" s="22"/>
      <c r="L60" s="22"/>
      <c r="M60" s="486"/>
      <c r="N60" s="39"/>
      <c r="O60" s="39"/>
      <c r="P60" s="39"/>
      <c r="U60" s="4"/>
      <c r="V60" s="4"/>
      <c r="W60" s="4"/>
      <c r="X60" s="4"/>
      <c r="Y60" s="4"/>
    </row>
    <row r="61" spans="6:25" s="24" customFormat="1" ht="14.25">
      <c r="F61" s="368"/>
      <c r="G61" s="39"/>
      <c r="M61" s="39"/>
      <c r="N61" s="39"/>
      <c r="O61" s="39"/>
      <c r="P61" s="39"/>
      <c r="U61" s="4"/>
      <c r="V61" s="4"/>
      <c r="W61" s="4"/>
      <c r="X61" s="4"/>
      <c r="Y61" s="4"/>
    </row>
    <row r="62" spans="6:25" s="24" customFormat="1" ht="14.25">
      <c r="F62" s="368"/>
      <c r="G62" s="39"/>
      <c r="M62" s="39"/>
      <c r="N62" s="39"/>
      <c r="O62" s="39"/>
      <c r="P62" s="39"/>
      <c r="U62" s="4"/>
      <c r="V62" s="4"/>
      <c r="W62" s="4"/>
      <c r="X62" s="4"/>
      <c r="Y62" s="4"/>
    </row>
    <row r="63" spans="6:25" s="24" customFormat="1" ht="14.25">
      <c r="F63" s="368"/>
      <c r="G63" s="39"/>
      <c r="M63" s="39"/>
      <c r="N63" s="39"/>
      <c r="O63" s="39"/>
      <c r="P63" s="39"/>
      <c r="U63" s="4"/>
      <c r="V63" s="4"/>
      <c r="W63" s="4"/>
      <c r="X63" s="4"/>
      <c r="Y63" s="4"/>
    </row>
    <row r="64" spans="6:25" s="24" customFormat="1" ht="14.25">
      <c r="F64" s="368"/>
      <c r="G64" s="39"/>
      <c r="M64" s="39"/>
      <c r="N64" s="39"/>
      <c r="O64" s="39"/>
      <c r="P64" s="39"/>
      <c r="U64" s="4"/>
      <c r="V64" s="4"/>
      <c r="W64" s="4"/>
      <c r="X64" s="4"/>
      <c r="Y64" s="4"/>
    </row>
    <row r="65" spans="6:25" s="24" customFormat="1" ht="14.25">
      <c r="F65" s="368"/>
      <c r="G65" s="39"/>
      <c r="M65" s="39"/>
      <c r="N65" s="39"/>
      <c r="O65" s="39"/>
      <c r="P65" s="39"/>
      <c r="U65" s="4"/>
      <c r="V65" s="4"/>
      <c r="W65" s="4"/>
      <c r="X65" s="4"/>
      <c r="Y65" s="4"/>
    </row>
    <row r="66" spans="6:25" s="24" customFormat="1" ht="14.25">
      <c r="F66" s="368"/>
      <c r="G66" s="39"/>
      <c r="M66" s="39"/>
      <c r="N66" s="39"/>
      <c r="O66" s="39"/>
      <c r="P66" s="39"/>
      <c r="U66" s="4"/>
      <c r="V66" s="4"/>
      <c r="W66" s="4"/>
      <c r="X66" s="4"/>
      <c r="Y66" s="4"/>
    </row>
    <row r="67" spans="6:25" s="24" customFormat="1" ht="14.25">
      <c r="F67" s="368"/>
      <c r="G67" s="39"/>
      <c r="M67" s="39"/>
      <c r="N67" s="39"/>
      <c r="O67" s="39"/>
      <c r="P67" s="39"/>
      <c r="U67" s="4"/>
      <c r="V67" s="4"/>
      <c r="W67" s="4"/>
      <c r="X67" s="4"/>
      <c r="Y67" s="4"/>
    </row>
    <row r="68" spans="6:25" s="24" customFormat="1" ht="14.25">
      <c r="F68" s="368"/>
      <c r="G68" s="39"/>
      <c r="M68" s="39"/>
      <c r="N68" s="39"/>
      <c r="O68" s="39"/>
      <c r="P68" s="39"/>
      <c r="U68" s="4"/>
      <c r="V68" s="4"/>
      <c r="W68" s="4"/>
      <c r="X68" s="4"/>
      <c r="Y68" s="4"/>
    </row>
    <row r="69" spans="6:25" s="24" customFormat="1" ht="14.25">
      <c r="F69" s="368"/>
      <c r="G69" s="39"/>
      <c r="M69" s="39"/>
      <c r="N69" s="39"/>
      <c r="O69" s="39"/>
      <c r="P69" s="39"/>
      <c r="U69" s="4"/>
      <c r="V69" s="4"/>
      <c r="W69" s="4"/>
      <c r="X69" s="4"/>
      <c r="Y69" s="4"/>
    </row>
    <row r="70" spans="6:16" s="24" customFormat="1" ht="14.25">
      <c r="F70" s="368"/>
      <c r="G70" s="39"/>
      <c r="M70" s="39"/>
      <c r="N70" s="39"/>
      <c r="O70" s="39"/>
      <c r="P70" s="39"/>
    </row>
    <row r="71" spans="6:16" s="24" customFormat="1" ht="14.25">
      <c r="F71" s="368"/>
      <c r="G71" s="39"/>
      <c r="M71" s="39"/>
      <c r="N71" s="39"/>
      <c r="O71" s="39"/>
      <c r="P71" s="39"/>
    </row>
    <row r="72" spans="6:16" s="24" customFormat="1" ht="14.25">
      <c r="F72" s="368"/>
      <c r="G72" s="39"/>
      <c r="M72" s="39"/>
      <c r="N72" s="39"/>
      <c r="O72" s="39"/>
      <c r="P72" s="39"/>
    </row>
    <row r="73" spans="6:16" s="24" customFormat="1" ht="14.25">
      <c r="F73" s="368"/>
      <c r="G73" s="39"/>
      <c r="M73" s="39"/>
      <c r="N73" s="39"/>
      <c r="O73" s="39"/>
      <c r="P73" s="39"/>
    </row>
    <row r="74" spans="6:16" s="24" customFormat="1" ht="14.25">
      <c r="F74" s="368"/>
      <c r="G74" s="39"/>
      <c r="M74" s="39"/>
      <c r="N74" s="39"/>
      <c r="O74" s="39"/>
      <c r="P74" s="39"/>
    </row>
    <row r="75" spans="6:16" s="24" customFormat="1" ht="14.25">
      <c r="F75" s="368"/>
      <c r="G75" s="39"/>
      <c r="M75" s="39"/>
      <c r="N75" s="39"/>
      <c r="O75" s="39"/>
      <c r="P75" s="39"/>
    </row>
    <row r="76" spans="6:16" s="24" customFormat="1" ht="14.25">
      <c r="F76" s="368"/>
      <c r="G76" s="39"/>
      <c r="M76" s="39"/>
      <c r="N76" s="39"/>
      <c r="O76" s="39"/>
      <c r="P76" s="39"/>
    </row>
    <row r="77" spans="6:16" s="24" customFormat="1" ht="14.25">
      <c r="F77" s="368"/>
      <c r="G77" s="39"/>
      <c r="M77" s="39"/>
      <c r="N77" s="39"/>
      <c r="O77" s="39"/>
      <c r="P77" s="39"/>
    </row>
    <row r="78" spans="6:16" s="24" customFormat="1" ht="14.25">
      <c r="F78" s="368"/>
      <c r="G78" s="39"/>
      <c r="M78" s="39"/>
      <c r="N78" s="39"/>
      <c r="O78" s="39"/>
      <c r="P78" s="39"/>
    </row>
    <row r="79" spans="6:16" s="24" customFormat="1" ht="14.25">
      <c r="F79" s="368"/>
      <c r="G79" s="39"/>
      <c r="M79" s="39"/>
      <c r="N79" s="39"/>
      <c r="O79" s="39"/>
      <c r="P79" s="39"/>
    </row>
    <row r="80" spans="6:16" s="24" customFormat="1" ht="14.25">
      <c r="F80" s="368"/>
      <c r="G80" s="39"/>
      <c r="M80" s="39"/>
      <c r="N80" s="39"/>
      <c r="O80" s="39"/>
      <c r="P80" s="39"/>
    </row>
    <row r="81" spans="6:16" s="24" customFormat="1" ht="14.25">
      <c r="F81" s="368"/>
      <c r="G81" s="39"/>
      <c r="M81" s="39"/>
      <c r="N81" s="39"/>
      <c r="O81" s="39"/>
      <c r="P81" s="39"/>
    </row>
    <row r="82" spans="6:16" s="24" customFormat="1" ht="14.25">
      <c r="F82" s="368"/>
      <c r="G82" s="39"/>
      <c r="M82" s="39"/>
      <c r="N82" s="39"/>
      <c r="O82" s="39"/>
      <c r="P82" s="39"/>
    </row>
    <row r="83" spans="6:16" s="24" customFormat="1" ht="14.25">
      <c r="F83" s="368"/>
      <c r="G83" s="39"/>
      <c r="M83" s="39"/>
      <c r="N83" s="39"/>
      <c r="O83" s="39"/>
      <c r="P83" s="39"/>
    </row>
    <row r="84" spans="6:16" s="24" customFormat="1" ht="14.25">
      <c r="F84" s="368"/>
      <c r="G84" s="39"/>
      <c r="M84" s="39"/>
      <c r="N84" s="39"/>
      <c r="O84" s="39"/>
      <c r="P84" s="39"/>
    </row>
    <row r="85" spans="6:16" s="24" customFormat="1" ht="14.25">
      <c r="F85" s="368"/>
      <c r="G85" s="39"/>
      <c r="M85" s="39"/>
      <c r="N85" s="39"/>
      <c r="O85" s="39"/>
      <c r="P85" s="39"/>
    </row>
    <row r="86" spans="6:16" s="24" customFormat="1" ht="14.25">
      <c r="F86" s="368"/>
      <c r="G86" s="39"/>
      <c r="M86" s="39"/>
      <c r="N86" s="39"/>
      <c r="O86" s="39"/>
      <c r="P86" s="39"/>
    </row>
    <row r="87" spans="6:16" s="24" customFormat="1" ht="14.25">
      <c r="F87" s="368"/>
      <c r="G87" s="39"/>
      <c r="M87" s="39"/>
      <c r="N87" s="39"/>
      <c r="O87" s="39"/>
      <c r="P87" s="39"/>
    </row>
    <row r="88" spans="6:16" s="24" customFormat="1" ht="14.25">
      <c r="F88" s="368"/>
      <c r="G88" s="39"/>
      <c r="M88" s="39"/>
      <c r="N88" s="39"/>
      <c r="O88" s="39"/>
      <c r="P88" s="39"/>
    </row>
    <row r="89" spans="6:16" s="24" customFormat="1" ht="14.25">
      <c r="F89" s="368"/>
      <c r="G89" s="39"/>
      <c r="M89" s="39"/>
      <c r="N89" s="39"/>
      <c r="O89" s="39"/>
      <c r="P89" s="39"/>
    </row>
    <row r="90" spans="6:16" s="24" customFormat="1" ht="14.25">
      <c r="F90" s="368"/>
      <c r="G90" s="39"/>
      <c r="M90" s="39"/>
      <c r="N90" s="39"/>
      <c r="O90" s="39"/>
      <c r="P90" s="39"/>
    </row>
    <row r="91" spans="6:16" s="24" customFormat="1" ht="14.25" customHeight="1">
      <c r="F91" s="368"/>
      <c r="G91" s="39"/>
      <c r="M91" s="39"/>
      <c r="N91" s="39"/>
      <c r="O91" s="39"/>
      <c r="P91" s="39"/>
    </row>
    <row r="92" spans="6:16" s="24" customFormat="1" ht="14.25">
      <c r="F92" s="368"/>
      <c r="G92" s="39"/>
      <c r="M92" s="39"/>
      <c r="N92" s="39"/>
      <c r="O92" s="39"/>
      <c r="P92" s="39"/>
    </row>
    <row r="93" spans="6:16" s="24" customFormat="1" ht="14.25" customHeight="1">
      <c r="F93" s="368"/>
      <c r="G93" s="39"/>
      <c r="M93" s="39"/>
      <c r="N93" s="39"/>
      <c r="O93" s="39"/>
      <c r="P93" s="39"/>
    </row>
    <row r="94" spans="6:16" s="24" customFormat="1" ht="14.25" customHeight="1">
      <c r="F94" s="368"/>
      <c r="G94" s="39"/>
      <c r="M94" s="39"/>
      <c r="N94" s="39"/>
      <c r="O94" s="39"/>
      <c r="P94" s="39"/>
    </row>
    <row r="95" spans="6:16" s="24" customFormat="1" ht="14.25" customHeight="1">
      <c r="F95" s="368"/>
      <c r="G95" s="39"/>
      <c r="M95" s="39"/>
      <c r="N95" s="39"/>
      <c r="O95" s="39"/>
      <c r="P95" s="39"/>
    </row>
    <row r="96" spans="6:16" s="24" customFormat="1" ht="14.25" customHeight="1">
      <c r="F96" s="368"/>
      <c r="G96" s="39"/>
      <c r="M96" s="39"/>
      <c r="N96" s="39"/>
      <c r="O96" s="39"/>
      <c r="P96" s="39"/>
    </row>
    <row r="97" spans="6:16" s="24" customFormat="1" ht="14.25" customHeight="1">
      <c r="F97" s="368"/>
      <c r="G97" s="39"/>
      <c r="M97" s="39"/>
      <c r="N97" s="39"/>
      <c r="O97" s="39"/>
      <c r="P97" s="39"/>
    </row>
    <row r="98" spans="6:16" s="24" customFormat="1" ht="14.25">
      <c r="F98" s="368"/>
      <c r="G98" s="39"/>
      <c r="M98" s="39"/>
      <c r="N98" s="39"/>
      <c r="O98" s="39"/>
      <c r="P98" s="39"/>
    </row>
    <row r="99" spans="6:16" s="25" customFormat="1" ht="15" customHeight="1">
      <c r="F99" s="369"/>
      <c r="G99" s="41"/>
      <c r="M99" s="41"/>
      <c r="N99" s="41"/>
      <c r="O99" s="41"/>
      <c r="P99" s="41"/>
    </row>
    <row r="100" spans="6:16" s="24" customFormat="1" ht="14.25" customHeight="1">
      <c r="F100" s="368"/>
      <c r="G100" s="39"/>
      <c r="M100" s="39"/>
      <c r="N100" s="39"/>
      <c r="O100" s="39"/>
      <c r="P100" s="39"/>
    </row>
    <row r="101" spans="6:16" s="24" customFormat="1" ht="14.25" customHeight="1">
      <c r="F101" s="368"/>
      <c r="G101" s="39"/>
      <c r="M101" s="39"/>
      <c r="N101" s="39"/>
      <c r="O101" s="39"/>
      <c r="P101" s="39"/>
    </row>
    <row r="102" spans="6:16" s="24" customFormat="1" ht="14.25" customHeight="1">
      <c r="F102" s="368"/>
      <c r="G102" s="39"/>
      <c r="M102" s="39"/>
      <c r="N102" s="39"/>
      <c r="O102" s="39"/>
      <c r="P102" s="39"/>
    </row>
    <row r="103" spans="6:16" s="24" customFormat="1" ht="14.25" customHeight="1">
      <c r="F103" s="368"/>
      <c r="G103" s="39"/>
      <c r="M103" s="39"/>
      <c r="N103" s="39"/>
      <c r="O103" s="39"/>
      <c r="P103" s="39"/>
    </row>
    <row r="104" spans="6:16" s="24" customFormat="1" ht="14.25" customHeight="1">
      <c r="F104" s="368"/>
      <c r="G104" s="39"/>
      <c r="M104" s="39"/>
      <c r="N104" s="39"/>
      <c r="O104" s="39"/>
      <c r="P104" s="39"/>
    </row>
    <row r="105" spans="6:16" s="24" customFormat="1" ht="14.25" customHeight="1">
      <c r="F105" s="368"/>
      <c r="G105" s="39"/>
      <c r="M105" s="39"/>
      <c r="N105" s="39"/>
      <c r="O105" s="39"/>
      <c r="P105" s="39"/>
    </row>
    <row r="106" spans="6:16" s="24" customFormat="1" ht="14.25">
      <c r="F106" s="368"/>
      <c r="G106" s="39"/>
      <c r="M106" s="39"/>
      <c r="N106" s="39"/>
      <c r="O106" s="39"/>
      <c r="P106" s="39"/>
    </row>
    <row r="107" spans="6:16" s="24" customFormat="1" ht="14.25">
      <c r="F107" s="368"/>
      <c r="G107" s="39"/>
      <c r="M107" s="39"/>
      <c r="N107" s="39"/>
      <c r="O107" s="39"/>
      <c r="P107" s="39"/>
    </row>
    <row r="108" spans="6:16" s="24" customFormat="1" ht="14.25">
      <c r="F108" s="368"/>
      <c r="G108" s="39"/>
      <c r="M108" s="39"/>
      <c r="N108" s="39"/>
      <c r="O108" s="39"/>
      <c r="P108" s="39"/>
    </row>
    <row r="109" spans="6:16" s="24" customFormat="1" ht="14.25">
      <c r="F109" s="368"/>
      <c r="G109" s="39"/>
      <c r="M109" s="39"/>
      <c r="N109" s="39"/>
      <c r="O109" s="39"/>
      <c r="P109" s="39"/>
    </row>
    <row r="110" spans="6:16" s="24" customFormat="1" ht="14.25">
      <c r="F110" s="368"/>
      <c r="G110" s="39"/>
      <c r="M110" s="39"/>
      <c r="N110" s="39"/>
      <c r="O110" s="39"/>
      <c r="P110" s="39"/>
    </row>
    <row r="111" spans="6:16" s="24" customFormat="1" ht="14.25">
      <c r="F111" s="368"/>
      <c r="G111" s="39"/>
      <c r="M111" s="39"/>
      <c r="N111" s="39"/>
      <c r="O111" s="39"/>
      <c r="P111" s="39"/>
    </row>
    <row r="112" spans="6:16" s="24" customFormat="1" ht="14.25">
      <c r="F112" s="368"/>
      <c r="G112" s="39"/>
      <c r="M112" s="39"/>
      <c r="N112" s="39"/>
      <c r="O112" s="39"/>
      <c r="P112" s="39"/>
    </row>
    <row r="113" spans="6:16" s="24" customFormat="1" ht="14.25">
      <c r="F113" s="368"/>
      <c r="G113" s="39"/>
      <c r="M113" s="39"/>
      <c r="N113" s="39"/>
      <c r="O113" s="39"/>
      <c r="P113" s="39"/>
    </row>
    <row r="114" spans="6:16" s="24" customFormat="1" ht="14.25">
      <c r="F114" s="368"/>
      <c r="G114" s="39"/>
      <c r="M114" s="39"/>
      <c r="N114" s="39"/>
      <c r="O114" s="39"/>
      <c r="P114" s="39"/>
    </row>
    <row r="115" spans="6:16" s="24" customFormat="1" ht="14.25">
      <c r="F115" s="368"/>
      <c r="G115" s="39"/>
      <c r="M115" s="39"/>
      <c r="N115" s="39"/>
      <c r="O115" s="39"/>
      <c r="P115" s="39"/>
    </row>
    <row r="116" spans="6:16" s="24" customFormat="1" ht="14.25">
      <c r="F116" s="368"/>
      <c r="G116" s="39"/>
      <c r="M116" s="39"/>
      <c r="N116" s="39"/>
      <c r="O116" s="39"/>
      <c r="P116" s="39"/>
    </row>
    <row r="117" spans="6:16" s="24" customFormat="1" ht="14.25">
      <c r="F117" s="368"/>
      <c r="G117" s="39"/>
      <c r="M117" s="39"/>
      <c r="N117" s="39"/>
      <c r="O117" s="39"/>
      <c r="P117" s="39"/>
    </row>
    <row r="118" spans="6:16" s="24" customFormat="1" ht="14.25">
      <c r="F118" s="368"/>
      <c r="G118" s="39"/>
      <c r="M118" s="39"/>
      <c r="N118" s="39"/>
      <c r="O118" s="39"/>
      <c r="P118" s="39"/>
    </row>
    <row r="119" spans="6:16" s="24" customFormat="1" ht="14.25">
      <c r="F119" s="368"/>
      <c r="G119" s="39"/>
      <c r="M119" s="39"/>
      <c r="N119" s="39"/>
      <c r="O119" s="39"/>
      <c r="P119" s="39"/>
    </row>
    <row r="120" spans="6:16" s="24" customFormat="1" ht="14.25">
      <c r="F120" s="368"/>
      <c r="G120" s="39"/>
      <c r="M120" s="39"/>
      <c r="N120" s="39"/>
      <c r="O120" s="39"/>
      <c r="P120" s="39"/>
    </row>
    <row r="121" spans="6:16" s="24" customFormat="1" ht="14.25">
      <c r="F121" s="368"/>
      <c r="G121" s="39"/>
      <c r="M121" s="39"/>
      <c r="N121" s="39"/>
      <c r="O121" s="39"/>
      <c r="P121" s="39"/>
    </row>
    <row r="122" spans="6:16" s="24" customFormat="1" ht="14.25">
      <c r="F122" s="368"/>
      <c r="G122" s="39"/>
      <c r="M122" s="39"/>
      <c r="N122" s="39"/>
      <c r="O122" s="39"/>
      <c r="P122" s="39"/>
    </row>
    <row r="123" spans="6:16" s="24" customFormat="1" ht="14.25">
      <c r="F123" s="368"/>
      <c r="G123" s="39"/>
      <c r="M123" s="39"/>
      <c r="N123" s="39"/>
      <c r="O123" s="39"/>
      <c r="P123" s="39"/>
    </row>
    <row r="124" spans="6:16" s="24" customFormat="1" ht="14.25">
      <c r="F124" s="368"/>
      <c r="G124" s="39"/>
      <c r="M124" s="39"/>
      <c r="N124" s="39"/>
      <c r="O124" s="39"/>
      <c r="P124" s="39"/>
    </row>
    <row r="125" spans="6:16" s="24" customFormat="1" ht="14.25">
      <c r="F125" s="368"/>
      <c r="G125" s="39"/>
      <c r="M125" s="39"/>
      <c r="N125" s="39"/>
      <c r="O125" s="39"/>
      <c r="P125" s="39"/>
    </row>
    <row r="126" spans="6:16" s="24" customFormat="1" ht="14.25">
      <c r="F126" s="368"/>
      <c r="G126" s="39"/>
      <c r="M126" s="39"/>
      <c r="N126" s="39"/>
      <c r="O126" s="39"/>
      <c r="P126" s="39"/>
    </row>
    <row r="127" spans="6:16" s="24" customFormat="1" ht="14.25">
      <c r="F127" s="368"/>
      <c r="G127" s="39"/>
      <c r="M127" s="39"/>
      <c r="N127" s="39"/>
      <c r="O127" s="39"/>
      <c r="P127" s="39"/>
    </row>
    <row r="128" spans="6:16" s="24" customFormat="1" ht="14.25">
      <c r="F128" s="368"/>
      <c r="G128" s="39"/>
      <c r="M128" s="39"/>
      <c r="N128" s="39"/>
      <c r="O128" s="39"/>
      <c r="P128" s="39"/>
    </row>
    <row r="129" spans="6:16" s="24" customFormat="1" ht="14.25">
      <c r="F129" s="368"/>
      <c r="G129" s="39"/>
      <c r="M129" s="39"/>
      <c r="N129" s="39"/>
      <c r="O129" s="39"/>
      <c r="P129" s="39"/>
    </row>
    <row r="130" spans="6:16" s="24" customFormat="1" ht="14.25">
      <c r="F130" s="368"/>
      <c r="G130" s="39"/>
      <c r="M130" s="39"/>
      <c r="N130" s="39"/>
      <c r="O130" s="39"/>
      <c r="P130" s="39"/>
    </row>
    <row r="131" spans="6:16" s="24" customFormat="1" ht="14.25">
      <c r="F131" s="368"/>
      <c r="G131" s="39"/>
      <c r="M131" s="39"/>
      <c r="N131" s="39"/>
      <c r="O131" s="39"/>
      <c r="P131" s="39"/>
    </row>
    <row r="132" spans="6:16" s="24" customFormat="1" ht="14.25">
      <c r="F132" s="368"/>
      <c r="G132" s="39"/>
      <c r="M132" s="39"/>
      <c r="N132" s="39"/>
      <c r="O132" s="39"/>
      <c r="P132" s="39"/>
    </row>
    <row r="133" spans="6:16" s="24" customFormat="1" ht="14.25">
      <c r="F133" s="368"/>
      <c r="G133" s="39"/>
      <c r="M133" s="39"/>
      <c r="N133" s="39"/>
      <c r="O133" s="39"/>
      <c r="P133" s="39"/>
    </row>
    <row r="134" spans="6:16" s="24" customFormat="1" ht="14.25">
      <c r="F134" s="368"/>
      <c r="G134" s="39"/>
      <c r="M134" s="39"/>
      <c r="N134" s="39"/>
      <c r="O134" s="39"/>
      <c r="P134" s="39"/>
    </row>
    <row r="135" spans="6:16" s="24" customFormat="1" ht="14.25">
      <c r="F135" s="368"/>
      <c r="G135" s="39"/>
      <c r="M135" s="39"/>
      <c r="N135" s="39"/>
      <c r="O135" s="39"/>
      <c r="P135" s="39"/>
    </row>
    <row r="136" spans="6:16" s="24" customFormat="1" ht="14.25">
      <c r="F136" s="368"/>
      <c r="G136" s="39"/>
      <c r="M136" s="39"/>
      <c r="N136" s="39"/>
      <c r="O136" s="39"/>
      <c r="P136" s="39"/>
    </row>
    <row r="137" spans="6:16" s="24" customFormat="1" ht="14.25">
      <c r="F137" s="368"/>
      <c r="G137" s="39"/>
      <c r="M137" s="39"/>
      <c r="N137" s="39"/>
      <c r="O137" s="39"/>
      <c r="P137" s="39"/>
    </row>
    <row r="138" spans="6:16" s="24" customFormat="1" ht="14.25">
      <c r="F138" s="368"/>
      <c r="G138" s="39"/>
      <c r="M138" s="39"/>
      <c r="N138" s="39"/>
      <c r="O138" s="39"/>
      <c r="P138" s="39"/>
    </row>
    <row r="139" spans="6:16" s="24" customFormat="1" ht="14.25">
      <c r="F139" s="368"/>
      <c r="G139" s="39"/>
      <c r="M139" s="39"/>
      <c r="N139" s="39"/>
      <c r="O139" s="39"/>
      <c r="P139" s="39"/>
    </row>
    <row r="141" spans="6:16" s="19" customFormat="1" ht="12.75">
      <c r="F141" s="370"/>
      <c r="G141" s="42"/>
      <c r="M141" s="42"/>
      <c r="N141" s="42"/>
      <c r="O141" s="42"/>
      <c r="P141" s="42"/>
    </row>
    <row r="142" spans="6:16" s="26" customFormat="1" ht="15">
      <c r="F142" s="364"/>
      <c r="G142" s="43"/>
      <c r="M142" s="43"/>
      <c r="N142" s="43"/>
      <c r="O142" s="43"/>
      <c r="P142" s="43"/>
    </row>
  </sheetData>
  <sheetProtection/>
  <mergeCells count="6">
    <mergeCell ref="C56:M57"/>
    <mergeCell ref="C11:R11"/>
    <mergeCell ref="O8:P8"/>
    <mergeCell ref="Q8:R8"/>
    <mergeCell ref="C8:D8"/>
    <mergeCell ref="E8:E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scale="5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Q50"/>
  <sheetViews>
    <sheetView view="pageBreakPreview" zoomScale="55" zoomScaleNormal="85" zoomScaleSheetLayoutView="55" zoomScalePageLayoutView="0" workbookViewId="0" topLeftCell="A1">
      <selection activeCell="Y26" sqref="Y26"/>
    </sheetView>
  </sheetViews>
  <sheetFormatPr defaultColWidth="12.7109375" defaultRowHeight="12.75"/>
  <cols>
    <col min="1" max="1" width="3.00390625" style="909" customWidth="1"/>
    <col min="2" max="2" width="2.00390625" style="909" customWidth="1"/>
    <col min="3" max="3" width="11.00390625" style="909" customWidth="1"/>
    <col min="4" max="4" width="13.00390625" style="909" customWidth="1"/>
    <col min="5" max="5" width="10.421875" style="909" customWidth="1"/>
    <col min="6" max="6" width="18.8515625" style="909" customWidth="1"/>
    <col min="7" max="7" width="3.421875" style="909" customWidth="1"/>
    <col min="8" max="8" width="8.140625" style="909" customWidth="1"/>
    <col min="9" max="9" width="12.140625" style="909" customWidth="1"/>
    <col min="10" max="10" width="10.8515625" style="909" customWidth="1"/>
    <col min="11" max="11" width="12.421875" style="909" customWidth="1"/>
    <col min="12" max="12" width="2.421875" style="909" customWidth="1"/>
    <col min="13" max="13" width="3.8515625" style="909" customWidth="1"/>
    <col min="14" max="14" width="12.7109375" style="909" hidden="1" customWidth="1"/>
    <col min="15" max="15" width="16.8515625" style="909" hidden="1" customWidth="1"/>
    <col min="16" max="16" width="7.140625" style="909" hidden="1" customWidth="1"/>
    <col min="17" max="17" width="4.140625" style="909" hidden="1" customWidth="1"/>
    <col min="18" max="22" width="0" style="909" hidden="1" customWidth="1"/>
    <col min="23" max="16384" width="12.7109375" style="909" customWidth="1"/>
  </cols>
  <sheetData>
    <row r="1" ht="15" thickBot="1"/>
    <row r="2" spans="2:12" ht="12" customHeight="1" thickBot="1">
      <c r="B2" s="925"/>
      <c r="C2" s="926"/>
      <c r="D2" s="926"/>
      <c r="E2" s="926"/>
      <c r="F2" s="926"/>
      <c r="G2" s="926"/>
      <c r="H2" s="926"/>
      <c r="I2" s="926"/>
      <c r="J2" s="926"/>
      <c r="K2" s="926"/>
      <c r="L2" s="927"/>
    </row>
    <row r="3" spans="2:12" ht="75.75" customHeight="1" thickBot="1">
      <c r="B3" s="928"/>
      <c r="C3" s="929"/>
      <c r="D3" s="930"/>
      <c r="E3" s="931"/>
      <c r="F3" s="930"/>
      <c r="G3" s="930"/>
      <c r="H3" s="930"/>
      <c r="I3" s="933"/>
      <c r="J3" s="932"/>
      <c r="K3" s="934"/>
      <c r="L3" s="935"/>
    </row>
    <row r="4" spans="2:12" ht="6.75" customHeight="1" thickBot="1">
      <c r="B4" s="928"/>
      <c r="C4" s="936"/>
      <c r="D4" s="936"/>
      <c r="E4" s="936"/>
      <c r="F4" s="936"/>
      <c r="G4" s="936"/>
      <c r="H4" s="936"/>
      <c r="I4" s="936"/>
      <c r="J4" s="936"/>
      <c r="K4" s="936"/>
      <c r="L4" s="935"/>
    </row>
    <row r="5" spans="2:12" ht="36" customHeight="1" thickBot="1">
      <c r="B5" s="928"/>
      <c r="C5" s="937" t="s">
        <v>0</v>
      </c>
      <c r="D5" s="1003" t="s">
        <v>379</v>
      </c>
      <c r="E5" s="1004"/>
      <c r="F5" s="940"/>
      <c r="G5" s="936"/>
      <c r="H5" s="941" t="s">
        <v>2</v>
      </c>
      <c r="I5" s="1005">
        <v>10</v>
      </c>
      <c r="J5" s="943" t="s">
        <v>3</v>
      </c>
      <c r="K5" s="944">
        <v>12</v>
      </c>
      <c r="L5" s="935"/>
    </row>
    <row r="6" spans="2:12" ht="10.5" customHeight="1" thickBot="1">
      <c r="B6" s="945"/>
      <c r="C6" s="946"/>
      <c r="D6" s="947"/>
      <c r="E6" s="892"/>
      <c r="F6" s="948"/>
      <c r="G6" s="949"/>
      <c r="H6" s="946"/>
      <c r="I6" s="950"/>
      <c r="J6" s="946"/>
      <c r="K6" s="946"/>
      <c r="L6" s="951"/>
    </row>
    <row r="7" spans="3:11" ht="10.5" customHeight="1" thickBot="1">
      <c r="C7" s="936"/>
      <c r="D7" s="936"/>
      <c r="E7" s="936"/>
      <c r="F7" s="936"/>
      <c r="G7" s="936"/>
      <c r="H7" s="936"/>
      <c r="I7" s="936"/>
      <c r="J7" s="936"/>
      <c r="K7" s="936"/>
    </row>
    <row r="8" spans="2:12" ht="10.5" customHeight="1" thickBot="1">
      <c r="B8" s="925"/>
      <c r="C8" s="952"/>
      <c r="D8" s="952"/>
      <c r="E8" s="952"/>
      <c r="F8" s="952"/>
      <c r="G8" s="952"/>
      <c r="H8" s="952"/>
      <c r="I8" s="952"/>
      <c r="J8" s="952"/>
      <c r="K8" s="952"/>
      <c r="L8" s="927"/>
    </row>
    <row r="9" spans="2:12" ht="30" customHeight="1" thickBot="1">
      <c r="B9" s="928"/>
      <c r="C9" s="953" t="s">
        <v>455</v>
      </c>
      <c r="D9" s="931"/>
      <c r="E9" s="931"/>
      <c r="F9" s="931"/>
      <c r="G9" s="931"/>
      <c r="H9" s="931"/>
      <c r="I9" s="931"/>
      <c r="J9" s="931"/>
      <c r="K9" s="954"/>
      <c r="L9" s="935"/>
    </row>
    <row r="10" spans="2:12" ht="7.5" customHeight="1" thickBot="1">
      <c r="B10" s="928"/>
      <c r="C10" s="955"/>
      <c r="D10" s="955"/>
      <c r="E10" s="955"/>
      <c r="F10" s="955"/>
      <c r="G10" s="955"/>
      <c r="H10" s="955"/>
      <c r="I10" s="955"/>
      <c r="J10" s="955"/>
      <c r="K10" s="955"/>
      <c r="L10" s="935"/>
    </row>
    <row r="11" spans="2:15" ht="24.75" customHeight="1" thickBot="1">
      <c r="B11" s="928"/>
      <c r="L11" s="935"/>
      <c r="N11" s="526"/>
      <c r="O11" s="958" t="s">
        <v>330</v>
      </c>
    </row>
    <row r="12" spans="2:12" ht="7.5" customHeight="1">
      <c r="B12" s="928"/>
      <c r="L12" s="935"/>
    </row>
    <row r="13" spans="2:12" ht="30" customHeight="1">
      <c r="B13" s="928"/>
      <c r="L13" s="935"/>
    </row>
    <row r="14" spans="2:12" ht="7.5" customHeight="1">
      <c r="B14" s="928"/>
      <c r="L14" s="935"/>
    </row>
    <row r="15" spans="2:12" ht="30" customHeight="1">
      <c r="B15" s="928"/>
      <c r="F15" s="956" t="s">
        <v>365</v>
      </c>
      <c r="G15" s="957" t="s">
        <v>6</v>
      </c>
      <c r="H15" s="810" t="s">
        <v>430</v>
      </c>
      <c r="I15" s="524"/>
      <c r="J15" s="525"/>
      <c r="L15" s="935"/>
    </row>
    <row r="16" spans="2:12" ht="8.25" customHeight="1" thickBot="1">
      <c r="B16" s="928"/>
      <c r="L16" s="935"/>
    </row>
    <row r="17" spans="2:17" ht="30" customHeight="1" thickBot="1">
      <c r="B17" s="928"/>
      <c r="L17" s="935"/>
      <c r="O17" s="1041" t="s">
        <v>154</v>
      </c>
      <c r="P17" s="1042"/>
      <c r="Q17" s="1043"/>
    </row>
    <row r="18" spans="2:17" ht="8.25" customHeight="1" thickBot="1">
      <c r="B18" s="928"/>
      <c r="F18" s="956"/>
      <c r="G18" s="957"/>
      <c r="H18" s="957"/>
      <c r="I18" s="959"/>
      <c r="L18" s="935"/>
      <c r="O18" s="928"/>
      <c r="Q18" s="935"/>
    </row>
    <row r="19" spans="2:17" ht="30" customHeight="1" thickBot="1">
      <c r="B19" s="928"/>
      <c r="F19" s="956" t="s">
        <v>374</v>
      </c>
      <c r="G19" s="957" t="s">
        <v>6</v>
      </c>
      <c r="H19" s="528">
        <v>1</v>
      </c>
      <c r="I19" s="960"/>
      <c r="L19" s="935"/>
      <c r="O19" s="964" t="s">
        <v>155</v>
      </c>
      <c r="P19" s="79">
        <v>2.15</v>
      </c>
      <c r="Q19" s="965" t="s">
        <v>87</v>
      </c>
    </row>
    <row r="20" spans="2:17" ht="7.5" customHeight="1" thickBot="1">
      <c r="B20" s="928"/>
      <c r="F20" s="956"/>
      <c r="G20" s="957"/>
      <c r="H20" s="957"/>
      <c r="I20" s="960"/>
      <c r="L20" s="935"/>
      <c r="O20" s="964"/>
      <c r="P20" s="79"/>
      <c r="Q20" s="965"/>
    </row>
    <row r="21" spans="2:17" ht="30" customHeight="1" thickBot="1">
      <c r="B21" s="928"/>
      <c r="F21" s="956" t="s">
        <v>366</v>
      </c>
      <c r="G21" s="957" t="s">
        <v>6</v>
      </c>
      <c r="H21" s="528">
        <v>100</v>
      </c>
      <c r="I21" s="957" t="s">
        <v>59</v>
      </c>
      <c r="L21" s="935"/>
      <c r="O21" s="964" t="s">
        <v>158</v>
      </c>
      <c r="P21" s="79">
        <v>5.2</v>
      </c>
      <c r="Q21" s="965" t="s">
        <v>87</v>
      </c>
    </row>
    <row r="22" spans="2:17" ht="7.5" customHeight="1" thickBot="1">
      <c r="B22" s="928"/>
      <c r="I22" s="960"/>
      <c r="L22" s="935"/>
      <c r="O22" s="964"/>
      <c r="P22" s="79"/>
      <c r="Q22" s="965"/>
    </row>
    <row r="23" spans="2:17" ht="30" customHeight="1" thickBot="1">
      <c r="B23" s="928"/>
      <c r="F23" s="956" t="s">
        <v>367</v>
      </c>
      <c r="G23" s="957" t="s">
        <v>6</v>
      </c>
      <c r="H23" s="528">
        <v>0</v>
      </c>
      <c r="I23" s="957" t="s">
        <v>375</v>
      </c>
      <c r="K23" s="963"/>
      <c r="L23" s="935"/>
      <c r="O23" s="964" t="s">
        <v>159</v>
      </c>
      <c r="P23" s="79">
        <v>4.8</v>
      </c>
      <c r="Q23" s="965" t="s">
        <v>87</v>
      </c>
    </row>
    <row r="24" spans="2:17" ht="7.5" customHeight="1" thickBot="1">
      <c r="B24" s="928"/>
      <c r="F24" s="956"/>
      <c r="G24" s="957"/>
      <c r="H24" s="957"/>
      <c r="I24" s="960"/>
      <c r="L24" s="935"/>
      <c r="O24" s="964"/>
      <c r="P24" s="79"/>
      <c r="Q24" s="965"/>
    </row>
    <row r="25" spans="2:17" ht="30" customHeight="1" thickBot="1">
      <c r="B25" s="928"/>
      <c r="F25" s="956" t="s">
        <v>368</v>
      </c>
      <c r="G25" s="957" t="s">
        <v>6</v>
      </c>
      <c r="H25" s="528">
        <v>0</v>
      </c>
      <c r="I25" s="957" t="s">
        <v>59</v>
      </c>
      <c r="L25" s="935"/>
      <c r="O25" s="964" t="s">
        <v>161</v>
      </c>
      <c r="P25" s="909">
        <f>P21*P23</f>
        <v>24.96</v>
      </c>
      <c r="Q25" s="965" t="s">
        <v>162</v>
      </c>
    </row>
    <row r="26" spans="2:17" ht="6" customHeight="1" thickBot="1">
      <c r="B26" s="928"/>
      <c r="F26" s="956"/>
      <c r="G26" s="957"/>
      <c r="H26" s="957"/>
      <c r="I26" s="960"/>
      <c r="L26" s="935"/>
      <c r="O26" s="964"/>
      <c r="Q26" s="965"/>
    </row>
    <row r="27" spans="2:17" ht="30" customHeight="1" thickBot="1">
      <c r="B27" s="928"/>
      <c r="F27" s="956" t="s">
        <v>369</v>
      </c>
      <c r="G27" s="957" t="s">
        <v>6</v>
      </c>
      <c r="H27" s="1006">
        <f>H25*H23</f>
        <v>0</v>
      </c>
      <c r="I27" s="957" t="s">
        <v>59</v>
      </c>
      <c r="L27" s="935"/>
      <c r="O27" s="968" t="s">
        <v>163</v>
      </c>
      <c r="P27" s="969">
        <f>P19*P21*P23</f>
        <v>53.663999999999994</v>
      </c>
      <c r="Q27" s="970" t="s">
        <v>11</v>
      </c>
    </row>
    <row r="28" spans="2:12" ht="6.75" customHeight="1" thickBot="1">
      <c r="B28" s="928"/>
      <c r="F28" s="956"/>
      <c r="G28" s="956"/>
      <c r="H28" s="956"/>
      <c r="I28" s="956"/>
      <c r="L28" s="935"/>
    </row>
    <row r="29" spans="2:12" ht="30" customHeight="1" thickBot="1">
      <c r="B29" s="928"/>
      <c r="C29" s="955"/>
      <c r="D29" s="976"/>
      <c r="E29" s="976"/>
      <c r="F29" s="956" t="s">
        <v>370</v>
      </c>
      <c r="G29" s="957" t="s">
        <v>6</v>
      </c>
      <c r="H29" s="528">
        <v>0</v>
      </c>
      <c r="I29" s="957" t="s">
        <v>93</v>
      </c>
      <c r="L29" s="935"/>
    </row>
    <row r="30" spans="2:12" ht="7.5" customHeight="1" thickBot="1">
      <c r="B30" s="928"/>
      <c r="C30" s="955"/>
      <c r="D30" s="976"/>
      <c r="E30" s="976"/>
      <c r="F30" s="956"/>
      <c r="G30" s="956"/>
      <c r="H30" s="956"/>
      <c r="I30" s="956"/>
      <c r="L30" s="935"/>
    </row>
    <row r="31" spans="2:12" ht="30" customHeight="1" thickBot="1">
      <c r="B31" s="928"/>
      <c r="F31" s="956" t="s">
        <v>371</v>
      </c>
      <c r="G31" s="957" t="s">
        <v>6</v>
      </c>
      <c r="H31" s="528">
        <v>3</v>
      </c>
      <c r="I31" s="957" t="s">
        <v>87</v>
      </c>
      <c r="L31" s="935"/>
    </row>
    <row r="32" spans="2:12" ht="7.5" customHeight="1" thickBot="1">
      <c r="B32" s="928"/>
      <c r="F32" s="956"/>
      <c r="G32" s="957"/>
      <c r="H32" s="957"/>
      <c r="I32" s="957"/>
      <c r="L32" s="935"/>
    </row>
    <row r="33" spans="2:12" ht="30" customHeight="1" thickBot="1">
      <c r="B33" s="928"/>
      <c r="F33" s="956" t="s">
        <v>372</v>
      </c>
      <c r="G33" s="957" t="s">
        <v>6</v>
      </c>
      <c r="H33" s="1006"/>
      <c r="I33" s="957" t="s">
        <v>93</v>
      </c>
      <c r="J33" s="967"/>
      <c r="L33" s="935"/>
    </row>
    <row r="34" spans="2:12" ht="7.5" customHeight="1" thickBot="1">
      <c r="B34" s="928"/>
      <c r="F34" s="973"/>
      <c r="G34" s="973"/>
      <c r="H34" s="973"/>
      <c r="I34" s="973"/>
      <c r="L34" s="935"/>
    </row>
    <row r="35" spans="2:12" ht="30" customHeight="1" thickBot="1">
      <c r="B35" s="928"/>
      <c r="F35" s="956" t="s">
        <v>373</v>
      </c>
      <c r="G35" s="957" t="s">
        <v>6</v>
      </c>
      <c r="H35" s="1006">
        <f>(H23*H25*(100-H33)/100+H21*H19)*(1+(H29/100))</f>
        <v>100</v>
      </c>
      <c r="I35" s="957" t="s">
        <v>59</v>
      </c>
      <c r="J35" s="976"/>
      <c r="K35" s="976"/>
      <c r="L35" s="935"/>
    </row>
    <row r="36" spans="2:12" ht="7.5" customHeight="1" thickBot="1">
      <c r="B36" s="928"/>
      <c r="F36" s="976"/>
      <c r="G36" s="976"/>
      <c r="H36" s="976"/>
      <c r="I36" s="977"/>
      <c r="J36" s="976"/>
      <c r="K36" s="976"/>
      <c r="L36" s="935"/>
    </row>
    <row r="37" spans="2:12" ht="30" customHeight="1" thickBot="1">
      <c r="B37" s="928"/>
      <c r="F37" s="956" t="s">
        <v>376</v>
      </c>
      <c r="G37" s="957" t="s">
        <v>6</v>
      </c>
      <c r="H37" s="528">
        <v>30</v>
      </c>
      <c r="I37" s="957" t="s">
        <v>196</v>
      </c>
      <c r="L37" s="935"/>
    </row>
    <row r="38" spans="2:12" ht="7.5" customHeight="1">
      <c r="B38" s="928"/>
      <c r="F38" s="956"/>
      <c r="G38" s="957"/>
      <c r="H38" s="957"/>
      <c r="I38" s="959"/>
      <c r="L38" s="935"/>
    </row>
    <row r="39" spans="2:12" ht="30" customHeight="1">
      <c r="B39" s="928"/>
      <c r="L39" s="935"/>
    </row>
    <row r="40" spans="2:12" ht="7.5" customHeight="1" thickBot="1">
      <c r="B40" s="928"/>
      <c r="F40" s="956"/>
      <c r="G40" s="957"/>
      <c r="H40" s="957"/>
      <c r="I40" s="959"/>
      <c r="L40" s="935"/>
    </row>
    <row r="41" spans="2:12" ht="30" customHeight="1" thickBot="1">
      <c r="B41" s="928"/>
      <c r="F41" s="956" t="s">
        <v>377</v>
      </c>
      <c r="G41" s="957" t="s">
        <v>6</v>
      </c>
      <c r="H41" s="1006">
        <f>ROUNDUP(H35*H37*3.78/1000,0)</f>
        <v>12</v>
      </c>
      <c r="I41" s="957" t="s">
        <v>11</v>
      </c>
      <c r="L41" s="935"/>
    </row>
    <row r="42" spans="2:12" ht="30" customHeight="1">
      <c r="B42" s="928"/>
      <c r="C42" s="985"/>
      <c r="I42" s="960"/>
      <c r="L42" s="935"/>
    </row>
    <row r="43" spans="2:12" ht="30" customHeight="1">
      <c r="B43" s="928"/>
      <c r="D43" s="956"/>
      <c r="E43" s="957"/>
      <c r="F43" s="978"/>
      <c r="H43" s="992"/>
      <c r="I43" s="957"/>
      <c r="L43" s="935"/>
    </row>
    <row r="44" spans="2:12" ht="7.5" customHeight="1" thickBot="1">
      <c r="B44" s="928"/>
      <c r="I44" s="957"/>
      <c r="L44" s="935"/>
    </row>
    <row r="45" spans="2:12" ht="30" customHeight="1" thickBot="1">
      <c r="B45" s="928"/>
      <c r="F45" s="956" t="s">
        <v>378</v>
      </c>
      <c r="G45" s="957" t="s">
        <v>6</v>
      </c>
      <c r="H45" s="1006">
        <f>H41</f>
        <v>12</v>
      </c>
      <c r="I45" s="957" t="s">
        <v>11</v>
      </c>
      <c r="J45" s="1007"/>
      <c r="L45" s="935"/>
    </row>
    <row r="46" spans="2:12" ht="7.5" customHeight="1">
      <c r="B46" s="928"/>
      <c r="I46" s="957"/>
      <c r="L46" s="935"/>
    </row>
    <row r="47" spans="2:12" ht="30" customHeight="1">
      <c r="B47" s="928"/>
      <c r="C47" s="956"/>
      <c r="D47" s="956"/>
      <c r="E47" s="956"/>
      <c r="F47" s="956"/>
      <c r="G47" s="956"/>
      <c r="H47" s="956"/>
      <c r="I47" s="956"/>
      <c r="J47" s="956"/>
      <c r="L47" s="935"/>
    </row>
    <row r="48" spans="2:12" ht="7.5" customHeight="1">
      <c r="B48" s="928"/>
      <c r="F48" s="957"/>
      <c r="G48" s="957"/>
      <c r="H48" s="992"/>
      <c r="I48" s="978"/>
      <c r="J48" s="973"/>
      <c r="L48" s="935"/>
    </row>
    <row r="49" spans="2:12" ht="30" customHeight="1">
      <c r="B49" s="928"/>
      <c r="D49" s="993"/>
      <c r="E49" s="994"/>
      <c r="F49" s="993"/>
      <c r="G49" s="956"/>
      <c r="H49" s="956"/>
      <c r="I49" s="995"/>
      <c r="J49" s="993"/>
      <c r="K49" s="993"/>
      <c r="L49" s="935"/>
    </row>
    <row r="50" spans="2:12" s="1000" customFormat="1" ht="12" customHeight="1" thickBot="1">
      <c r="B50" s="997"/>
      <c r="C50" s="998"/>
      <c r="D50" s="998"/>
      <c r="E50" s="998"/>
      <c r="F50" s="998"/>
      <c r="G50" s="998"/>
      <c r="H50" s="998"/>
      <c r="I50" s="998"/>
      <c r="J50" s="998"/>
      <c r="K50" s="998"/>
      <c r="L50" s="999"/>
    </row>
    <row r="51" s="1000" customFormat="1" ht="14.25"/>
    <row r="52" s="1000" customFormat="1" ht="14.25"/>
    <row r="53" s="1000" customFormat="1" ht="14.25"/>
    <row r="54" s="1000" customFormat="1" ht="14.25"/>
    <row r="55" s="1000" customFormat="1" ht="14.25"/>
    <row r="56" s="1000" customFormat="1" ht="14.25"/>
    <row r="57" s="1000" customFormat="1" ht="14.25"/>
    <row r="58" s="1000" customFormat="1" ht="14.25"/>
    <row r="59" s="1000" customFormat="1" ht="14.25"/>
    <row r="60" s="1000" customFormat="1" ht="14.25"/>
    <row r="61" s="1000" customFormat="1" ht="14.25"/>
    <row r="62" s="1000" customFormat="1" ht="14.25"/>
    <row r="63" s="1000" customFormat="1" ht="14.25"/>
    <row r="64" s="1000" customFormat="1" ht="14.25"/>
    <row r="65" s="1000" customFormat="1" ht="14.25"/>
    <row r="66" s="1000" customFormat="1" ht="14.25"/>
    <row r="67" s="1000" customFormat="1" ht="14.25"/>
    <row r="68" s="1000" customFormat="1" ht="14.25"/>
    <row r="69" s="1000" customFormat="1" ht="14.25"/>
    <row r="70" s="1000" customFormat="1" ht="14.25"/>
    <row r="71" s="1000" customFormat="1" ht="14.25"/>
    <row r="72" s="1000" customFormat="1" ht="14.25"/>
    <row r="73" s="1000" customFormat="1" ht="14.25"/>
    <row r="74" s="1000" customFormat="1" ht="14.25"/>
    <row r="75" s="1000" customFormat="1" ht="14.25"/>
    <row r="76" s="1000" customFormat="1" ht="14.25"/>
    <row r="77" s="1000" customFormat="1" ht="14.25"/>
    <row r="78" s="1000" customFormat="1" ht="14.25"/>
    <row r="79" s="1000" customFormat="1" ht="14.25"/>
    <row r="80" s="1000" customFormat="1" ht="14.25"/>
    <row r="81" s="1000" customFormat="1" ht="14.25"/>
    <row r="82" s="1000" customFormat="1" ht="14.25"/>
    <row r="83" s="1000" customFormat="1" ht="14.25"/>
    <row r="84" s="1000" customFormat="1" ht="14.25"/>
    <row r="85" s="1000" customFormat="1" ht="14.25"/>
    <row r="86" s="1000" customFormat="1" ht="14.25"/>
    <row r="87" s="1000" customFormat="1" ht="14.25"/>
    <row r="88" s="1000" customFormat="1" ht="14.25"/>
    <row r="89" s="1000" customFormat="1" ht="14.25"/>
    <row r="90" s="1000" customFormat="1" ht="14.25"/>
    <row r="91" s="1000" customFormat="1" ht="14.25"/>
    <row r="92" s="1000" customFormat="1" ht="14.25"/>
    <row r="93" s="1000" customFormat="1" ht="14.25"/>
    <row r="94" s="1000" customFormat="1" ht="14.25"/>
    <row r="95" s="1000" customFormat="1" ht="14.25"/>
    <row r="96" s="1000" customFormat="1" ht="14.25"/>
    <row r="97" s="1000" customFormat="1" ht="14.25"/>
    <row r="98" s="1000" customFormat="1" ht="14.25"/>
    <row r="99" s="1000" customFormat="1" ht="14.25" customHeight="1"/>
    <row r="100" s="1000" customFormat="1" ht="14.25"/>
    <row r="101" s="1000" customFormat="1" ht="14.25" customHeight="1"/>
    <row r="102" s="1000" customFormat="1" ht="14.25" customHeight="1"/>
    <row r="103" s="1000" customFormat="1" ht="14.25" customHeight="1"/>
    <row r="104" s="1000" customFormat="1" ht="14.25" customHeight="1"/>
    <row r="105" s="1000" customFormat="1" ht="14.25" customHeight="1"/>
    <row r="106" s="1000" customFormat="1" ht="14.25"/>
    <row r="107" s="1001" customFormat="1" ht="15" customHeight="1"/>
    <row r="108" s="1000" customFormat="1" ht="14.25" customHeight="1"/>
    <row r="109" s="1000" customFormat="1" ht="14.25" customHeight="1"/>
    <row r="110" s="1000" customFormat="1" ht="14.25" customHeight="1"/>
    <row r="111" s="1000" customFormat="1" ht="14.25" customHeight="1"/>
    <row r="112" s="1000" customFormat="1" ht="14.25" customHeight="1"/>
    <row r="113" s="1000" customFormat="1" ht="14.25" customHeight="1"/>
    <row r="114" s="1000" customFormat="1" ht="14.25"/>
    <row r="115" s="1000" customFormat="1" ht="14.25"/>
    <row r="116" s="1000" customFormat="1" ht="14.25"/>
    <row r="117" s="1000" customFormat="1" ht="14.25"/>
    <row r="118" s="1000" customFormat="1" ht="14.25"/>
    <row r="119" s="1000" customFormat="1" ht="14.25"/>
    <row r="120" s="1000" customFormat="1" ht="14.25"/>
    <row r="121" s="1000" customFormat="1" ht="14.25"/>
    <row r="122" s="1000" customFormat="1" ht="14.25"/>
    <row r="123" s="1000" customFormat="1" ht="14.25"/>
    <row r="124" s="1000" customFormat="1" ht="14.25"/>
    <row r="125" s="1000" customFormat="1" ht="14.25"/>
    <row r="126" s="1000" customFormat="1" ht="14.25"/>
    <row r="127" s="1000" customFormat="1" ht="14.25"/>
    <row r="128" s="1000" customFormat="1" ht="14.25"/>
    <row r="129" s="1000" customFormat="1" ht="14.25"/>
    <row r="130" s="1000" customFormat="1" ht="14.25"/>
    <row r="131" s="1000" customFormat="1" ht="14.25"/>
    <row r="132" s="1000" customFormat="1" ht="14.25"/>
    <row r="133" s="1000" customFormat="1" ht="14.25"/>
    <row r="134" s="1000" customFormat="1" ht="14.25"/>
    <row r="135" s="1000" customFormat="1" ht="14.25"/>
    <row r="136" s="1000" customFormat="1" ht="14.25"/>
    <row r="137" s="1000" customFormat="1" ht="14.25"/>
    <row r="138" s="1000" customFormat="1" ht="14.25"/>
    <row r="139" s="1000" customFormat="1" ht="14.25"/>
    <row r="140" s="1000" customFormat="1" ht="14.25"/>
    <row r="141" s="1000" customFormat="1" ht="14.25"/>
    <row r="142" s="1000" customFormat="1" ht="14.25"/>
    <row r="143" s="1000" customFormat="1" ht="14.25"/>
    <row r="144" s="1000" customFormat="1" ht="14.25"/>
    <row r="145" s="1000" customFormat="1" ht="14.25"/>
    <row r="146" s="1000" customFormat="1" ht="14.25"/>
    <row r="147" s="1000" customFormat="1" ht="14.25"/>
    <row r="149" s="960" customFormat="1" ht="12.75"/>
    <row r="150" s="1002" customFormat="1" ht="15"/>
  </sheetData>
  <sheetProtection/>
  <mergeCells count="1">
    <mergeCell ref="O17:Q17"/>
  </mergeCells>
  <printOptions horizontalCentered="1" verticalCentered="1"/>
  <pageMargins left="0.75" right="0.75" top="0.69" bottom="0.42" header="0" footer="0"/>
  <pageSetup fitToHeight="1" fitToWidth="1" horizontalDpi="600" verticalDpi="600" orientation="portrait" scale="7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B2:AH95"/>
  <sheetViews>
    <sheetView view="pageBreakPreview" zoomScale="60" zoomScaleNormal="70" zoomScalePageLayoutView="0" workbookViewId="0" topLeftCell="A1">
      <selection activeCell="N21" sqref="N21"/>
    </sheetView>
  </sheetViews>
  <sheetFormatPr defaultColWidth="12.7109375" defaultRowHeight="12.75"/>
  <cols>
    <col min="1" max="1" width="5.28125" style="609" customWidth="1"/>
    <col min="2" max="2" width="2.00390625" style="609" customWidth="1"/>
    <col min="3" max="3" width="5.421875" style="610" customWidth="1"/>
    <col min="4" max="4" width="6.140625" style="610" customWidth="1"/>
    <col min="5" max="5" width="11.421875" style="611" bestFit="1" customWidth="1"/>
    <col min="6" max="6" width="11.8515625" style="611" hidden="1" customWidth="1"/>
    <col min="7" max="7" width="10.28125" style="612" customWidth="1"/>
    <col min="8" max="9" width="12.00390625" style="613" customWidth="1"/>
    <col min="10" max="10" width="13.7109375" style="612" customWidth="1"/>
    <col min="11" max="11" width="9.7109375" style="614" customWidth="1"/>
    <col min="12" max="12" width="9.8515625" style="614" customWidth="1"/>
    <col min="13" max="13" width="11.00390625" style="612" customWidth="1"/>
    <col min="14" max="14" width="7.421875" style="614" customWidth="1"/>
    <col min="15" max="15" width="11.57421875" style="615" customWidth="1"/>
    <col min="16" max="16" width="10.8515625" style="612" customWidth="1"/>
    <col min="17" max="17" width="12.421875" style="612" customWidth="1"/>
    <col min="18" max="18" width="2.421875" style="609" customWidth="1"/>
    <col min="19" max="19" width="1.7109375" style="609" customWidth="1"/>
    <col min="20" max="20" width="7.57421875" style="609" hidden="1" customWidth="1"/>
    <col min="21" max="21" width="12.57421875" style="609" hidden="1" customWidth="1"/>
    <col min="22" max="34" width="0" style="609" hidden="1" customWidth="1"/>
    <col min="35" max="16384" width="12.7109375" style="609" customWidth="1"/>
  </cols>
  <sheetData>
    <row r="1" ht="15" thickBot="1"/>
    <row r="2" spans="2:18" ht="12" customHeight="1" thickBot="1">
      <c r="B2" s="616"/>
      <c r="C2" s="617"/>
      <c r="D2" s="617"/>
      <c r="E2" s="618"/>
      <c r="F2" s="618"/>
      <c r="G2" s="619"/>
      <c r="H2" s="620"/>
      <c r="I2" s="620"/>
      <c r="J2" s="619"/>
      <c r="K2" s="621"/>
      <c r="L2" s="621"/>
      <c r="M2" s="619"/>
      <c r="N2" s="621"/>
      <c r="O2" s="622"/>
      <c r="P2" s="619"/>
      <c r="Q2" s="619"/>
      <c r="R2" s="623"/>
    </row>
    <row r="3" spans="2:18" ht="69.75" customHeight="1" thickBot="1">
      <c r="B3" s="624"/>
      <c r="C3" s="625"/>
      <c r="D3" s="626"/>
      <c r="E3" s="627"/>
      <c r="F3" s="627"/>
      <c r="G3" s="626"/>
      <c r="H3" s="628"/>
      <c r="I3" s="628"/>
      <c r="J3" s="626"/>
      <c r="K3" s="626"/>
      <c r="L3" s="626"/>
      <c r="M3" s="629"/>
      <c r="N3" s="630"/>
      <c r="O3" s="630"/>
      <c r="P3" s="630"/>
      <c r="Q3" s="631"/>
      <c r="R3" s="632"/>
    </row>
    <row r="4" spans="2:18" ht="6.75" customHeight="1" thickBot="1">
      <c r="B4" s="624"/>
      <c r="C4" s="633"/>
      <c r="D4" s="633"/>
      <c r="E4" s="634"/>
      <c r="F4" s="634"/>
      <c r="G4" s="635"/>
      <c r="H4" s="636"/>
      <c r="I4" s="636"/>
      <c r="J4" s="635"/>
      <c r="K4" s="637"/>
      <c r="L4" s="637"/>
      <c r="M4" s="635"/>
      <c r="N4" s="637"/>
      <c r="O4" s="638"/>
      <c r="P4" s="635"/>
      <c r="Q4" s="635"/>
      <c r="R4" s="632"/>
    </row>
    <row r="5" spans="2:34" ht="41.25" customHeight="1" thickBot="1">
      <c r="B5" s="624"/>
      <c r="C5" s="639" t="s">
        <v>33</v>
      </c>
      <c r="D5" s="640"/>
      <c r="E5" s="641"/>
      <c r="F5" s="641"/>
      <c r="G5" s="642" t="s">
        <v>424</v>
      </c>
      <c r="H5" s="643"/>
      <c r="I5" s="643"/>
      <c r="J5" s="644"/>
      <c r="K5" s="645"/>
      <c r="L5" s="645"/>
      <c r="M5" s="635"/>
      <c r="N5" s="646" t="s">
        <v>2</v>
      </c>
      <c r="O5" s="647">
        <v>11</v>
      </c>
      <c r="P5" s="648" t="s">
        <v>3</v>
      </c>
      <c r="Q5" s="649">
        <v>12</v>
      </c>
      <c r="R5" s="632"/>
      <c r="U5" s="609">
        <f>75/1.412</f>
        <v>53.11614730878187</v>
      </c>
      <c r="Y5" s="1086" t="s">
        <v>355</v>
      </c>
      <c r="Z5" s="1087"/>
      <c r="AA5" s="1087"/>
      <c r="AB5" s="1087"/>
      <c r="AC5" s="1087"/>
      <c r="AD5" s="1087"/>
      <c r="AE5" s="1087"/>
      <c r="AF5" s="1087"/>
      <c r="AG5" s="1087"/>
      <c r="AH5" s="1088"/>
    </row>
    <row r="6" spans="2:34" ht="10.5" customHeight="1" thickBot="1">
      <c r="B6" s="624"/>
      <c r="C6" s="633"/>
      <c r="D6" s="633"/>
      <c r="E6" s="634"/>
      <c r="F6" s="634"/>
      <c r="G6" s="635"/>
      <c r="H6" s="636"/>
      <c r="I6" s="636"/>
      <c r="J6" s="635"/>
      <c r="K6" s="637"/>
      <c r="L6" s="637"/>
      <c r="M6" s="635"/>
      <c r="N6" s="637"/>
      <c r="O6" s="638"/>
      <c r="P6" s="635"/>
      <c r="Q6" s="635"/>
      <c r="R6" s="632"/>
      <c r="Y6" s="1089" t="s">
        <v>353</v>
      </c>
      <c r="Z6" s="1091" t="s">
        <v>345</v>
      </c>
      <c r="AA6" s="1091" t="s">
        <v>346</v>
      </c>
      <c r="AB6" s="1091" t="s">
        <v>347</v>
      </c>
      <c r="AC6" s="1091" t="s">
        <v>348</v>
      </c>
      <c r="AD6" s="1091" t="s">
        <v>349</v>
      </c>
      <c r="AE6" s="1091" t="s">
        <v>231</v>
      </c>
      <c r="AF6" s="1091" t="s">
        <v>350</v>
      </c>
      <c r="AG6" s="1091" t="s">
        <v>354</v>
      </c>
      <c r="AH6" s="1084" t="s">
        <v>351</v>
      </c>
    </row>
    <row r="7" spans="2:34" ht="28.5" customHeight="1" thickBot="1">
      <c r="B7" s="624"/>
      <c r="C7" s="650" t="s">
        <v>34</v>
      </c>
      <c r="D7" s="650"/>
      <c r="E7" s="651"/>
      <c r="F7" s="651" t="s">
        <v>35</v>
      </c>
      <c r="G7" s="652" t="s">
        <v>36</v>
      </c>
      <c r="H7" s="653" t="s">
        <v>37</v>
      </c>
      <c r="I7" s="654" t="s">
        <v>165</v>
      </c>
      <c r="J7" s="652" t="s">
        <v>38</v>
      </c>
      <c r="K7" s="655" t="s">
        <v>39</v>
      </c>
      <c r="L7" s="656"/>
      <c r="M7" s="644"/>
      <c r="N7" s="645"/>
      <c r="O7" s="657" t="s">
        <v>40</v>
      </c>
      <c r="P7" s="658" t="s">
        <v>41</v>
      </c>
      <c r="Q7" s="658" t="s">
        <v>42</v>
      </c>
      <c r="R7" s="632"/>
      <c r="T7" s="659" t="s">
        <v>43</v>
      </c>
      <c r="U7" s="659" t="s">
        <v>25</v>
      </c>
      <c r="V7" s="659" t="s">
        <v>44</v>
      </c>
      <c r="Y7" s="1090"/>
      <c r="Z7" s="1092"/>
      <c r="AA7" s="1092"/>
      <c r="AB7" s="1092"/>
      <c r="AC7" s="1092"/>
      <c r="AD7" s="1092"/>
      <c r="AE7" s="1092"/>
      <c r="AF7" s="1092"/>
      <c r="AG7" s="1092"/>
      <c r="AH7" s="1085"/>
    </row>
    <row r="8" spans="2:34" ht="16.5" customHeight="1" thickBot="1">
      <c r="B8" s="624"/>
      <c r="C8" s="660" t="s">
        <v>3</v>
      </c>
      <c r="D8" s="661" t="s">
        <v>45</v>
      </c>
      <c r="E8" s="662" t="s">
        <v>168</v>
      </c>
      <c r="F8" s="662"/>
      <c r="G8" s="663" t="s">
        <v>46</v>
      </c>
      <c r="H8" s="664" t="s">
        <v>47</v>
      </c>
      <c r="I8" s="664" t="s">
        <v>425</v>
      </c>
      <c r="J8" s="663" t="s">
        <v>48</v>
      </c>
      <c r="K8" s="665" t="s">
        <v>49</v>
      </c>
      <c r="L8" s="666" t="s">
        <v>50</v>
      </c>
      <c r="M8" s="665" t="s">
        <v>51</v>
      </c>
      <c r="N8" s="665" t="s">
        <v>52</v>
      </c>
      <c r="O8" s="667" t="s">
        <v>53</v>
      </c>
      <c r="P8" s="663" t="s">
        <v>54</v>
      </c>
      <c r="Q8" s="663" t="s">
        <v>55</v>
      </c>
      <c r="R8" s="632"/>
      <c r="T8" s="659">
        <v>100</v>
      </c>
      <c r="U8" s="659">
        <v>150</v>
      </c>
      <c r="V8" s="659">
        <v>140</v>
      </c>
      <c r="Y8" s="1090"/>
      <c r="Z8" s="1092"/>
      <c r="AA8" s="1092"/>
      <c r="AB8" s="1092"/>
      <c r="AC8" s="1092"/>
      <c r="AD8" s="1092"/>
      <c r="AE8" s="1092"/>
      <c r="AF8" s="1092"/>
      <c r="AG8" s="1092"/>
      <c r="AH8" s="1085"/>
    </row>
    <row r="9" spans="2:34" ht="10.5" customHeight="1" thickBot="1">
      <c r="B9" s="624"/>
      <c r="C9" s="668"/>
      <c r="D9" s="668"/>
      <c r="E9" s="669"/>
      <c r="F9" s="669"/>
      <c r="G9" s="670"/>
      <c r="H9" s="671"/>
      <c r="I9" s="671"/>
      <c r="J9" s="670"/>
      <c r="K9" s="670"/>
      <c r="L9" s="670"/>
      <c r="M9" s="670"/>
      <c r="N9" s="670"/>
      <c r="O9" s="672"/>
      <c r="P9" s="670"/>
      <c r="Q9" s="670"/>
      <c r="R9" s="632"/>
      <c r="Y9" s="673">
        <v>0.5</v>
      </c>
      <c r="Z9" s="674">
        <v>0.622</v>
      </c>
      <c r="AA9" s="674">
        <v>0.546</v>
      </c>
      <c r="AB9" s="674">
        <v>0.527</v>
      </c>
      <c r="AC9" s="674">
        <v>0.545</v>
      </c>
      <c r="AD9" s="674">
        <v>0.596</v>
      </c>
      <c r="AE9" s="674">
        <v>0.716</v>
      </c>
      <c r="AF9" s="674">
        <v>0.489</v>
      </c>
      <c r="AG9" s="674">
        <v>0.645</v>
      </c>
      <c r="AH9" s="675">
        <v>0.661</v>
      </c>
    </row>
    <row r="10" spans="2:34" ht="30" customHeight="1">
      <c r="B10" s="624"/>
      <c r="C10" s="676" t="s">
        <v>428</v>
      </c>
      <c r="D10" s="677"/>
      <c r="E10" s="678"/>
      <c r="F10" s="678"/>
      <c r="G10" s="679"/>
      <c r="H10" s="680"/>
      <c r="I10" s="680"/>
      <c r="J10" s="679"/>
      <c r="K10" s="681"/>
      <c r="L10" s="681"/>
      <c r="M10" s="679"/>
      <c r="N10" s="681"/>
      <c r="O10" s="682"/>
      <c r="P10" s="679"/>
      <c r="Q10" s="683"/>
      <c r="R10" s="632"/>
      <c r="Y10" s="673">
        <v>0.75</v>
      </c>
      <c r="Z10" s="674">
        <v>0.824</v>
      </c>
      <c r="AA10" s="674">
        <v>0.742</v>
      </c>
      <c r="AB10" s="674">
        <v>0.745</v>
      </c>
      <c r="AC10" s="674">
        <v>0.785</v>
      </c>
      <c r="AD10" s="674">
        <v>0.811</v>
      </c>
      <c r="AE10" s="674">
        <v>0.93</v>
      </c>
      <c r="AF10" s="674">
        <v>0.715</v>
      </c>
      <c r="AG10" s="674">
        <v>0.873</v>
      </c>
      <c r="AH10" s="675"/>
    </row>
    <row r="11" spans="2:34" ht="30" customHeight="1">
      <c r="B11" s="624"/>
      <c r="C11" s="684" t="s">
        <v>426</v>
      </c>
      <c r="D11" s="685"/>
      <c r="E11" s="686"/>
      <c r="F11" s="686"/>
      <c r="G11" s="687"/>
      <c r="H11" s="688"/>
      <c r="I11" s="688"/>
      <c r="J11" s="687"/>
      <c r="K11" s="689"/>
      <c r="L11" s="689"/>
      <c r="M11" s="687"/>
      <c r="N11" s="689"/>
      <c r="O11" s="690"/>
      <c r="P11" s="687"/>
      <c r="Q11" s="691"/>
      <c r="R11" s="632"/>
      <c r="U11" s="692" t="s">
        <v>24</v>
      </c>
      <c r="Y11" s="673">
        <v>1</v>
      </c>
      <c r="Z11" s="674">
        <v>1.049</v>
      </c>
      <c r="AA11" s="674">
        <v>0.957</v>
      </c>
      <c r="AB11" s="674">
        <v>0.995</v>
      </c>
      <c r="AC11" s="674">
        <v>1.025</v>
      </c>
      <c r="AD11" s="674">
        <v>1.055</v>
      </c>
      <c r="AE11" s="674">
        <v>1.189</v>
      </c>
      <c r="AF11" s="674"/>
      <c r="AG11" s="674">
        <v>1.091</v>
      </c>
      <c r="AH11" s="675">
        <v>1.111</v>
      </c>
    </row>
    <row r="12" spans="2:34" ht="30" customHeight="1">
      <c r="B12" s="624"/>
      <c r="C12" s="693">
        <v>1</v>
      </c>
      <c r="D12" s="694"/>
      <c r="E12" s="695"/>
      <c r="F12" s="696"/>
      <c r="G12" s="697"/>
      <c r="H12" s="698"/>
      <c r="I12" s="699" t="s">
        <v>357</v>
      </c>
      <c r="J12" s="697"/>
      <c r="K12" s="697"/>
      <c r="L12" s="697"/>
      <c r="M12" s="697"/>
      <c r="N12" s="700"/>
      <c r="O12" s="701"/>
      <c r="P12" s="702">
        <f>SUM(P13:P14)</f>
        <v>4.0600000000000005</v>
      </c>
      <c r="Q12" s="703">
        <v>46</v>
      </c>
      <c r="R12" s="632"/>
      <c r="U12" s="704"/>
      <c r="Y12" s="673">
        <v>1.25</v>
      </c>
      <c r="Z12" s="674">
        <v>1.38</v>
      </c>
      <c r="AA12" s="674">
        <v>1.278</v>
      </c>
      <c r="AB12" s="674">
        <v>1.245</v>
      </c>
      <c r="AC12" s="674">
        <v>1.265</v>
      </c>
      <c r="AD12" s="674">
        <v>1.291</v>
      </c>
      <c r="AE12" s="674">
        <v>1.502</v>
      </c>
      <c r="AF12" s="674"/>
      <c r="AG12" s="674">
        <v>1.435</v>
      </c>
      <c r="AH12" s="675"/>
    </row>
    <row r="13" spans="2:34" ht="30" customHeight="1">
      <c r="B13" s="624"/>
      <c r="C13" s="693">
        <v>1</v>
      </c>
      <c r="D13" s="694">
        <v>2</v>
      </c>
      <c r="E13" s="694" t="s">
        <v>429</v>
      </c>
      <c r="F13" s="705"/>
      <c r="G13" s="697">
        <f>6.3*1</f>
        <v>6.3</v>
      </c>
      <c r="H13" s="706">
        <v>2.5</v>
      </c>
      <c r="I13" s="697">
        <v>2.469</v>
      </c>
      <c r="J13" s="697">
        <f>(G13/1000)/(PI()*(I13*0.0254/2)^2)</f>
        <v>2.0395814574202342</v>
      </c>
      <c r="K13" s="707">
        <v>1.8</v>
      </c>
      <c r="L13" s="707">
        <v>38</v>
      </c>
      <c r="M13" s="708">
        <v>7.08</v>
      </c>
      <c r="N13" s="700">
        <f>SUM(K13:M13)</f>
        <v>46.879999999999995</v>
      </c>
      <c r="O13" s="701">
        <f>(G13/(280*U13*(I13*0.0254)^2.63))^1.85</f>
        <v>0.059874102704721474</v>
      </c>
      <c r="P13" s="697">
        <f>ROUND(N13*O13,2)</f>
        <v>2.81</v>
      </c>
      <c r="Q13" s="709">
        <f>Q12+K13+P13</f>
        <v>50.61</v>
      </c>
      <c r="R13" s="632"/>
      <c r="U13" s="710">
        <v>150</v>
      </c>
      <c r="V13" s="711"/>
      <c r="W13" s="711"/>
      <c r="X13" s="711"/>
      <c r="Y13" s="673">
        <v>1.5</v>
      </c>
      <c r="Z13" s="674">
        <v>1.61</v>
      </c>
      <c r="AA13" s="674">
        <v>1.5</v>
      </c>
      <c r="AB13" s="674">
        <v>1.481</v>
      </c>
      <c r="AC13" s="674">
        <v>1.505</v>
      </c>
      <c r="AD13" s="674">
        <v>1.527</v>
      </c>
      <c r="AE13" s="674">
        <v>1.72</v>
      </c>
      <c r="AF13" s="674"/>
      <c r="AG13" s="674">
        <v>1.672</v>
      </c>
      <c r="AH13" s="675"/>
    </row>
    <row r="14" spans="2:34" ht="30" customHeight="1">
      <c r="B14" s="624"/>
      <c r="C14" s="693">
        <f>C13+1</f>
        <v>2</v>
      </c>
      <c r="D14" s="694">
        <f>D13+1</f>
        <v>3</v>
      </c>
      <c r="E14" s="694" t="s">
        <v>429</v>
      </c>
      <c r="F14" s="705"/>
      <c r="G14" s="697">
        <f>+G13</f>
        <v>6.3</v>
      </c>
      <c r="H14" s="706">
        <v>3</v>
      </c>
      <c r="I14" s="697">
        <v>3.07</v>
      </c>
      <c r="J14" s="697">
        <f>(G14/1000)/(PI()*(I14*0.0254/2)^2)</f>
        <v>1.3191873675855348</v>
      </c>
      <c r="K14" s="707">
        <v>1</v>
      </c>
      <c r="L14" s="707">
        <v>52</v>
      </c>
      <c r="M14" s="708">
        <f>+M13</f>
        <v>7.08</v>
      </c>
      <c r="N14" s="700">
        <f>SUM(K14:M14)</f>
        <v>60.08</v>
      </c>
      <c r="O14" s="701">
        <f>(G14/(280*U14*(I14*0.0254)^2.63))^1.85</f>
        <v>0.02074333662372959</v>
      </c>
      <c r="P14" s="697">
        <f>ROUND(N14*O14,2)</f>
        <v>1.25</v>
      </c>
      <c r="Q14" s="709">
        <f>Q13+K14+P14</f>
        <v>52.86</v>
      </c>
      <c r="R14" s="632"/>
      <c r="U14" s="710">
        <v>150</v>
      </c>
      <c r="V14" s="659"/>
      <c r="W14" s="659"/>
      <c r="X14" s="659"/>
      <c r="Y14" s="673">
        <v>2</v>
      </c>
      <c r="Z14" s="674">
        <v>2.067</v>
      </c>
      <c r="AA14" s="674">
        <v>1.939</v>
      </c>
      <c r="AB14" s="674">
        <v>1.959</v>
      </c>
      <c r="AC14" s="674">
        <v>1.985</v>
      </c>
      <c r="AD14" s="674">
        <v>2.009</v>
      </c>
      <c r="AE14" s="674">
        <v>2.149</v>
      </c>
      <c r="AF14" s="674"/>
      <c r="AG14" s="674">
        <v>2.107</v>
      </c>
      <c r="AH14" s="675">
        <v>2.127</v>
      </c>
    </row>
    <row r="15" spans="2:34" ht="30" customHeight="1">
      <c r="B15" s="624"/>
      <c r="C15" s="693"/>
      <c r="D15" s="694"/>
      <c r="E15" s="694"/>
      <c r="F15" s="705"/>
      <c r="G15" s="697"/>
      <c r="H15" s="706"/>
      <c r="I15" s="697"/>
      <c r="J15" s="697"/>
      <c r="K15" s="707"/>
      <c r="L15" s="707"/>
      <c r="M15" s="708"/>
      <c r="N15" s="700"/>
      <c r="O15" s="701"/>
      <c r="P15" s="697"/>
      <c r="Q15" s="709">
        <f>+Q14</f>
        <v>52.86</v>
      </c>
      <c r="R15" s="632"/>
      <c r="U15" s="710">
        <v>150</v>
      </c>
      <c r="V15" s="712"/>
      <c r="W15" s="713"/>
      <c r="X15" s="714"/>
      <c r="Y15" s="718"/>
      <c r="Z15" s="718"/>
      <c r="AA15" s="718"/>
      <c r="AB15" s="718"/>
      <c r="AC15" s="718"/>
      <c r="AD15" s="718"/>
      <c r="AE15" s="718"/>
      <c r="AF15" s="718"/>
      <c r="AG15" s="718"/>
      <c r="AH15" s="718"/>
    </row>
    <row r="16" spans="2:34" ht="30" customHeight="1" thickBot="1">
      <c r="B16" s="624"/>
      <c r="C16" s="719"/>
      <c r="D16" s="720"/>
      <c r="E16" s="721"/>
      <c r="F16" s="721"/>
      <c r="G16" s="697"/>
      <c r="H16" s="722"/>
      <c r="I16" s="721"/>
      <c r="J16" s="697"/>
      <c r="K16" s="700"/>
      <c r="L16" s="721"/>
      <c r="M16" s="697"/>
      <c r="N16" s="700"/>
      <c r="O16" s="701"/>
      <c r="P16" s="697"/>
      <c r="Q16" s="709"/>
      <c r="R16" s="632"/>
      <c r="T16" s="723"/>
      <c r="U16" s="710">
        <v>150</v>
      </c>
      <c r="V16" s="712"/>
      <c r="W16" s="713"/>
      <c r="X16" s="714"/>
      <c r="Y16" s="718"/>
      <c r="Z16" s="718"/>
      <c r="AA16" s="718"/>
      <c r="AB16" s="718"/>
      <c r="AC16" s="718"/>
      <c r="AD16" s="718"/>
      <c r="AE16" s="718"/>
      <c r="AF16" s="718"/>
      <c r="AG16" s="718"/>
      <c r="AH16" s="718"/>
    </row>
    <row r="17" spans="2:34" ht="30" customHeight="1" thickBot="1">
      <c r="B17" s="624"/>
      <c r="C17" s="728"/>
      <c r="D17" s="729"/>
      <c r="E17" s="730"/>
      <c r="F17" s="730"/>
      <c r="G17" s="731">
        <f>MAX(G12:G16)</f>
        <v>6.3</v>
      </c>
      <c r="H17" s="732"/>
      <c r="I17" s="732"/>
      <c r="J17" s="733"/>
      <c r="K17" s="734">
        <f>SUM(K13:K16)</f>
        <v>2.8</v>
      </c>
      <c r="L17" s="735"/>
      <c r="M17" s="733"/>
      <c r="N17" s="736"/>
      <c r="O17" s="737"/>
      <c r="P17" s="738">
        <f>+SUM(P15:P16)</f>
        <v>0</v>
      </c>
      <c r="Q17" s="739"/>
      <c r="R17" s="632"/>
      <c r="T17" s="723"/>
      <c r="U17" s="710">
        <v>150</v>
      </c>
      <c r="V17" s="712"/>
      <c r="W17" s="713"/>
      <c r="X17" s="714"/>
      <c r="Y17" s="1086"/>
      <c r="Z17" s="1087"/>
      <c r="AA17" s="1087"/>
      <c r="AB17" s="1087"/>
      <c r="AC17" s="1087"/>
      <c r="AD17" s="1087"/>
      <c r="AE17" s="1087"/>
      <c r="AF17" s="1087"/>
      <c r="AG17" s="1087"/>
      <c r="AH17" s="1088"/>
    </row>
    <row r="18" spans="2:34" ht="30" customHeight="1" thickBot="1">
      <c r="B18" s="624"/>
      <c r="C18" s="740"/>
      <c r="D18" s="740"/>
      <c r="E18" s="741"/>
      <c r="F18" s="741"/>
      <c r="G18" s="742"/>
      <c r="H18" s="743"/>
      <c r="I18" s="743"/>
      <c r="J18" s="742"/>
      <c r="K18" s="744"/>
      <c r="L18" s="744"/>
      <c r="M18" s="742"/>
      <c r="N18" s="744"/>
      <c r="O18" s="745"/>
      <c r="P18" s="742"/>
      <c r="Q18" s="742"/>
      <c r="R18" s="632"/>
      <c r="T18" s="723"/>
      <c r="U18" s="710">
        <v>100</v>
      </c>
      <c r="V18" s="712"/>
      <c r="W18" s="713"/>
      <c r="X18" s="714"/>
      <c r="Y18" s="1089" t="s">
        <v>353</v>
      </c>
      <c r="Z18" s="1091" t="s">
        <v>345</v>
      </c>
      <c r="AA18" s="1091" t="s">
        <v>346</v>
      </c>
      <c r="AB18" s="1091" t="s">
        <v>347</v>
      </c>
      <c r="AC18" s="1091" t="s">
        <v>348</v>
      </c>
      <c r="AD18" s="1091" t="s">
        <v>349</v>
      </c>
      <c r="AE18" s="1091" t="s">
        <v>231</v>
      </c>
      <c r="AF18" s="1091" t="s">
        <v>350</v>
      </c>
      <c r="AG18" s="1091" t="s">
        <v>354</v>
      </c>
      <c r="AH18" s="1084" t="s">
        <v>351</v>
      </c>
    </row>
    <row r="19" spans="2:34" ht="30" customHeight="1">
      <c r="B19" s="624"/>
      <c r="C19" s="746"/>
      <c r="D19" s="746"/>
      <c r="K19" s="747"/>
      <c r="L19" s="747"/>
      <c r="N19" s="747"/>
      <c r="R19" s="632"/>
      <c r="T19" s="723"/>
      <c r="U19" s="710">
        <v>100</v>
      </c>
      <c r="V19" s="712"/>
      <c r="W19" s="713"/>
      <c r="X19" s="714"/>
      <c r="Y19" s="1090"/>
      <c r="Z19" s="1092"/>
      <c r="AA19" s="1092"/>
      <c r="AB19" s="1092"/>
      <c r="AC19" s="1092"/>
      <c r="AD19" s="1092"/>
      <c r="AE19" s="1092"/>
      <c r="AF19" s="1092"/>
      <c r="AG19" s="1092"/>
      <c r="AH19" s="1085"/>
    </row>
    <row r="20" spans="2:34" ht="30" customHeight="1">
      <c r="B20" s="624"/>
      <c r="C20" s="746"/>
      <c r="D20" s="746"/>
      <c r="K20" s="747"/>
      <c r="L20" s="747"/>
      <c r="N20" s="747"/>
      <c r="R20" s="632"/>
      <c r="T20" s="723"/>
      <c r="U20" s="710"/>
      <c r="V20" s="712"/>
      <c r="W20" s="713"/>
      <c r="X20" s="714"/>
      <c r="Y20" s="1090"/>
      <c r="Z20" s="1092"/>
      <c r="AA20" s="1092"/>
      <c r="AB20" s="1092"/>
      <c r="AC20" s="1092"/>
      <c r="AD20" s="1092"/>
      <c r="AE20" s="1092"/>
      <c r="AF20" s="1092"/>
      <c r="AG20" s="1092"/>
      <c r="AH20" s="1085"/>
    </row>
    <row r="21" spans="2:34" ht="30" customHeight="1">
      <c r="B21" s="624"/>
      <c r="C21" s="746"/>
      <c r="D21" s="746"/>
      <c r="K21" s="747"/>
      <c r="L21" s="747"/>
      <c r="N21" s="747"/>
      <c r="R21" s="632"/>
      <c r="T21" s="723"/>
      <c r="U21" s="710"/>
      <c r="V21" s="712"/>
      <c r="W21" s="713"/>
      <c r="X21" s="714"/>
      <c r="Y21" s="673">
        <v>0.5</v>
      </c>
      <c r="Z21" s="674">
        <f aca="true" t="shared" si="0" ref="Z21:AH21">Z9*25.4</f>
        <v>15.798799999999998</v>
      </c>
      <c r="AA21" s="674">
        <f t="shared" si="0"/>
        <v>13.8684</v>
      </c>
      <c r="AB21" s="674">
        <f t="shared" si="0"/>
        <v>13.3858</v>
      </c>
      <c r="AC21" s="674">
        <f t="shared" si="0"/>
        <v>13.843</v>
      </c>
      <c r="AD21" s="674">
        <f t="shared" si="0"/>
        <v>15.138399999999999</v>
      </c>
      <c r="AE21" s="674">
        <f t="shared" si="0"/>
        <v>18.1864</v>
      </c>
      <c r="AF21" s="674">
        <f t="shared" si="0"/>
        <v>12.420599999999999</v>
      </c>
      <c r="AG21" s="674">
        <f t="shared" si="0"/>
        <v>16.383</v>
      </c>
      <c r="AH21" s="675">
        <f t="shared" si="0"/>
        <v>16.7894</v>
      </c>
    </row>
    <row r="22" spans="2:34" ht="30" customHeight="1">
      <c r="B22" s="624"/>
      <c r="C22" s="746"/>
      <c r="D22" s="746"/>
      <c r="K22" s="747"/>
      <c r="L22" s="747"/>
      <c r="N22" s="747"/>
      <c r="R22" s="632"/>
      <c r="T22" s="723"/>
      <c r="Y22" s="673">
        <v>0.75</v>
      </c>
      <c r="Z22" s="674">
        <f aca="true" t="shared" si="1" ref="Z22:AG22">Z10*25.4</f>
        <v>20.929599999999997</v>
      </c>
      <c r="AA22" s="674">
        <f t="shared" si="1"/>
        <v>18.846799999999998</v>
      </c>
      <c r="AB22" s="674">
        <f t="shared" si="1"/>
        <v>18.923</v>
      </c>
      <c r="AC22" s="674">
        <f t="shared" si="1"/>
        <v>19.939</v>
      </c>
      <c r="AD22" s="674">
        <f t="shared" si="1"/>
        <v>20.5994</v>
      </c>
      <c r="AE22" s="674">
        <f t="shared" si="1"/>
        <v>23.622</v>
      </c>
      <c r="AF22" s="674">
        <f t="shared" si="1"/>
        <v>18.160999999999998</v>
      </c>
      <c r="AG22" s="674">
        <f t="shared" si="1"/>
        <v>22.1742</v>
      </c>
      <c r="AH22" s="675"/>
    </row>
    <row r="23" spans="2:34" ht="30" customHeight="1">
      <c r="B23" s="624"/>
      <c r="C23" s="746"/>
      <c r="D23" s="746"/>
      <c r="K23" s="747"/>
      <c r="L23" s="747"/>
      <c r="N23" s="747"/>
      <c r="R23" s="632"/>
      <c r="T23" s="723"/>
      <c r="Y23" s="673">
        <v>1</v>
      </c>
      <c r="Z23" s="674">
        <f aca="true" t="shared" si="2" ref="Z23:AE26">Z11*25.4</f>
        <v>26.644599999999997</v>
      </c>
      <c r="AA23" s="674">
        <f t="shared" si="2"/>
        <v>24.307799999999997</v>
      </c>
      <c r="AB23" s="674">
        <f t="shared" si="2"/>
        <v>25.273</v>
      </c>
      <c r="AC23" s="674">
        <f t="shared" si="2"/>
        <v>26.034999999999997</v>
      </c>
      <c r="AD23" s="674">
        <f t="shared" si="2"/>
        <v>26.796999999999997</v>
      </c>
      <c r="AE23" s="674">
        <f t="shared" si="2"/>
        <v>30.2006</v>
      </c>
      <c r="AF23" s="674"/>
      <c r="AG23" s="674">
        <f>AG11*25.4</f>
        <v>27.711399999999998</v>
      </c>
      <c r="AH23" s="675">
        <f>AH11*25.4</f>
        <v>28.219399999999997</v>
      </c>
    </row>
    <row r="24" spans="2:34" ht="30" customHeight="1">
      <c r="B24" s="624"/>
      <c r="C24" s="746"/>
      <c r="D24" s="746"/>
      <c r="K24" s="747"/>
      <c r="L24" s="747"/>
      <c r="N24" s="747"/>
      <c r="R24" s="632"/>
      <c r="T24" s="723"/>
      <c r="Y24" s="673">
        <v>1.25</v>
      </c>
      <c r="Z24" s="674">
        <f t="shared" si="2"/>
        <v>35.05199999999999</v>
      </c>
      <c r="AA24" s="674">
        <f t="shared" si="2"/>
        <v>32.4612</v>
      </c>
      <c r="AB24" s="674">
        <f t="shared" si="2"/>
        <v>31.623</v>
      </c>
      <c r="AC24" s="674">
        <f t="shared" si="2"/>
        <v>32.13099999999999</v>
      </c>
      <c r="AD24" s="674">
        <f t="shared" si="2"/>
        <v>32.791399999999996</v>
      </c>
      <c r="AE24" s="674">
        <f t="shared" si="2"/>
        <v>38.1508</v>
      </c>
      <c r="AF24" s="674"/>
      <c r="AG24" s="674">
        <f>AG12*25.4</f>
        <v>36.449</v>
      </c>
      <c r="AH24" s="675"/>
    </row>
    <row r="25" spans="2:34" ht="30" customHeight="1">
      <c r="B25" s="624"/>
      <c r="C25" s="746"/>
      <c r="D25" s="746"/>
      <c r="K25" s="747"/>
      <c r="L25" s="747"/>
      <c r="N25" s="747"/>
      <c r="R25" s="632"/>
      <c r="T25" s="723"/>
      <c r="Y25" s="673">
        <v>1.5</v>
      </c>
      <c r="Z25" s="674">
        <f t="shared" si="2"/>
        <v>40.894</v>
      </c>
      <c r="AA25" s="674">
        <f t="shared" si="2"/>
        <v>38.099999999999994</v>
      </c>
      <c r="AB25" s="674">
        <f t="shared" si="2"/>
        <v>37.6174</v>
      </c>
      <c r="AC25" s="674">
        <f t="shared" si="2"/>
        <v>38.227</v>
      </c>
      <c r="AD25" s="674">
        <f t="shared" si="2"/>
        <v>38.785799999999995</v>
      </c>
      <c r="AE25" s="674">
        <f t="shared" si="2"/>
        <v>43.687999999999995</v>
      </c>
      <c r="AF25" s="674"/>
      <c r="AG25" s="674">
        <f>AG13*25.4</f>
        <v>42.468799999999995</v>
      </c>
      <c r="AH25" s="675"/>
    </row>
    <row r="26" spans="2:34" ht="30" customHeight="1">
      <c r="B26" s="624"/>
      <c r="C26" s="746"/>
      <c r="D26" s="746"/>
      <c r="K26" s="747"/>
      <c r="L26" s="747"/>
      <c r="N26" s="747"/>
      <c r="R26" s="632"/>
      <c r="T26" s="723"/>
      <c r="Y26" s="673">
        <v>2</v>
      </c>
      <c r="Z26" s="674">
        <f t="shared" si="2"/>
        <v>52.5018</v>
      </c>
      <c r="AA26" s="674">
        <f t="shared" si="2"/>
        <v>49.2506</v>
      </c>
      <c r="AB26" s="674">
        <f t="shared" si="2"/>
        <v>49.7586</v>
      </c>
      <c r="AC26" s="674">
        <f t="shared" si="2"/>
        <v>50.419</v>
      </c>
      <c r="AD26" s="674">
        <f t="shared" si="2"/>
        <v>51.0286</v>
      </c>
      <c r="AE26" s="674">
        <f t="shared" si="2"/>
        <v>54.584599999999995</v>
      </c>
      <c r="AF26" s="674"/>
      <c r="AG26" s="674">
        <f>AG14*25.4</f>
        <v>53.5178</v>
      </c>
      <c r="AH26" s="675">
        <f>AH14*25.4</f>
        <v>54.02579999999999</v>
      </c>
    </row>
    <row r="27" spans="2:34" ht="30" customHeight="1">
      <c r="B27" s="624"/>
      <c r="C27" s="746"/>
      <c r="D27" s="746"/>
      <c r="K27" s="747"/>
      <c r="L27" s="747"/>
      <c r="N27" s="747"/>
      <c r="R27" s="632"/>
      <c r="T27" s="723"/>
      <c r="Y27" s="673">
        <v>2.5</v>
      </c>
      <c r="Z27" s="674" t="e">
        <f>#REF!*25.4</f>
        <v>#REF!</v>
      </c>
      <c r="AA27" s="674" t="e">
        <f>#REF!*25.4</f>
        <v>#REF!</v>
      </c>
      <c r="AB27" s="674" t="e">
        <f>#REF!*25.4</f>
        <v>#REF!</v>
      </c>
      <c r="AC27" s="674" t="e">
        <f>#REF!*25.4</f>
        <v>#REF!</v>
      </c>
      <c r="AD27" s="674" t="e">
        <f>#REF!*25.4</f>
        <v>#REF!</v>
      </c>
      <c r="AE27" s="674" t="e">
        <f>#REF!*25.4</f>
        <v>#REF!</v>
      </c>
      <c r="AF27" s="674"/>
      <c r="AG27" s="674" t="e">
        <f>#REF!*25.4</f>
        <v>#REF!</v>
      </c>
      <c r="AH27" s="675"/>
    </row>
    <row r="28" spans="2:34" ht="30" customHeight="1">
      <c r="B28" s="624"/>
      <c r="C28" s="746"/>
      <c r="D28" s="746"/>
      <c r="K28" s="747"/>
      <c r="L28" s="747"/>
      <c r="N28" s="747"/>
      <c r="R28" s="632"/>
      <c r="T28" s="723"/>
      <c r="Y28" s="673">
        <v>3</v>
      </c>
      <c r="Z28" s="674" t="e">
        <f>#REF!*25.4</f>
        <v>#REF!</v>
      </c>
      <c r="AA28" s="674" t="e">
        <f>#REF!*25.4</f>
        <v>#REF!</v>
      </c>
      <c r="AB28" s="674" t="e">
        <f>#REF!*25.4</f>
        <v>#REF!</v>
      </c>
      <c r="AC28" s="674" t="e">
        <f>#REF!*25.4</f>
        <v>#REF!</v>
      </c>
      <c r="AD28" s="674" t="e">
        <f>#REF!*25.4</f>
        <v>#REF!</v>
      </c>
      <c r="AE28" s="674" t="e">
        <f>#REF!*25.4</f>
        <v>#REF!</v>
      </c>
      <c r="AF28" s="674"/>
      <c r="AG28" s="674" t="e">
        <f>#REF!*25.4</f>
        <v>#REF!</v>
      </c>
      <c r="AH28" s="675"/>
    </row>
    <row r="29" spans="2:34" ht="30" customHeight="1" thickBot="1">
      <c r="B29" s="624"/>
      <c r="C29" s="746"/>
      <c r="D29" s="746"/>
      <c r="K29" s="747"/>
      <c r="L29" s="747"/>
      <c r="N29" s="747"/>
      <c r="R29" s="632"/>
      <c r="T29" s="723"/>
      <c r="Y29" s="715">
        <v>4</v>
      </c>
      <c r="Z29" s="716" t="e">
        <f>#REF!*25.4</f>
        <v>#REF!</v>
      </c>
      <c r="AA29" s="716" t="e">
        <f>#REF!*25.4</f>
        <v>#REF!</v>
      </c>
      <c r="AB29" s="716" t="e">
        <f>#REF!*25.4</f>
        <v>#REF!</v>
      </c>
      <c r="AC29" s="716" t="e">
        <f>#REF!*25.4</f>
        <v>#REF!</v>
      </c>
      <c r="AD29" s="716" t="e">
        <f>#REF!*25.4</f>
        <v>#REF!</v>
      </c>
      <c r="AE29" s="716" t="e">
        <f>#REF!*25.4</f>
        <v>#REF!</v>
      </c>
      <c r="AF29" s="716"/>
      <c r="AG29" s="716" t="e">
        <f>#REF!*25.4</f>
        <v>#REF!</v>
      </c>
      <c r="AH29" s="717"/>
    </row>
    <row r="30" spans="2:34" ht="30" customHeight="1">
      <c r="B30" s="624"/>
      <c r="C30" s="746"/>
      <c r="D30" s="746"/>
      <c r="K30" s="747"/>
      <c r="L30" s="747"/>
      <c r="N30" s="747"/>
      <c r="R30" s="632"/>
      <c r="T30" s="723"/>
      <c r="Y30" s="704"/>
      <c r="Z30" s="704"/>
      <c r="AA30" s="704"/>
      <c r="AB30" s="704"/>
      <c r="AC30" s="704"/>
      <c r="AD30" s="704"/>
      <c r="AE30" s="704"/>
      <c r="AF30" s="704"/>
      <c r="AG30" s="704"/>
      <c r="AH30" s="704"/>
    </row>
    <row r="31" spans="2:34" ht="30" customHeight="1">
      <c r="B31" s="624"/>
      <c r="C31" s="749"/>
      <c r="D31" s="749"/>
      <c r="K31" s="750"/>
      <c r="L31" s="750"/>
      <c r="N31" s="750"/>
      <c r="R31" s="632"/>
      <c r="T31" s="723"/>
      <c r="Y31" s="724" t="s">
        <v>286</v>
      </c>
      <c r="Z31" s="704"/>
      <c r="AA31" s="704"/>
      <c r="AB31" s="725">
        <v>2.5</v>
      </c>
      <c r="AC31" s="726" t="e">
        <f>IF(Y31="AG-SCH40",VLOOKUP(AB31,$Y$21:$AH$29,2),IF(Y31="AG-SCH80",VLOOKUP(AB31,$Y$21:$AH$29,3),IF(Y31="CU-K",VLOOKUP(AB31,$Y$21:$AH$29,4),IF(Y31="CU-L",VLOOKUP(AB31,$Y$21:$AH$29,5),IF(Y31="CU-M",VLOOKUP(AB31,$Y$21:$AH$29,6),IF(Y31="PVCP",VLOOKUP(AB31,$Y$21:$AH$29,7),IF(Y31="CPVC",VLOOKUP(AB31,$Y$21:$AH$29,8),"PENDEJO")))))))</f>
        <v>#REF!</v>
      </c>
      <c r="AD31" s="1083" t="s">
        <v>356</v>
      </c>
      <c r="AE31" s="1083"/>
      <c r="AF31" s="727"/>
      <c r="AG31" s="727"/>
      <c r="AH31" s="727"/>
    </row>
    <row r="32" spans="2:34" ht="30" customHeight="1">
      <c r="B32" s="624"/>
      <c r="C32" s="746"/>
      <c r="D32" s="746"/>
      <c r="K32" s="747"/>
      <c r="L32" s="747"/>
      <c r="N32" s="747"/>
      <c r="R32" s="632"/>
      <c r="T32" s="723"/>
      <c r="Y32" s="724" t="s">
        <v>286</v>
      </c>
      <c r="Z32" s="704"/>
      <c r="AA32" s="704"/>
      <c r="AB32" s="725">
        <v>2.5</v>
      </c>
      <c r="AC32" s="726">
        <f>IF(Y32="AG-SCH40",VLOOKUP(AB32,$Y$9:$AH$14,2),IF(Y32="AG-SCH80",VLOOKUP(AB32,$Y$9:$AH$14,3),IF(Y32="CU-K",VLOOKUP(AB32,$Y$9:$AH$14,4),IF(Y32="CU-L",VLOOKUP(AB32,$Y$9:$AH$14,5),IF(Y32="CU-M",VLOOKUP(AB32,$Y$9:$AH$14,6),IF(Y32="PVCP",VLOOKUP(AB32,$Y$9:$AH$14,7),IF(Y32="CPVC",VLOOKUP(AB32,$Y$9:$AH$14,8),"PENDEJO")))))))</f>
        <v>2.149</v>
      </c>
      <c r="AD32" s="1083" t="s">
        <v>358</v>
      </c>
      <c r="AE32" s="1083"/>
      <c r="AF32" s="727"/>
      <c r="AG32" s="727"/>
      <c r="AH32" s="727"/>
    </row>
    <row r="33" spans="2:20" ht="30" customHeight="1">
      <c r="B33" s="624"/>
      <c r="C33" s="746"/>
      <c r="D33" s="746"/>
      <c r="K33" s="747"/>
      <c r="L33" s="747"/>
      <c r="N33" s="747"/>
      <c r="R33" s="632"/>
      <c r="T33" s="723"/>
    </row>
    <row r="34" spans="2:20" ht="30" customHeight="1">
      <c r="B34" s="624"/>
      <c r="C34" s="746"/>
      <c r="D34" s="746"/>
      <c r="K34" s="747"/>
      <c r="L34" s="747"/>
      <c r="N34" s="747"/>
      <c r="R34" s="632"/>
      <c r="T34" s="723"/>
    </row>
    <row r="35" spans="2:20" ht="30" customHeight="1">
      <c r="B35" s="624"/>
      <c r="C35" s="746"/>
      <c r="D35" s="746"/>
      <c r="K35" s="747"/>
      <c r="L35" s="747"/>
      <c r="N35" s="747"/>
      <c r="R35" s="632"/>
      <c r="T35" s="723"/>
    </row>
    <row r="36" spans="2:20" ht="30" customHeight="1">
      <c r="B36" s="624"/>
      <c r="C36" s="746"/>
      <c r="D36" s="746"/>
      <c r="K36" s="747"/>
      <c r="L36" s="747"/>
      <c r="N36" s="747"/>
      <c r="R36" s="632"/>
      <c r="T36" s="723"/>
    </row>
    <row r="37" spans="3:17" s="748" customFormat="1" ht="14.25">
      <c r="C37" s="746"/>
      <c r="D37" s="746"/>
      <c r="E37" s="611"/>
      <c r="F37" s="611"/>
      <c r="G37" s="612"/>
      <c r="H37" s="613"/>
      <c r="I37" s="613"/>
      <c r="J37" s="612"/>
      <c r="K37" s="747"/>
      <c r="L37" s="747"/>
      <c r="M37" s="612"/>
      <c r="N37" s="747"/>
      <c r="O37" s="615"/>
      <c r="P37" s="612"/>
      <c r="Q37" s="612"/>
    </row>
    <row r="38" spans="3:17" s="748" customFormat="1" ht="14.25">
      <c r="C38" s="746"/>
      <c r="D38" s="746"/>
      <c r="E38" s="611"/>
      <c r="F38" s="611"/>
      <c r="G38" s="612"/>
      <c r="H38" s="613"/>
      <c r="I38" s="613"/>
      <c r="J38" s="612"/>
      <c r="K38" s="747"/>
      <c r="L38" s="747"/>
      <c r="M38" s="612"/>
      <c r="N38" s="747"/>
      <c r="O38" s="615"/>
      <c r="P38" s="612"/>
      <c r="Q38" s="612"/>
    </row>
    <row r="39" spans="3:17" s="748" customFormat="1" ht="14.25">
      <c r="C39" s="746"/>
      <c r="D39" s="746"/>
      <c r="E39" s="611"/>
      <c r="F39" s="611"/>
      <c r="G39" s="612"/>
      <c r="H39" s="613"/>
      <c r="I39" s="613"/>
      <c r="J39" s="612"/>
      <c r="K39" s="747"/>
      <c r="L39" s="747"/>
      <c r="M39" s="612"/>
      <c r="N39" s="747"/>
      <c r="O39" s="615"/>
      <c r="P39" s="612"/>
      <c r="Q39" s="612"/>
    </row>
    <row r="40" spans="3:17" s="748" customFormat="1" ht="14.25">
      <c r="C40" s="746"/>
      <c r="D40" s="746"/>
      <c r="E40" s="611"/>
      <c r="F40" s="611"/>
      <c r="G40" s="612"/>
      <c r="H40" s="613"/>
      <c r="I40" s="613"/>
      <c r="J40" s="612"/>
      <c r="K40" s="747"/>
      <c r="L40" s="747"/>
      <c r="M40" s="612"/>
      <c r="N40" s="747"/>
      <c r="O40" s="615"/>
      <c r="P40" s="612"/>
      <c r="Q40" s="612"/>
    </row>
    <row r="41" spans="3:17" s="748" customFormat="1" ht="14.25">
      <c r="C41" s="746"/>
      <c r="D41" s="746"/>
      <c r="E41" s="611"/>
      <c r="F41" s="611"/>
      <c r="G41" s="612"/>
      <c r="H41" s="613"/>
      <c r="I41" s="613"/>
      <c r="J41" s="612"/>
      <c r="K41" s="747"/>
      <c r="L41" s="747"/>
      <c r="M41" s="612"/>
      <c r="N41" s="747"/>
      <c r="O41" s="615"/>
      <c r="P41" s="612"/>
      <c r="Q41" s="612"/>
    </row>
    <row r="42" spans="3:17" s="748" customFormat="1" ht="14.25">
      <c r="C42" s="746"/>
      <c r="D42" s="746"/>
      <c r="E42" s="611"/>
      <c r="F42" s="611"/>
      <c r="G42" s="612"/>
      <c r="H42" s="613"/>
      <c r="I42" s="613"/>
      <c r="J42" s="612"/>
      <c r="K42" s="747"/>
      <c r="L42" s="747"/>
      <c r="M42" s="612"/>
      <c r="N42" s="747"/>
      <c r="O42" s="615"/>
      <c r="P42" s="612"/>
      <c r="Q42" s="612"/>
    </row>
    <row r="43" spans="3:17" s="748" customFormat="1" ht="14.25">
      <c r="C43" s="746"/>
      <c r="D43" s="746"/>
      <c r="E43" s="611"/>
      <c r="F43" s="611"/>
      <c r="G43" s="612"/>
      <c r="H43" s="613"/>
      <c r="I43" s="613"/>
      <c r="J43" s="612"/>
      <c r="K43" s="747"/>
      <c r="L43" s="747"/>
      <c r="M43" s="612"/>
      <c r="N43" s="747"/>
      <c r="O43" s="615"/>
      <c r="P43" s="612"/>
      <c r="Q43" s="612"/>
    </row>
    <row r="44" spans="3:17" s="748" customFormat="1" ht="14.25" customHeight="1">
      <c r="C44" s="746"/>
      <c r="D44" s="746"/>
      <c r="E44" s="611"/>
      <c r="F44" s="611"/>
      <c r="G44" s="612"/>
      <c r="H44" s="613"/>
      <c r="I44" s="613"/>
      <c r="J44" s="612"/>
      <c r="K44" s="747"/>
      <c r="L44" s="747"/>
      <c r="M44" s="612"/>
      <c r="N44" s="747"/>
      <c r="O44" s="615"/>
      <c r="P44" s="612"/>
      <c r="Q44" s="612"/>
    </row>
    <row r="45" spans="3:17" s="748" customFormat="1" ht="14.25">
      <c r="C45" s="746"/>
      <c r="D45" s="746"/>
      <c r="E45" s="611"/>
      <c r="F45" s="611"/>
      <c r="G45" s="612"/>
      <c r="H45" s="613"/>
      <c r="I45" s="613"/>
      <c r="J45" s="612"/>
      <c r="K45" s="747"/>
      <c r="L45" s="747"/>
      <c r="M45" s="612"/>
      <c r="N45" s="747"/>
      <c r="O45" s="615"/>
      <c r="P45" s="612"/>
      <c r="Q45" s="612"/>
    </row>
    <row r="46" spans="3:17" s="748" customFormat="1" ht="14.25" customHeight="1">
      <c r="C46" s="746"/>
      <c r="D46" s="746"/>
      <c r="E46" s="611"/>
      <c r="F46" s="611"/>
      <c r="G46" s="612"/>
      <c r="H46" s="613"/>
      <c r="I46" s="613"/>
      <c r="J46" s="612"/>
      <c r="K46" s="747"/>
      <c r="L46" s="747"/>
      <c r="M46" s="612"/>
      <c r="N46" s="747"/>
      <c r="O46" s="615"/>
      <c r="P46" s="612"/>
      <c r="Q46" s="612"/>
    </row>
    <row r="47" spans="3:17" s="748" customFormat="1" ht="14.25" customHeight="1">
      <c r="C47" s="746"/>
      <c r="D47" s="746"/>
      <c r="E47" s="611"/>
      <c r="F47" s="611"/>
      <c r="G47" s="612"/>
      <c r="H47" s="613"/>
      <c r="I47" s="613"/>
      <c r="J47" s="612"/>
      <c r="K47" s="747"/>
      <c r="L47" s="747"/>
      <c r="M47" s="612"/>
      <c r="N47" s="747"/>
      <c r="O47" s="615"/>
      <c r="P47" s="612"/>
      <c r="Q47" s="612"/>
    </row>
    <row r="48" spans="3:17" s="748" customFormat="1" ht="14.25" customHeight="1">
      <c r="C48" s="746"/>
      <c r="D48" s="746"/>
      <c r="E48" s="611"/>
      <c r="F48" s="611"/>
      <c r="G48" s="612"/>
      <c r="H48" s="613"/>
      <c r="I48" s="613"/>
      <c r="J48" s="612"/>
      <c r="K48" s="747"/>
      <c r="L48" s="747"/>
      <c r="M48" s="612"/>
      <c r="N48" s="747"/>
      <c r="O48" s="615"/>
      <c r="P48" s="612"/>
      <c r="Q48" s="612"/>
    </row>
    <row r="49" spans="3:17" s="748" customFormat="1" ht="14.25" customHeight="1">
      <c r="C49" s="746"/>
      <c r="D49" s="746"/>
      <c r="E49" s="611"/>
      <c r="F49" s="611"/>
      <c r="G49" s="612"/>
      <c r="H49" s="613"/>
      <c r="I49" s="613"/>
      <c r="J49" s="612"/>
      <c r="K49" s="747"/>
      <c r="L49" s="747"/>
      <c r="M49" s="612"/>
      <c r="N49" s="747"/>
      <c r="O49" s="615"/>
      <c r="P49" s="612"/>
      <c r="Q49" s="612"/>
    </row>
    <row r="50" spans="3:17" s="748" customFormat="1" ht="14.25" customHeight="1">
      <c r="C50" s="746"/>
      <c r="D50" s="746"/>
      <c r="E50" s="611"/>
      <c r="F50" s="611"/>
      <c r="G50" s="612"/>
      <c r="H50" s="613"/>
      <c r="I50" s="613"/>
      <c r="J50" s="612"/>
      <c r="K50" s="747"/>
      <c r="L50" s="747"/>
      <c r="M50" s="612"/>
      <c r="N50" s="747"/>
      <c r="O50" s="615"/>
      <c r="P50" s="612"/>
      <c r="Q50" s="612"/>
    </row>
    <row r="51" spans="3:17" s="748" customFormat="1" ht="14.25">
      <c r="C51" s="746"/>
      <c r="D51" s="746"/>
      <c r="E51" s="611"/>
      <c r="F51" s="611"/>
      <c r="G51" s="612"/>
      <c r="H51" s="613"/>
      <c r="I51" s="613"/>
      <c r="J51" s="612"/>
      <c r="K51" s="747"/>
      <c r="L51" s="747"/>
      <c r="M51" s="612"/>
      <c r="N51" s="747"/>
      <c r="O51" s="615"/>
      <c r="P51" s="612"/>
      <c r="Q51" s="612"/>
    </row>
    <row r="52" spans="3:17" s="751" customFormat="1" ht="15" customHeight="1">
      <c r="C52" s="746"/>
      <c r="D52" s="746"/>
      <c r="E52" s="611"/>
      <c r="F52" s="611"/>
      <c r="G52" s="612"/>
      <c r="H52" s="613"/>
      <c r="I52" s="613"/>
      <c r="J52" s="612"/>
      <c r="K52" s="747"/>
      <c r="L52" s="747"/>
      <c r="M52" s="612"/>
      <c r="N52" s="747"/>
      <c r="O52" s="615"/>
      <c r="P52" s="612"/>
      <c r="Q52" s="612"/>
    </row>
    <row r="53" spans="3:17" s="748" customFormat="1" ht="14.25" customHeight="1">
      <c r="C53" s="746"/>
      <c r="D53" s="746"/>
      <c r="E53" s="611"/>
      <c r="F53" s="611"/>
      <c r="G53" s="612"/>
      <c r="H53" s="613"/>
      <c r="I53" s="613"/>
      <c r="J53" s="612"/>
      <c r="K53" s="747"/>
      <c r="L53" s="747"/>
      <c r="M53" s="612"/>
      <c r="N53" s="747"/>
      <c r="O53" s="615"/>
      <c r="P53" s="612"/>
      <c r="Q53" s="612"/>
    </row>
    <row r="54" spans="3:17" s="748" customFormat="1" ht="14.25" customHeight="1">
      <c r="C54" s="746"/>
      <c r="D54" s="746"/>
      <c r="E54" s="611"/>
      <c r="F54" s="611"/>
      <c r="G54" s="612"/>
      <c r="H54" s="613"/>
      <c r="I54" s="613"/>
      <c r="J54" s="612"/>
      <c r="K54" s="747"/>
      <c r="L54" s="747"/>
      <c r="M54" s="612"/>
      <c r="N54" s="747"/>
      <c r="O54" s="615"/>
      <c r="P54" s="612"/>
      <c r="Q54" s="612"/>
    </row>
    <row r="55" spans="3:17" s="748" customFormat="1" ht="14.25" customHeight="1">
      <c r="C55" s="746"/>
      <c r="D55" s="746"/>
      <c r="E55" s="611"/>
      <c r="F55" s="611"/>
      <c r="G55" s="612"/>
      <c r="H55" s="613"/>
      <c r="I55" s="613"/>
      <c r="J55" s="612"/>
      <c r="K55" s="747"/>
      <c r="L55" s="747"/>
      <c r="M55" s="612"/>
      <c r="N55" s="747"/>
      <c r="O55" s="615"/>
      <c r="P55" s="612"/>
      <c r="Q55" s="612"/>
    </row>
    <row r="56" spans="3:17" s="748" customFormat="1" ht="14.25" customHeight="1">
      <c r="C56" s="746"/>
      <c r="D56" s="746"/>
      <c r="E56" s="611"/>
      <c r="F56" s="611"/>
      <c r="G56" s="612"/>
      <c r="H56" s="613"/>
      <c r="I56" s="613"/>
      <c r="J56" s="612"/>
      <c r="K56" s="747"/>
      <c r="L56" s="747"/>
      <c r="M56" s="612"/>
      <c r="N56" s="747"/>
      <c r="O56" s="615"/>
      <c r="P56" s="612"/>
      <c r="Q56" s="612"/>
    </row>
    <row r="57" spans="3:17" s="748" customFormat="1" ht="14.25" customHeight="1">
      <c r="C57" s="746"/>
      <c r="D57" s="746"/>
      <c r="E57" s="611"/>
      <c r="F57" s="611"/>
      <c r="G57" s="612"/>
      <c r="H57" s="613"/>
      <c r="I57" s="613"/>
      <c r="J57" s="612"/>
      <c r="K57" s="747"/>
      <c r="L57" s="747"/>
      <c r="M57" s="612"/>
      <c r="N57" s="747"/>
      <c r="O57" s="615"/>
      <c r="P57" s="612"/>
      <c r="Q57" s="612"/>
    </row>
    <row r="58" spans="3:17" s="748" customFormat="1" ht="14.25" customHeight="1">
      <c r="C58" s="746"/>
      <c r="D58" s="746"/>
      <c r="E58" s="611"/>
      <c r="F58" s="611"/>
      <c r="G58" s="612"/>
      <c r="H58" s="613"/>
      <c r="I58" s="613"/>
      <c r="J58" s="612"/>
      <c r="K58" s="747"/>
      <c r="L58" s="747"/>
      <c r="M58" s="612"/>
      <c r="N58" s="747"/>
      <c r="O58" s="615"/>
      <c r="P58" s="612"/>
      <c r="Q58" s="612"/>
    </row>
    <row r="59" spans="3:17" s="748" customFormat="1" ht="14.25">
      <c r="C59" s="746"/>
      <c r="D59" s="746"/>
      <c r="E59" s="611"/>
      <c r="F59" s="611"/>
      <c r="G59" s="612"/>
      <c r="H59" s="613"/>
      <c r="I59" s="613"/>
      <c r="J59" s="612"/>
      <c r="K59" s="747"/>
      <c r="L59" s="747"/>
      <c r="M59" s="612"/>
      <c r="N59" s="747"/>
      <c r="O59" s="615"/>
      <c r="P59" s="612"/>
      <c r="Q59" s="612"/>
    </row>
    <row r="60" spans="3:17" s="748" customFormat="1" ht="14.25">
      <c r="C60" s="746"/>
      <c r="D60" s="746"/>
      <c r="E60" s="611"/>
      <c r="F60" s="611"/>
      <c r="G60" s="612"/>
      <c r="H60" s="613"/>
      <c r="I60" s="613"/>
      <c r="J60" s="612"/>
      <c r="K60" s="747"/>
      <c r="L60" s="747"/>
      <c r="M60" s="612"/>
      <c r="N60" s="747"/>
      <c r="O60" s="615"/>
      <c r="P60" s="612"/>
      <c r="Q60" s="612"/>
    </row>
    <row r="61" spans="3:17" s="748" customFormat="1" ht="14.25">
      <c r="C61" s="746"/>
      <c r="D61" s="746"/>
      <c r="E61" s="611"/>
      <c r="F61" s="611"/>
      <c r="G61" s="612"/>
      <c r="H61" s="613"/>
      <c r="I61" s="613"/>
      <c r="J61" s="612"/>
      <c r="K61" s="747"/>
      <c r="L61" s="747"/>
      <c r="M61" s="612"/>
      <c r="N61" s="747"/>
      <c r="O61" s="615"/>
      <c r="P61" s="612"/>
      <c r="Q61" s="612"/>
    </row>
    <row r="62" spans="3:17" s="748" customFormat="1" ht="14.25">
      <c r="C62" s="746"/>
      <c r="D62" s="746"/>
      <c r="E62" s="611"/>
      <c r="F62" s="611"/>
      <c r="G62" s="612"/>
      <c r="H62" s="613"/>
      <c r="I62" s="613"/>
      <c r="J62" s="612"/>
      <c r="K62" s="747"/>
      <c r="L62" s="747"/>
      <c r="M62" s="612"/>
      <c r="N62" s="747"/>
      <c r="O62" s="615"/>
      <c r="P62" s="612"/>
      <c r="Q62" s="612"/>
    </row>
    <row r="63" spans="3:17" s="748" customFormat="1" ht="14.25">
      <c r="C63" s="746"/>
      <c r="D63" s="746"/>
      <c r="E63" s="611"/>
      <c r="F63" s="611"/>
      <c r="G63" s="612"/>
      <c r="H63" s="613"/>
      <c r="I63" s="613"/>
      <c r="J63" s="612"/>
      <c r="K63" s="747"/>
      <c r="L63" s="747"/>
      <c r="M63" s="612"/>
      <c r="N63" s="747"/>
      <c r="O63" s="615"/>
      <c r="P63" s="612"/>
      <c r="Q63" s="612"/>
    </row>
    <row r="64" spans="3:17" s="748" customFormat="1" ht="14.25">
      <c r="C64" s="746"/>
      <c r="D64" s="746"/>
      <c r="E64" s="611"/>
      <c r="F64" s="611"/>
      <c r="G64" s="612"/>
      <c r="H64" s="613"/>
      <c r="I64" s="613"/>
      <c r="J64" s="612"/>
      <c r="K64" s="747"/>
      <c r="L64" s="747"/>
      <c r="M64" s="612"/>
      <c r="N64" s="747"/>
      <c r="O64" s="615"/>
      <c r="P64" s="612"/>
      <c r="Q64" s="612"/>
    </row>
    <row r="65" spans="3:17" s="748" customFormat="1" ht="14.25">
      <c r="C65" s="746"/>
      <c r="D65" s="746"/>
      <c r="E65" s="611"/>
      <c r="F65" s="611"/>
      <c r="G65" s="612"/>
      <c r="H65" s="613"/>
      <c r="I65" s="613"/>
      <c r="J65" s="612"/>
      <c r="K65" s="747"/>
      <c r="L65" s="747"/>
      <c r="M65" s="612"/>
      <c r="N65" s="747"/>
      <c r="O65" s="615"/>
      <c r="P65" s="612"/>
      <c r="Q65" s="612"/>
    </row>
    <row r="66" spans="3:17" s="748" customFormat="1" ht="14.25">
      <c r="C66" s="746"/>
      <c r="D66" s="746"/>
      <c r="E66" s="611"/>
      <c r="F66" s="611"/>
      <c r="G66" s="612"/>
      <c r="H66" s="613"/>
      <c r="I66" s="613"/>
      <c r="J66" s="612"/>
      <c r="K66" s="747"/>
      <c r="L66" s="747"/>
      <c r="M66" s="612"/>
      <c r="N66" s="747"/>
      <c r="O66" s="615"/>
      <c r="P66" s="612"/>
      <c r="Q66" s="612"/>
    </row>
    <row r="67" spans="3:17" s="748" customFormat="1" ht="14.25">
      <c r="C67" s="746"/>
      <c r="D67" s="746"/>
      <c r="E67" s="611"/>
      <c r="F67" s="611"/>
      <c r="G67" s="612"/>
      <c r="H67" s="613"/>
      <c r="I67" s="613"/>
      <c r="J67" s="612"/>
      <c r="K67" s="747"/>
      <c r="L67" s="747"/>
      <c r="M67" s="612"/>
      <c r="N67" s="747"/>
      <c r="O67" s="615"/>
      <c r="P67" s="612"/>
      <c r="Q67" s="612"/>
    </row>
    <row r="68" spans="3:17" s="748" customFormat="1" ht="14.25">
      <c r="C68" s="746"/>
      <c r="D68" s="746"/>
      <c r="E68" s="611"/>
      <c r="F68" s="611"/>
      <c r="G68" s="612"/>
      <c r="H68" s="613"/>
      <c r="I68" s="613"/>
      <c r="J68" s="612"/>
      <c r="K68" s="747"/>
      <c r="L68" s="747"/>
      <c r="M68" s="612"/>
      <c r="N68" s="747"/>
      <c r="O68" s="615"/>
      <c r="P68" s="612"/>
      <c r="Q68" s="612"/>
    </row>
    <row r="69" spans="3:17" s="748" customFormat="1" ht="14.25">
      <c r="C69" s="746"/>
      <c r="D69" s="746"/>
      <c r="E69" s="611"/>
      <c r="F69" s="611"/>
      <c r="G69" s="612"/>
      <c r="H69" s="613"/>
      <c r="I69" s="613"/>
      <c r="J69" s="612"/>
      <c r="K69" s="747"/>
      <c r="L69" s="747"/>
      <c r="M69" s="612"/>
      <c r="N69" s="747"/>
      <c r="O69" s="615"/>
      <c r="P69" s="612"/>
      <c r="Q69" s="612"/>
    </row>
    <row r="70" spans="3:17" s="748" customFormat="1" ht="14.25">
      <c r="C70" s="746"/>
      <c r="D70" s="746"/>
      <c r="E70" s="611"/>
      <c r="F70" s="611"/>
      <c r="G70" s="612"/>
      <c r="H70" s="613"/>
      <c r="I70" s="613"/>
      <c r="J70" s="612"/>
      <c r="K70" s="747"/>
      <c r="L70" s="747"/>
      <c r="M70" s="612"/>
      <c r="N70" s="747"/>
      <c r="O70" s="615"/>
      <c r="P70" s="612"/>
      <c r="Q70" s="612"/>
    </row>
    <row r="71" spans="3:17" s="748" customFormat="1" ht="14.25">
      <c r="C71" s="746"/>
      <c r="D71" s="746"/>
      <c r="E71" s="611"/>
      <c r="F71" s="611"/>
      <c r="G71" s="612"/>
      <c r="H71" s="613"/>
      <c r="I71" s="613"/>
      <c r="J71" s="612"/>
      <c r="K71" s="747"/>
      <c r="L71" s="747"/>
      <c r="M71" s="612"/>
      <c r="N71" s="747"/>
      <c r="O71" s="615"/>
      <c r="P71" s="612"/>
      <c r="Q71" s="612"/>
    </row>
    <row r="72" spans="3:17" s="748" customFormat="1" ht="14.25">
      <c r="C72" s="610"/>
      <c r="D72" s="610"/>
      <c r="E72" s="611"/>
      <c r="F72" s="611"/>
      <c r="G72" s="612"/>
      <c r="H72" s="613"/>
      <c r="I72" s="613"/>
      <c r="J72" s="612"/>
      <c r="K72" s="614"/>
      <c r="L72" s="614"/>
      <c r="M72" s="612"/>
      <c r="N72" s="614"/>
      <c r="O72" s="615"/>
      <c r="P72" s="612"/>
      <c r="Q72" s="612"/>
    </row>
    <row r="73" spans="3:17" s="748" customFormat="1" ht="14.25">
      <c r="C73" s="752"/>
      <c r="D73" s="752"/>
      <c r="E73" s="753"/>
      <c r="F73" s="753"/>
      <c r="G73" s="754"/>
      <c r="H73" s="755"/>
      <c r="I73" s="755"/>
      <c r="J73" s="754"/>
      <c r="K73" s="756"/>
      <c r="L73" s="756"/>
      <c r="M73" s="754"/>
      <c r="N73" s="756"/>
      <c r="O73" s="757"/>
      <c r="P73" s="754"/>
      <c r="Q73" s="754"/>
    </row>
    <row r="74" spans="3:17" s="748" customFormat="1" ht="15">
      <c r="C74" s="758"/>
      <c r="D74" s="758"/>
      <c r="E74" s="669"/>
      <c r="F74" s="669"/>
      <c r="G74" s="759"/>
      <c r="H74" s="760"/>
      <c r="I74" s="760"/>
      <c r="J74" s="759"/>
      <c r="K74" s="761"/>
      <c r="L74" s="761"/>
      <c r="M74" s="759"/>
      <c r="N74" s="761"/>
      <c r="O74" s="762"/>
      <c r="P74" s="759"/>
      <c r="Q74" s="759"/>
    </row>
    <row r="75" spans="3:17" s="748" customFormat="1" ht="14.25">
      <c r="C75" s="610"/>
      <c r="D75" s="610"/>
      <c r="E75" s="611"/>
      <c r="F75" s="611"/>
      <c r="G75" s="612"/>
      <c r="H75" s="613"/>
      <c r="I75" s="613"/>
      <c r="J75" s="612"/>
      <c r="K75" s="614"/>
      <c r="L75" s="614"/>
      <c r="M75" s="612"/>
      <c r="N75" s="614"/>
      <c r="O75" s="615"/>
      <c r="P75" s="612"/>
      <c r="Q75" s="612"/>
    </row>
    <row r="76" spans="3:17" s="748" customFormat="1" ht="14.25">
      <c r="C76" s="610"/>
      <c r="D76" s="610"/>
      <c r="E76" s="611"/>
      <c r="F76" s="611"/>
      <c r="G76" s="612"/>
      <c r="H76" s="613"/>
      <c r="I76" s="613"/>
      <c r="J76" s="612"/>
      <c r="K76" s="614"/>
      <c r="L76" s="614"/>
      <c r="M76" s="612"/>
      <c r="N76" s="614"/>
      <c r="O76" s="615"/>
      <c r="P76" s="612"/>
      <c r="Q76" s="612"/>
    </row>
    <row r="77" spans="3:17" s="748" customFormat="1" ht="14.25">
      <c r="C77" s="610"/>
      <c r="D77" s="610"/>
      <c r="E77" s="611"/>
      <c r="F77" s="611"/>
      <c r="G77" s="612"/>
      <c r="H77" s="613"/>
      <c r="I77" s="613"/>
      <c r="J77" s="612"/>
      <c r="K77" s="614"/>
      <c r="L77" s="614"/>
      <c r="M77" s="612"/>
      <c r="N77" s="614"/>
      <c r="O77" s="615"/>
      <c r="P77" s="612"/>
      <c r="Q77" s="612"/>
    </row>
    <row r="78" spans="3:17" s="748" customFormat="1" ht="14.25">
      <c r="C78" s="610"/>
      <c r="D78" s="610"/>
      <c r="E78" s="611"/>
      <c r="F78" s="611"/>
      <c r="G78" s="612"/>
      <c r="H78" s="613"/>
      <c r="I78" s="613"/>
      <c r="J78" s="612"/>
      <c r="K78" s="614"/>
      <c r="L78" s="614"/>
      <c r="M78" s="612"/>
      <c r="N78" s="614"/>
      <c r="O78" s="615"/>
      <c r="P78" s="612"/>
      <c r="Q78" s="612"/>
    </row>
    <row r="79" spans="3:17" s="748" customFormat="1" ht="14.25">
      <c r="C79" s="610"/>
      <c r="D79" s="610"/>
      <c r="E79" s="611"/>
      <c r="F79" s="611"/>
      <c r="G79" s="612"/>
      <c r="H79" s="613"/>
      <c r="I79" s="613"/>
      <c r="J79" s="612"/>
      <c r="K79" s="614"/>
      <c r="L79" s="614"/>
      <c r="M79" s="612"/>
      <c r="N79" s="614"/>
      <c r="O79" s="615"/>
      <c r="P79" s="612"/>
      <c r="Q79" s="612"/>
    </row>
    <row r="80" spans="3:17" s="748" customFormat="1" ht="14.25">
      <c r="C80" s="610"/>
      <c r="D80" s="610"/>
      <c r="E80" s="611"/>
      <c r="F80" s="611"/>
      <c r="G80" s="612"/>
      <c r="H80" s="613"/>
      <c r="I80" s="613"/>
      <c r="J80" s="612"/>
      <c r="K80" s="614"/>
      <c r="L80" s="614"/>
      <c r="M80" s="612"/>
      <c r="N80" s="614"/>
      <c r="O80" s="615"/>
      <c r="P80" s="612"/>
      <c r="Q80" s="612"/>
    </row>
    <row r="81" spans="3:17" s="748" customFormat="1" ht="14.25">
      <c r="C81" s="610"/>
      <c r="D81" s="610"/>
      <c r="E81" s="611"/>
      <c r="F81" s="611"/>
      <c r="G81" s="612"/>
      <c r="H81" s="613"/>
      <c r="I81" s="613"/>
      <c r="J81" s="612"/>
      <c r="K81" s="614"/>
      <c r="L81" s="614"/>
      <c r="M81" s="612"/>
      <c r="N81" s="614"/>
      <c r="O81" s="615"/>
      <c r="P81" s="612"/>
      <c r="Q81" s="612"/>
    </row>
    <row r="82" spans="3:17" s="748" customFormat="1" ht="14.25">
      <c r="C82" s="610"/>
      <c r="D82" s="610"/>
      <c r="E82" s="611"/>
      <c r="F82" s="611"/>
      <c r="G82" s="612"/>
      <c r="H82" s="613"/>
      <c r="I82" s="613"/>
      <c r="J82" s="612"/>
      <c r="K82" s="614"/>
      <c r="L82" s="614"/>
      <c r="M82" s="612"/>
      <c r="N82" s="614"/>
      <c r="O82" s="615"/>
      <c r="P82" s="612"/>
      <c r="Q82" s="612"/>
    </row>
    <row r="83" spans="3:17" s="748" customFormat="1" ht="14.25">
      <c r="C83" s="610"/>
      <c r="D83" s="610"/>
      <c r="E83" s="611"/>
      <c r="F83" s="611"/>
      <c r="G83" s="612"/>
      <c r="H83" s="613"/>
      <c r="I83" s="613"/>
      <c r="J83" s="612"/>
      <c r="K83" s="614"/>
      <c r="L83" s="614"/>
      <c r="M83" s="612"/>
      <c r="N83" s="614"/>
      <c r="O83" s="615"/>
      <c r="P83" s="612"/>
      <c r="Q83" s="612"/>
    </row>
    <row r="84" spans="3:17" s="748" customFormat="1" ht="14.25">
      <c r="C84" s="610"/>
      <c r="D84" s="610"/>
      <c r="E84" s="611"/>
      <c r="F84" s="611"/>
      <c r="G84" s="612"/>
      <c r="H84" s="613"/>
      <c r="I84" s="613"/>
      <c r="J84" s="612"/>
      <c r="K84" s="614"/>
      <c r="L84" s="614"/>
      <c r="M84" s="612"/>
      <c r="N84" s="614"/>
      <c r="O84" s="615"/>
      <c r="P84" s="612"/>
      <c r="Q84" s="612"/>
    </row>
    <row r="85" spans="3:17" s="748" customFormat="1" ht="14.25">
      <c r="C85" s="610"/>
      <c r="D85" s="610"/>
      <c r="E85" s="611"/>
      <c r="F85" s="611"/>
      <c r="G85" s="612"/>
      <c r="H85" s="613"/>
      <c r="I85" s="613"/>
      <c r="J85" s="612"/>
      <c r="K85" s="614"/>
      <c r="L85" s="614"/>
      <c r="M85" s="612"/>
      <c r="N85" s="614"/>
      <c r="O85" s="615"/>
      <c r="P85" s="612"/>
      <c r="Q85" s="612"/>
    </row>
    <row r="86" spans="3:17" s="748" customFormat="1" ht="14.25">
      <c r="C86" s="610"/>
      <c r="D86" s="610"/>
      <c r="E86" s="611"/>
      <c r="F86" s="611"/>
      <c r="G86" s="612"/>
      <c r="H86" s="613"/>
      <c r="I86" s="613"/>
      <c r="J86" s="612"/>
      <c r="K86" s="614"/>
      <c r="L86" s="614"/>
      <c r="M86" s="612"/>
      <c r="N86" s="614"/>
      <c r="O86" s="615"/>
      <c r="P86" s="612"/>
      <c r="Q86" s="612"/>
    </row>
    <row r="87" spans="3:17" s="748" customFormat="1" ht="14.25">
      <c r="C87" s="610"/>
      <c r="D87" s="610"/>
      <c r="E87" s="611"/>
      <c r="F87" s="611"/>
      <c r="G87" s="612"/>
      <c r="H87" s="613"/>
      <c r="I87" s="613"/>
      <c r="J87" s="612"/>
      <c r="K87" s="614"/>
      <c r="L87" s="614"/>
      <c r="M87" s="612"/>
      <c r="N87" s="614"/>
      <c r="O87" s="615"/>
      <c r="P87" s="612"/>
      <c r="Q87" s="612"/>
    </row>
    <row r="88" spans="3:17" s="748" customFormat="1" ht="14.25">
      <c r="C88" s="610"/>
      <c r="D88" s="610"/>
      <c r="E88" s="611"/>
      <c r="F88" s="611"/>
      <c r="G88" s="612"/>
      <c r="H88" s="613"/>
      <c r="I88" s="613"/>
      <c r="J88" s="612"/>
      <c r="K88" s="614"/>
      <c r="L88" s="614"/>
      <c r="M88" s="612"/>
      <c r="N88" s="614"/>
      <c r="O88" s="615"/>
      <c r="P88" s="612"/>
      <c r="Q88" s="612"/>
    </row>
    <row r="89" spans="3:17" s="748" customFormat="1" ht="14.25">
      <c r="C89" s="610"/>
      <c r="D89" s="610"/>
      <c r="E89" s="611"/>
      <c r="F89" s="611"/>
      <c r="G89" s="612"/>
      <c r="H89" s="613"/>
      <c r="I89" s="613"/>
      <c r="J89" s="612"/>
      <c r="K89" s="614"/>
      <c r="L89" s="614"/>
      <c r="M89" s="612"/>
      <c r="N89" s="614"/>
      <c r="O89" s="615"/>
      <c r="P89" s="612"/>
      <c r="Q89" s="612"/>
    </row>
    <row r="90" spans="3:17" s="748" customFormat="1" ht="14.25">
      <c r="C90" s="610"/>
      <c r="D90" s="610"/>
      <c r="E90" s="611"/>
      <c r="F90" s="611"/>
      <c r="G90" s="612"/>
      <c r="H90" s="613"/>
      <c r="I90" s="613"/>
      <c r="J90" s="612"/>
      <c r="K90" s="614"/>
      <c r="L90" s="614"/>
      <c r="M90" s="612"/>
      <c r="N90" s="614"/>
      <c r="O90" s="615"/>
      <c r="P90" s="612"/>
      <c r="Q90" s="612"/>
    </row>
    <row r="91" spans="3:17" s="748" customFormat="1" ht="14.25">
      <c r="C91" s="610"/>
      <c r="D91" s="610"/>
      <c r="E91" s="611"/>
      <c r="F91" s="611"/>
      <c r="G91" s="612"/>
      <c r="H91" s="613"/>
      <c r="I91" s="613"/>
      <c r="J91" s="612"/>
      <c r="K91" s="614"/>
      <c r="L91" s="614"/>
      <c r="M91" s="612"/>
      <c r="N91" s="614"/>
      <c r="O91" s="615"/>
      <c r="P91" s="612"/>
      <c r="Q91" s="612"/>
    </row>
    <row r="92" spans="3:17" s="748" customFormat="1" ht="14.25">
      <c r="C92" s="610"/>
      <c r="D92" s="610"/>
      <c r="E92" s="611"/>
      <c r="F92" s="611"/>
      <c r="G92" s="612"/>
      <c r="H92" s="613"/>
      <c r="I92" s="613"/>
      <c r="J92" s="612"/>
      <c r="K92" s="614"/>
      <c r="L92" s="614"/>
      <c r="M92" s="612"/>
      <c r="N92" s="614"/>
      <c r="O92" s="615"/>
      <c r="P92" s="612"/>
      <c r="Q92" s="612"/>
    </row>
    <row r="94" spans="3:17" s="763" customFormat="1" ht="14.25">
      <c r="C94" s="610"/>
      <c r="D94" s="610"/>
      <c r="E94" s="611"/>
      <c r="F94" s="611"/>
      <c r="G94" s="612"/>
      <c r="H94" s="613"/>
      <c r="I94" s="613"/>
      <c r="J94" s="612"/>
      <c r="K94" s="614"/>
      <c r="L94" s="614"/>
      <c r="M94" s="612"/>
      <c r="N94" s="614"/>
      <c r="O94" s="615"/>
      <c r="P94" s="612"/>
      <c r="Q94" s="612"/>
    </row>
    <row r="95" spans="3:17" s="764" customFormat="1" ht="15">
      <c r="C95" s="610"/>
      <c r="D95" s="610"/>
      <c r="E95" s="611"/>
      <c r="F95" s="611"/>
      <c r="G95" s="612"/>
      <c r="H95" s="613"/>
      <c r="I95" s="613"/>
      <c r="J95" s="612"/>
      <c r="K95" s="614"/>
      <c r="L95" s="614"/>
      <c r="M95" s="612"/>
      <c r="N95" s="614"/>
      <c r="O95" s="615"/>
      <c r="P95" s="612"/>
      <c r="Q95" s="612"/>
    </row>
  </sheetData>
  <sheetProtection/>
  <mergeCells count="24">
    <mergeCell ref="Y5:AH5"/>
    <mergeCell ref="Y6:Y8"/>
    <mergeCell ref="Z6:Z8"/>
    <mergeCell ref="AA6:AA8"/>
    <mergeCell ref="AB6:AB8"/>
    <mergeCell ref="AC6:AC8"/>
    <mergeCell ref="AF6:AF8"/>
    <mergeCell ref="AG6:AG8"/>
    <mergeCell ref="AH18:AH20"/>
    <mergeCell ref="AD31:AE31"/>
    <mergeCell ref="AD18:AD20"/>
    <mergeCell ref="AE18:AE20"/>
    <mergeCell ref="AF18:AF20"/>
    <mergeCell ref="AG18:AG20"/>
    <mergeCell ref="AD32:AE32"/>
    <mergeCell ref="AH6:AH8"/>
    <mergeCell ref="Y17:AH17"/>
    <mergeCell ref="Y18:Y20"/>
    <mergeCell ref="Z18:Z20"/>
    <mergeCell ref="AA18:AA20"/>
    <mergeCell ref="AB18:AB20"/>
    <mergeCell ref="AC18:AC20"/>
    <mergeCell ref="AD6:AD8"/>
    <mergeCell ref="AE6:AE8"/>
  </mergeCells>
  <printOptions/>
  <pageMargins left="0.75" right="0.75" top="1" bottom="1" header="0" footer="0"/>
  <pageSetup horizontalDpi="600" verticalDpi="600" orientation="portrait" scale="55" r:id="rId4"/>
  <colBreaks count="1" manualBreakCount="1">
    <brk id="18" max="65535" man="1"/>
  </colBreaks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B2:O52"/>
  <sheetViews>
    <sheetView view="pageBreakPreview" zoomScale="60" zoomScaleNormal="85" zoomScalePageLayoutView="0" workbookViewId="0" topLeftCell="A14">
      <selection activeCell="B2" sqref="B2:O52"/>
    </sheetView>
  </sheetViews>
  <sheetFormatPr defaultColWidth="12.7109375" defaultRowHeight="12.75"/>
  <cols>
    <col min="1" max="1" width="11.421875" style="609" customWidth="1"/>
    <col min="2" max="2" width="2.00390625" style="609" customWidth="1"/>
    <col min="3" max="3" width="5.421875" style="609" customWidth="1"/>
    <col min="4" max="4" width="10.57421875" style="609" customWidth="1"/>
    <col min="5" max="5" width="9.140625" style="609" customWidth="1"/>
    <col min="6" max="6" width="8.7109375" style="609" customWidth="1"/>
    <col min="7" max="7" width="11.8515625" style="609" customWidth="1"/>
    <col min="8" max="8" width="2.57421875" style="609" customWidth="1"/>
    <col min="9" max="9" width="11.00390625" style="609" customWidth="1"/>
    <col min="10" max="10" width="6.8515625" style="609" customWidth="1"/>
    <col min="11" max="11" width="7.140625" style="609" customWidth="1"/>
    <col min="12" max="12" width="9.421875" style="609" customWidth="1"/>
    <col min="13" max="13" width="13.8515625" style="609" customWidth="1"/>
    <col min="14" max="14" width="10.28125" style="609" customWidth="1"/>
    <col min="15" max="15" width="2.421875" style="609" customWidth="1"/>
    <col min="16" max="16384" width="12.7109375" style="609" customWidth="1"/>
  </cols>
  <sheetData>
    <row r="1" ht="15" thickBot="1"/>
    <row r="2" spans="2:15" ht="12" customHeight="1" thickBot="1">
      <c r="B2" s="616"/>
      <c r="C2" s="617"/>
      <c r="D2" s="617"/>
      <c r="E2" s="765"/>
      <c r="F2" s="619"/>
      <c r="G2" s="620"/>
      <c r="H2" s="620"/>
      <c r="I2" s="619"/>
      <c r="J2" s="621"/>
      <c r="K2" s="621"/>
      <c r="L2" s="619"/>
      <c r="M2" s="621"/>
      <c r="N2" s="622"/>
      <c r="O2" s="766"/>
    </row>
    <row r="3" spans="2:15" ht="69.75" customHeight="1" thickBot="1">
      <c r="B3" s="624"/>
      <c r="C3" s="625"/>
      <c r="D3" s="626"/>
      <c r="E3" s="630"/>
      <c r="F3" s="628"/>
      <c r="G3" s="630"/>
      <c r="H3" s="630"/>
      <c r="I3" s="626"/>
      <c r="J3" s="626"/>
      <c r="K3" s="626"/>
      <c r="L3" s="629"/>
      <c r="M3" s="630"/>
      <c r="N3" s="767"/>
      <c r="O3" s="632"/>
    </row>
    <row r="4" spans="2:15" ht="6.75" customHeight="1" thickBot="1">
      <c r="B4" s="624"/>
      <c r="C4" s="768"/>
      <c r="D4" s="768"/>
      <c r="E4" s="768"/>
      <c r="F4" s="768"/>
      <c r="G4" s="768"/>
      <c r="H4" s="768"/>
      <c r="I4" s="768"/>
      <c r="J4" s="768"/>
      <c r="K4" s="768"/>
      <c r="L4" s="768"/>
      <c r="M4" s="768"/>
      <c r="N4" s="768"/>
      <c r="O4" s="632"/>
    </row>
    <row r="5" spans="2:15" ht="41.25" customHeight="1" thickBot="1">
      <c r="B5" s="624"/>
      <c r="C5" s="769" t="s">
        <v>0</v>
      </c>
      <c r="D5" s="770"/>
      <c r="E5" s="1093" t="s">
        <v>427</v>
      </c>
      <c r="F5" s="1093"/>
      <c r="G5" s="1093"/>
      <c r="H5" s="1093"/>
      <c r="I5" s="1094"/>
      <c r="J5" s="768"/>
      <c r="K5" s="646" t="s">
        <v>2</v>
      </c>
      <c r="L5" s="647">
        <v>12</v>
      </c>
      <c r="M5" s="648" t="s">
        <v>3</v>
      </c>
      <c r="N5" s="649">
        <v>12</v>
      </c>
      <c r="O5" s="632"/>
    </row>
    <row r="6" spans="2:15" ht="10.5" customHeight="1">
      <c r="B6" s="624"/>
      <c r="C6" s="768"/>
      <c r="D6" s="768"/>
      <c r="E6" s="768"/>
      <c r="F6" s="768"/>
      <c r="G6" s="768"/>
      <c r="H6" s="768"/>
      <c r="I6" s="768"/>
      <c r="J6" s="768"/>
      <c r="K6" s="768"/>
      <c r="L6" s="768"/>
      <c r="M6" s="768"/>
      <c r="N6" s="768"/>
      <c r="O6" s="632"/>
    </row>
    <row r="7" spans="2:15" ht="10.5" customHeight="1">
      <c r="B7" s="624"/>
      <c r="C7" s="768"/>
      <c r="D7" s="768"/>
      <c r="E7" s="768"/>
      <c r="F7" s="768"/>
      <c r="G7" s="768"/>
      <c r="H7" s="768"/>
      <c r="I7" s="768"/>
      <c r="J7" s="768"/>
      <c r="K7" s="768"/>
      <c r="L7" s="768"/>
      <c r="M7" s="768"/>
      <c r="N7" s="768"/>
      <c r="O7" s="632"/>
    </row>
    <row r="8" spans="2:15" ht="14.25">
      <c r="B8" s="624"/>
      <c r="C8" s="771"/>
      <c r="D8" s="771"/>
      <c r="E8" s="771"/>
      <c r="F8" s="771"/>
      <c r="G8" s="771"/>
      <c r="H8" s="771"/>
      <c r="J8" s="609" t="s">
        <v>57</v>
      </c>
      <c r="L8" s="763"/>
      <c r="M8" s="697">
        <f>+'CRITICA INCENDIO'!$G$14</f>
        <v>6.3</v>
      </c>
      <c r="N8" s="609" t="s">
        <v>58</v>
      </c>
      <c r="O8" s="632"/>
    </row>
    <row r="9" spans="2:15" ht="14.25" customHeight="1">
      <c r="B9" s="624"/>
      <c r="G9" s="771"/>
      <c r="H9" s="771"/>
      <c r="L9" s="763"/>
      <c r="M9" s="772">
        <v>200</v>
      </c>
      <c r="N9" s="609" t="s">
        <v>59</v>
      </c>
      <c r="O9" s="632"/>
    </row>
    <row r="10" spans="2:15" ht="14.25" customHeight="1">
      <c r="B10" s="624"/>
      <c r="L10" s="763"/>
      <c r="M10" s="772"/>
      <c r="O10" s="632"/>
    </row>
    <row r="11" spans="2:15" ht="21.75" customHeight="1">
      <c r="B11" s="624"/>
      <c r="C11" s="773">
        <v>1</v>
      </c>
      <c r="D11" s="774" t="s">
        <v>60</v>
      </c>
      <c r="I11" s="763"/>
      <c r="J11" s="763"/>
      <c r="K11" s="763"/>
      <c r="L11" s="697">
        <f>'CRITICA INCENDIO'!Q12</f>
        <v>46</v>
      </c>
      <c r="M11" s="773" t="s">
        <v>61</v>
      </c>
      <c r="N11" s="763"/>
      <c r="O11" s="632"/>
    </row>
    <row r="12" spans="2:15" ht="6.75" customHeight="1">
      <c r="B12" s="624"/>
      <c r="C12" s="773"/>
      <c r="D12" s="774"/>
      <c r="I12" s="763"/>
      <c r="J12" s="763"/>
      <c r="K12" s="763"/>
      <c r="L12" s="775"/>
      <c r="M12" s="773"/>
      <c r="N12" s="763"/>
      <c r="O12" s="632"/>
    </row>
    <row r="13" spans="2:15" ht="21.75" customHeight="1">
      <c r="B13" s="624"/>
      <c r="C13" s="773">
        <v>2</v>
      </c>
      <c r="D13" s="774" t="s">
        <v>62</v>
      </c>
      <c r="I13" s="763"/>
      <c r="J13" s="763"/>
      <c r="K13" s="763"/>
      <c r="L13" s="697">
        <f>+'CRITICA INCENDIO'!P12</f>
        <v>4.0600000000000005</v>
      </c>
      <c r="M13" s="773" t="s">
        <v>61</v>
      </c>
      <c r="N13" s="763"/>
      <c r="O13" s="632"/>
    </row>
    <row r="14" spans="2:15" ht="6.75" customHeight="1">
      <c r="B14" s="624"/>
      <c r="C14" s="773"/>
      <c r="D14" s="774"/>
      <c r="I14" s="763"/>
      <c r="J14" s="763"/>
      <c r="K14" s="763"/>
      <c r="L14" s="776"/>
      <c r="M14" s="773"/>
      <c r="N14" s="763"/>
      <c r="O14" s="632"/>
    </row>
    <row r="15" spans="2:15" ht="21.75" customHeight="1">
      <c r="B15" s="624"/>
      <c r="C15" s="773">
        <v>3</v>
      </c>
      <c r="D15" s="774" t="s">
        <v>63</v>
      </c>
      <c r="I15" s="763"/>
      <c r="J15" s="763"/>
      <c r="K15" s="763"/>
      <c r="L15" s="697">
        <v>0</v>
      </c>
      <c r="M15" s="773" t="s">
        <v>61</v>
      </c>
      <c r="N15" s="763"/>
      <c r="O15" s="632"/>
    </row>
    <row r="16" spans="2:15" ht="6.75" customHeight="1">
      <c r="B16" s="624"/>
      <c r="C16" s="773"/>
      <c r="D16" s="774"/>
      <c r="I16" s="763"/>
      <c r="J16" s="763"/>
      <c r="K16" s="763"/>
      <c r="L16" s="776"/>
      <c r="M16" s="773"/>
      <c r="N16" s="763"/>
      <c r="O16" s="632"/>
    </row>
    <row r="17" spans="2:15" ht="21.75" customHeight="1">
      <c r="B17" s="624"/>
      <c r="C17" s="773">
        <v>4</v>
      </c>
      <c r="D17" s="774" t="s">
        <v>64</v>
      </c>
      <c r="I17" s="763"/>
      <c r="J17" s="763"/>
      <c r="K17" s="763"/>
      <c r="L17" s="697">
        <f>+'CRITICA INCENDIO'!P17</f>
        <v>0</v>
      </c>
      <c r="M17" s="773" t="s">
        <v>61</v>
      </c>
      <c r="N17" s="763"/>
      <c r="O17" s="632"/>
    </row>
    <row r="18" spans="2:15" ht="6.75" customHeight="1">
      <c r="B18" s="624"/>
      <c r="C18" s="773"/>
      <c r="D18" s="774"/>
      <c r="I18" s="763"/>
      <c r="J18" s="763"/>
      <c r="K18" s="763"/>
      <c r="L18" s="776"/>
      <c r="M18" s="773"/>
      <c r="N18" s="763"/>
      <c r="O18" s="632"/>
    </row>
    <row r="19" spans="2:15" ht="21.75" customHeight="1">
      <c r="B19" s="624"/>
      <c r="C19" s="773">
        <v>5</v>
      </c>
      <c r="D19" s="774" t="s">
        <v>65</v>
      </c>
      <c r="I19" s="763"/>
      <c r="J19" s="763"/>
      <c r="K19" s="763"/>
      <c r="L19" s="697">
        <v>17</v>
      </c>
      <c r="M19" s="773" t="s">
        <v>61</v>
      </c>
      <c r="N19" s="763"/>
      <c r="O19" s="632"/>
    </row>
    <row r="20" spans="2:15" ht="6.75" customHeight="1">
      <c r="B20" s="624"/>
      <c r="C20" s="773"/>
      <c r="D20" s="774"/>
      <c r="I20" s="763"/>
      <c r="J20" s="763"/>
      <c r="K20" s="763"/>
      <c r="L20" s="776"/>
      <c r="M20" s="773"/>
      <c r="N20" s="763"/>
      <c r="O20" s="632"/>
    </row>
    <row r="21" spans="2:15" ht="21.75" customHeight="1">
      <c r="B21" s="624"/>
      <c r="C21" s="773"/>
      <c r="D21" s="774" t="s">
        <v>66</v>
      </c>
      <c r="I21" s="763"/>
      <c r="J21" s="763"/>
      <c r="K21" s="763"/>
      <c r="L21" s="697">
        <f>+'CRITICA INCENDIO'!Q15</f>
        <v>52.86</v>
      </c>
      <c r="M21" s="773" t="s">
        <v>61</v>
      </c>
      <c r="N21" s="763"/>
      <c r="O21" s="632"/>
    </row>
    <row r="22" spans="2:15" ht="6.75" customHeight="1">
      <c r="B22" s="624"/>
      <c r="C22" s="773"/>
      <c r="D22" s="774"/>
      <c r="I22" s="763"/>
      <c r="J22" s="763"/>
      <c r="K22" s="763"/>
      <c r="L22" s="776"/>
      <c r="M22" s="773"/>
      <c r="N22" s="763"/>
      <c r="O22" s="632"/>
    </row>
    <row r="23" spans="2:15" ht="21.75" customHeight="1">
      <c r="B23" s="624"/>
      <c r="C23" s="773">
        <v>6</v>
      </c>
      <c r="D23" s="774" t="s">
        <v>67</v>
      </c>
      <c r="I23" s="763"/>
      <c r="J23" s="763"/>
      <c r="K23" s="763"/>
      <c r="L23" s="777">
        <v>1.5</v>
      </c>
      <c r="M23" s="773" t="s">
        <v>61</v>
      </c>
      <c r="N23" s="763"/>
      <c r="O23" s="632"/>
    </row>
    <row r="24" spans="2:15" ht="6.75" customHeight="1">
      <c r="B24" s="624"/>
      <c r="C24" s="773"/>
      <c r="D24" s="774"/>
      <c r="I24" s="763"/>
      <c r="J24" s="763"/>
      <c r="K24" s="763"/>
      <c r="L24" s="773"/>
      <c r="M24" s="773"/>
      <c r="N24" s="763"/>
      <c r="O24" s="632"/>
    </row>
    <row r="25" spans="2:15" ht="21.75" customHeight="1">
      <c r="B25" s="624"/>
      <c r="C25" s="773">
        <v>7</v>
      </c>
      <c r="D25" s="774" t="s">
        <v>68</v>
      </c>
      <c r="L25" s="763"/>
      <c r="O25" s="632"/>
    </row>
    <row r="26" spans="2:15" ht="19.5" customHeight="1">
      <c r="B26" s="624"/>
      <c r="C26" s="774"/>
      <c r="D26" s="778" t="s">
        <v>69</v>
      </c>
      <c r="E26" s="773"/>
      <c r="F26" s="773"/>
      <c r="G26" s="779" t="s">
        <v>70</v>
      </c>
      <c r="H26" s="779"/>
      <c r="I26" s="777">
        <v>1</v>
      </c>
      <c r="J26" s="773"/>
      <c r="K26" s="773" t="s">
        <v>61</v>
      </c>
      <c r="L26" s="763"/>
      <c r="O26" s="632"/>
    </row>
    <row r="27" spans="2:15" ht="6.75" customHeight="1">
      <c r="B27" s="624"/>
      <c r="C27" s="774"/>
      <c r="D27" s="778"/>
      <c r="E27" s="773"/>
      <c r="F27" s="773"/>
      <c r="G27" s="779"/>
      <c r="H27" s="779"/>
      <c r="I27" s="775"/>
      <c r="J27" s="773"/>
      <c r="K27" s="773"/>
      <c r="L27" s="763"/>
      <c r="O27" s="632"/>
    </row>
    <row r="28" spans="2:15" ht="19.5" customHeight="1">
      <c r="B28" s="624"/>
      <c r="D28" s="778" t="s">
        <v>71</v>
      </c>
      <c r="E28" s="773"/>
      <c r="F28" s="773"/>
      <c r="G28" s="779" t="s">
        <v>72</v>
      </c>
      <c r="H28" s="779"/>
      <c r="I28" s="707">
        <f>I26*2</f>
        <v>2</v>
      </c>
      <c r="J28" s="773"/>
      <c r="K28" s="773" t="s">
        <v>61</v>
      </c>
      <c r="L28" s="763"/>
      <c r="O28" s="632"/>
    </row>
    <row r="29" spans="2:15" ht="6.75" customHeight="1">
      <c r="B29" s="624"/>
      <c r="D29" s="778"/>
      <c r="E29" s="773"/>
      <c r="F29" s="773"/>
      <c r="G29" s="779"/>
      <c r="H29" s="779"/>
      <c r="I29" s="775"/>
      <c r="J29" s="773"/>
      <c r="K29" s="773"/>
      <c r="L29" s="763"/>
      <c r="O29" s="632"/>
    </row>
    <row r="30" spans="2:15" ht="19.5" customHeight="1">
      <c r="B30" s="624"/>
      <c r="D30" s="778" t="s">
        <v>73</v>
      </c>
      <c r="E30" s="773"/>
      <c r="F30" s="773"/>
      <c r="G30" s="779" t="s">
        <v>74</v>
      </c>
      <c r="H30" s="779"/>
      <c r="I30" s="707">
        <f>SUM(I26:I28)</f>
        <v>3</v>
      </c>
      <c r="J30" s="773"/>
      <c r="K30" s="773" t="s">
        <v>61</v>
      </c>
      <c r="L30" s="763"/>
      <c r="O30" s="632"/>
    </row>
    <row r="31" spans="2:15" ht="9.75" customHeight="1">
      <c r="B31" s="624"/>
      <c r="L31" s="763"/>
      <c r="O31" s="632"/>
    </row>
    <row r="32" spans="2:15" ht="19.5" customHeight="1">
      <c r="B32" s="624"/>
      <c r="D32" s="780" t="s">
        <v>75</v>
      </c>
      <c r="E32" s="781">
        <v>4</v>
      </c>
      <c r="F32" s="782" t="s">
        <v>76</v>
      </c>
      <c r="G32" s="774"/>
      <c r="H32" s="774"/>
      <c r="I32" s="774"/>
      <c r="J32" s="783"/>
      <c r="K32" s="780" t="s">
        <v>77</v>
      </c>
      <c r="L32" s="694">
        <v>120</v>
      </c>
      <c r="M32" s="784"/>
      <c r="N32" s="774"/>
      <c r="O32" s="632"/>
    </row>
    <row r="33" spans="2:15" ht="7.5" customHeight="1">
      <c r="B33" s="624"/>
      <c r="D33" s="780"/>
      <c r="E33" s="785"/>
      <c r="F33" s="782"/>
      <c r="G33" s="774"/>
      <c r="H33" s="774"/>
      <c r="I33" s="774"/>
      <c r="J33" s="783"/>
      <c r="K33" s="780"/>
      <c r="L33" s="785"/>
      <c r="M33" s="774"/>
      <c r="N33" s="774"/>
      <c r="O33" s="632"/>
    </row>
    <row r="34" spans="2:15" ht="19.5" customHeight="1">
      <c r="B34" s="624"/>
      <c r="D34" s="780" t="s">
        <v>79</v>
      </c>
      <c r="E34" s="721">
        <f>+M8</f>
        <v>6.3</v>
      </c>
      <c r="F34" s="786" t="s">
        <v>80</v>
      </c>
      <c r="G34" s="774"/>
      <c r="H34" s="774"/>
      <c r="I34" s="774"/>
      <c r="J34" s="783"/>
      <c r="K34" s="779" t="s">
        <v>81</v>
      </c>
      <c r="L34" s="697">
        <f>(E34/1000)/(PI()*(E32*0.0254/2)^2)</f>
        <v>0.7770755637973067</v>
      </c>
      <c r="M34" s="773" t="s">
        <v>82</v>
      </c>
      <c r="N34" s="774"/>
      <c r="O34" s="632"/>
    </row>
    <row r="35" spans="2:15" ht="7.5" customHeight="1">
      <c r="B35" s="624"/>
      <c r="D35" s="787"/>
      <c r="E35" s="787"/>
      <c r="F35" s="774"/>
      <c r="G35" s="774"/>
      <c r="H35" s="774"/>
      <c r="I35" s="774"/>
      <c r="J35" s="774"/>
      <c r="K35" s="774"/>
      <c r="L35" s="773"/>
      <c r="M35" s="774"/>
      <c r="N35" s="774"/>
      <c r="O35" s="632"/>
    </row>
    <row r="36" spans="2:15" ht="19.5" customHeight="1">
      <c r="B36" s="624"/>
      <c r="D36" s="774"/>
      <c r="E36" s="774"/>
      <c r="F36" s="774"/>
      <c r="G36" s="774"/>
      <c r="H36" s="774"/>
      <c r="I36" s="774"/>
      <c r="J36" s="774"/>
      <c r="K36" s="780" t="s">
        <v>83</v>
      </c>
      <c r="L36" s="701">
        <f>(+E34/(280*L32*(+E32*0.0254)^2.63))^1.85</f>
        <v>0.008649898617892017</v>
      </c>
      <c r="M36" s="782" t="s">
        <v>84</v>
      </c>
      <c r="N36" s="774"/>
      <c r="O36" s="632"/>
    </row>
    <row r="37" spans="2:15" ht="7.5" customHeight="1">
      <c r="B37" s="624"/>
      <c r="D37" s="774"/>
      <c r="E37" s="774"/>
      <c r="F37" s="774"/>
      <c r="G37" s="774"/>
      <c r="H37" s="774"/>
      <c r="I37" s="774"/>
      <c r="J37" s="774"/>
      <c r="K37" s="780"/>
      <c r="L37" s="788"/>
      <c r="M37" s="782"/>
      <c r="N37" s="774"/>
      <c r="O37" s="632"/>
    </row>
    <row r="38" spans="2:15" ht="19.5" customHeight="1">
      <c r="B38" s="624"/>
      <c r="C38" s="773">
        <v>8</v>
      </c>
      <c r="D38" s="774" t="s">
        <v>85</v>
      </c>
      <c r="G38" s="763"/>
      <c r="H38" s="763"/>
      <c r="I38" s="763"/>
      <c r="J38" s="763"/>
      <c r="K38" s="779" t="s">
        <v>86</v>
      </c>
      <c r="L38" s="721">
        <f>I30*L36</f>
        <v>0.02594969585367605</v>
      </c>
      <c r="M38" s="773" t="s">
        <v>87</v>
      </c>
      <c r="N38" s="763"/>
      <c r="O38" s="632"/>
    </row>
    <row r="39" spans="2:15" ht="7.5" customHeight="1">
      <c r="B39" s="624"/>
      <c r="L39" s="763"/>
      <c r="O39" s="632"/>
    </row>
    <row r="40" spans="2:15" ht="19.5" customHeight="1">
      <c r="B40" s="624"/>
      <c r="D40" s="789" t="s">
        <v>88</v>
      </c>
      <c r="E40" s="790"/>
      <c r="F40" s="790"/>
      <c r="G40" s="790"/>
      <c r="H40" s="790"/>
      <c r="I40" s="790"/>
      <c r="L40" s="697">
        <f>L21+L23+L38</f>
        <v>54.385949695853675</v>
      </c>
      <c r="M40" s="773" t="s">
        <v>61</v>
      </c>
      <c r="O40" s="632"/>
    </row>
    <row r="41" spans="2:15" ht="7.5" customHeight="1">
      <c r="B41" s="624"/>
      <c r="L41" s="763"/>
      <c r="M41" s="791"/>
      <c r="O41" s="632"/>
    </row>
    <row r="42" spans="2:15" ht="19.5" customHeight="1">
      <c r="B42" s="624"/>
      <c r="D42" s="792" t="s">
        <v>89</v>
      </c>
      <c r="E42" s="793"/>
      <c r="F42" s="793"/>
      <c r="G42" s="793"/>
      <c r="H42" s="793"/>
      <c r="I42" s="793"/>
      <c r="L42" s="216">
        <f>CEILING(L40,1)</f>
        <v>55</v>
      </c>
      <c r="M42" s="773" t="s">
        <v>61</v>
      </c>
      <c r="O42" s="632"/>
    </row>
    <row r="43" spans="2:15" ht="7.5" customHeight="1">
      <c r="B43" s="624"/>
      <c r="L43" s="763"/>
      <c r="O43" s="632"/>
    </row>
    <row r="44" spans="2:15" ht="7.5" customHeight="1">
      <c r="B44" s="624"/>
      <c r="L44" s="763"/>
      <c r="O44" s="632"/>
    </row>
    <row r="45" spans="2:15" ht="19.5" customHeight="1">
      <c r="B45" s="624"/>
      <c r="D45" s="794" t="s">
        <v>90</v>
      </c>
      <c r="E45" s="795" t="s">
        <v>91</v>
      </c>
      <c r="F45" s="795"/>
      <c r="I45" s="763"/>
      <c r="J45" s="763"/>
      <c r="K45" s="763"/>
      <c r="L45" s="779" t="s">
        <v>92</v>
      </c>
      <c r="M45" s="777">
        <v>65</v>
      </c>
      <c r="N45" s="773" t="s">
        <v>93</v>
      </c>
      <c r="O45" s="632"/>
    </row>
    <row r="46" spans="2:15" ht="19.5" customHeight="1">
      <c r="B46" s="624"/>
      <c r="D46" s="794"/>
      <c r="E46" s="789" t="s">
        <v>94</v>
      </c>
      <c r="F46" s="789"/>
      <c r="L46" s="763"/>
      <c r="O46" s="632"/>
    </row>
    <row r="47" spans="2:15" ht="19.5" customHeight="1">
      <c r="B47" s="624"/>
      <c r="D47" s="794"/>
      <c r="E47" s="789"/>
      <c r="F47" s="789"/>
      <c r="L47" s="763"/>
      <c r="O47" s="632"/>
    </row>
    <row r="48" spans="2:15" ht="19.5" customHeight="1">
      <c r="B48" s="624"/>
      <c r="D48" s="794" t="s">
        <v>90</v>
      </c>
      <c r="E48" s="776">
        <v>21</v>
      </c>
      <c r="F48" s="795" t="s">
        <v>95</v>
      </c>
      <c r="G48" s="796">
        <f>+L42</f>
        <v>55</v>
      </c>
      <c r="H48" s="797" t="s">
        <v>6</v>
      </c>
      <c r="I48" s="798">
        <f>M8*L42/(76*M45/100)</f>
        <v>7.01417004048583</v>
      </c>
      <c r="J48" s="763"/>
      <c r="L48" s="799" t="s">
        <v>96</v>
      </c>
      <c r="M48" s="800">
        <f>CEILING(I48,1)</f>
        <v>8</v>
      </c>
      <c r="N48" s="801" t="s">
        <v>97</v>
      </c>
      <c r="O48" s="632"/>
    </row>
    <row r="49" spans="2:15" ht="19.5" customHeight="1">
      <c r="B49" s="624"/>
      <c r="E49" s="773">
        <v>76</v>
      </c>
      <c r="F49" s="789" t="s">
        <v>98</v>
      </c>
      <c r="G49" s="773">
        <f>M45</f>
        <v>65</v>
      </c>
      <c r="H49" s="773"/>
      <c r="L49" s="763"/>
      <c r="O49" s="632"/>
    </row>
    <row r="50" spans="2:15" ht="30" customHeight="1">
      <c r="B50" s="624"/>
      <c r="D50" s="783" t="s">
        <v>99</v>
      </c>
      <c r="E50" s="802"/>
      <c r="F50" s="803">
        <v>1</v>
      </c>
      <c r="G50" s="783" t="s">
        <v>100</v>
      </c>
      <c r="H50" s="783"/>
      <c r="I50" s="783"/>
      <c r="J50" s="804"/>
      <c r="K50" s="804">
        <v>100</v>
      </c>
      <c r="L50" s="783" t="s">
        <v>101</v>
      </c>
      <c r="M50" s="783"/>
      <c r="O50" s="632"/>
    </row>
    <row r="51" spans="2:15" ht="30" customHeight="1">
      <c r="B51" s="624"/>
      <c r="D51" s="783"/>
      <c r="E51" s="802"/>
      <c r="F51" s="805">
        <v>1</v>
      </c>
      <c r="G51" s="783" t="s">
        <v>100</v>
      </c>
      <c r="H51" s="783"/>
      <c r="I51" s="783"/>
      <c r="J51" s="804"/>
      <c r="K51" s="806">
        <v>10</v>
      </c>
      <c r="L51" s="783" t="s">
        <v>101</v>
      </c>
      <c r="M51" s="783"/>
      <c r="O51" s="632"/>
    </row>
    <row r="52" spans="2:15" s="748" customFormat="1" ht="12" customHeight="1" thickBot="1">
      <c r="B52" s="807"/>
      <c r="C52" s="808"/>
      <c r="D52" s="808"/>
      <c r="E52" s="808"/>
      <c r="F52" s="808"/>
      <c r="G52" s="808"/>
      <c r="H52" s="808"/>
      <c r="I52" s="808"/>
      <c r="J52" s="808"/>
      <c r="K52" s="808"/>
      <c r="L52" s="808"/>
      <c r="M52" s="808"/>
      <c r="N52" s="808"/>
      <c r="O52" s="809"/>
    </row>
    <row r="53" s="748" customFormat="1" ht="14.25"/>
    <row r="54" s="748" customFormat="1" ht="14.25"/>
    <row r="55" s="748" customFormat="1" ht="14.25"/>
    <row r="56" s="748" customFormat="1" ht="14.25"/>
    <row r="57" s="748" customFormat="1" ht="14.25"/>
    <row r="58" s="748" customFormat="1" ht="14.25"/>
    <row r="59" s="748" customFormat="1" ht="14.25"/>
    <row r="60" s="748" customFormat="1" ht="14.25"/>
    <row r="61" s="748" customFormat="1" ht="14.25"/>
    <row r="62" s="748" customFormat="1" ht="14.25"/>
    <row r="63" s="748" customFormat="1" ht="14.25"/>
    <row r="64" s="748" customFormat="1" ht="14.25"/>
    <row r="65" s="748" customFormat="1" ht="14.25"/>
    <row r="66" s="748" customFormat="1" ht="14.25"/>
    <row r="67" s="748" customFormat="1" ht="14.25"/>
    <row r="68" s="748" customFormat="1" ht="14.25"/>
    <row r="69" s="748" customFormat="1" ht="14.25"/>
    <row r="70" s="748" customFormat="1" ht="14.25"/>
    <row r="71" s="748" customFormat="1" ht="14.25"/>
    <row r="72" s="748" customFormat="1" ht="14.25"/>
    <row r="73" s="748" customFormat="1" ht="14.25"/>
    <row r="74" s="748" customFormat="1" ht="14.25"/>
    <row r="75" s="748" customFormat="1" ht="14.25"/>
    <row r="76" s="748" customFormat="1" ht="14.25"/>
    <row r="77" s="748" customFormat="1" ht="14.25"/>
    <row r="78" s="748" customFormat="1" ht="14.25"/>
    <row r="79" s="748" customFormat="1" ht="14.25"/>
    <row r="80" s="748" customFormat="1" ht="14.25"/>
    <row r="81" s="748" customFormat="1" ht="14.25"/>
    <row r="82" s="748" customFormat="1" ht="14.25"/>
    <row r="83" s="748" customFormat="1" ht="14.25"/>
    <row r="84" s="748" customFormat="1" ht="14.25"/>
    <row r="85" s="748" customFormat="1" ht="14.25"/>
    <row r="86" s="748" customFormat="1" ht="14.25"/>
    <row r="87" s="748" customFormat="1" ht="14.25"/>
    <row r="88" s="748" customFormat="1" ht="14.25"/>
    <row r="89" s="748" customFormat="1" ht="14.25"/>
    <row r="90" s="748" customFormat="1" ht="14.25"/>
    <row r="91" s="748" customFormat="1" ht="14.25"/>
    <row r="92" s="748" customFormat="1" ht="14.25"/>
    <row r="93" s="748" customFormat="1" ht="14.25"/>
    <row r="94" s="748" customFormat="1" ht="14.25"/>
    <row r="95" s="748" customFormat="1" ht="14.25"/>
    <row r="96" s="748" customFormat="1" ht="14.25"/>
    <row r="97" s="748" customFormat="1" ht="14.25"/>
    <row r="98" s="748" customFormat="1" ht="14.25"/>
    <row r="99" s="748" customFormat="1" ht="14.25" customHeight="1"/>
    <row r="100" s="748" customFormat="1" ht="14.25"/>
    <row r="101" s="748" customFormat="1" ht="14.25" customHeight="1"/>
    <row r="102" s="748" customFormat="1" ht="14.25" customHeight="1"/>
    <row r="103" s="748" customFormat="1" ht="14.25" customHeight="1"/>
    <row r="104" s="748" customFormat="1" ht="14.25" customHeight="1"/>
    <row r="105" s="748" customFormat="1" ht="14.25" customHeight="1"/>
    <row r="106" s="748" customFormat="1" ht="14.25"/>
    <row r="107" s="751" customFormat="1" ht="15" customHeight="1"/>
    <row r="108" s="748" customFormat="1" ht="14.25" customHeight="1"/>
    <row r="109" s="748" customFormat="1" ht="14.25" customHeight="1"/>
    <row r="110" s="748" customFormat="1" ht="14.25" customHeight="1"/>
    <row r="111" s="748" customFormat="1" ht="14.25" customHeight="1"/>
    <row r="112" s="748" customFormat="1" ht="14.25" customHeight="1"/>
    <row r="113" s="748" customFormat="1" ht="14.25" customHeight="1"/>
    <row r="114" s="748" customFormat="1" ht="14.25"/>
    <row r="115" s="748" customFormat="1" ht="14.25"/>
    <row r="116" s="748" customFormat="1" ht="14.25"/>
    <row r="117" s="748" customFormat="1" ht="14.25"/>
    <row r="118" s="748" customFormat="1" ht="14.25"/>
    <row r="119" s="748" customFormat="1" ht="14.25"/>
    <row r="120" s="748" customFormat="1" ht="14.25"/>
    <row r="121" s="748" customFormat="1" ht="14.25"/>
    <row r="122" s="748" customFormat="1" ht="14.25"/>
    <row r="123" s="748" customFormat="1" ht="14.25"/>
    <row r="124" s="748" customFormat="1" ht="14.25"/>
    <row r="125" s="748" customFormat="1" ht="14.25"/>
    <row r="126" s="748" customFormat="1" ht="14.25"/>
    <row r="127" s="748" customFormat="1" ht="14.25"/>
    <row r="128" s="748" customFormat="1" ht="14.25"/>
    <row r="129" s="748" customFormat="1" ht="14.25"/>
    <row r="130" s="748" customFormat="1" ht="14.25"/>
    <row r="131" s="748" customFormat="1" ht="14.25"/>
    <row r="132" s="748" customFormat="1" ht="14.25"/>
    <row r="133" s="748" customFormat="1" ht="14.25"/>
    <row r="134" s="748" customFormat="1" ht="14.25"/>
    <row r="135" s="748" customFormat="1" ht="14.25"/>
    <row r="136" s="748" customFormat="1" ht="14.25"/>
    <row r="137" s="748" customFormat="1" ht="14.25"/>
    <row r="138" s="748" customFormat="1" ht="14.25"/>
    <row r="139" s="748" customFormat="1" ht="14.25"/>
    <row r="140" s="748" customFormat="1" ht="14.25"/>
    <row r="141" s="748" customFormat="1" ht="14.25"/>
    <row r="142" s="748" customFormat="1" ht="14.25"/>
    <row r="143" s="748" customFormat="1" ht="14.25"/>
    <row r="144" s="748" customFormat="1" ht="14.25"/>
    <row r="145" s="748" customFormat="1" ht="14.25"/>
    <row r="146" s="748" customFormat="1" ht="14.25"/>
    <row r="147" s="748" customFormat="1" ht="14.25"/>
    <row r="149" s="763" customFormat="1" ht="12.75"/>
    <row r="150" s="764" customFormat="1" ht="15"/>
  </sheetData>
  <sheetProtection/>
  <mergeCells count="1">
    <mergeCell ref="E5:I5"/>
  </mergeCells>
  <printOptions/>
  <pageMargins left="0.75" right="0.75" top="1" bottom="1" header="0" footer="0"/>
  <pageSetup horizontalDpi="600" verticalDpi="600" orientation="portrait" scale="70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2:S73"/>
  <sheetViews>
    <sheetView view="pageBreakPreview" zoomScale="70" zoomScaleNormal="70" zoomScaleSheetLayoutView="70" zoomScalePageLayoutView="0" workbookViewId="0" topLeftCell="A36">
      <selection activeCell="I78" sqref="I78"/>
    </sheetView>
  </sheetViews>
  <sheetFormatPr defaultColWidth="12.7109375" defaultRowHeight="12.75"/>
  <cols>
    <col min="1" max="1" width="11.421875" style="609" customWidth="1"/>
    <col min="2" max="2" width="2.00390625" style="609" customWidth="1"/>
    <col min="3" max="3" width="5.421875" style="609" customWidth="1"/>
    <col min="4" max="4" width="10.57421875" style="609" customWidth="1"/>
    <col min="5" max="5" width="9.140625" style="609" customWidth="1"/>
    <col min="6" max="6" width="13.00390625" style="609" customWidth="1"/>
    <col min="7" max="7" width="11.8515625" style="609" customWidth="1"/>
    <col min="8" max="8" width="2.57421875" style="609" customWidth="1"/>
    <col min="9" max="9" width="11.00390625" style="609" customWidth="1"/>
    <col min="10" max="10" width="6.8515625" style="609" customWidth="1"/>
    <col min="11" max="11" width="7.140625" style="609" customWidth="1"/>
    <col min="12" max="12" width="9.421875" style="609" customWidth="1"/>
    <col min="13" max="13" width="13.8515625" style="609" customWidth="1"/>
    <col min="14" max="14" width="10.28125" style="609" customWidth="1"/>
    <col min="15" max="15" width="4.00390625" style="609" customWidth="1"/>
    <col min="16" max="16384" width="12.7109375" style="609" customWidth="1"/>
  </cols>
  <sheetData>
    <row r="1" ht="15" thickBot="1"/>
    <row r="2" spans="2:15" ht="12" customHeight="1" thickBot="1">
      <c r="B2" s="616"/>
      <c r="C2" s="617"/>
      <c r="D2" s="617"/>
      <c r="E2" s="765"/>
      <c r="F2" s="619"/>
      <c r="G2" s="620"/>
      <c r="H2" s="620"/>
      <c r="I2" s="619"/>
      <c r="J2" s="621"/>
      <c r="K2" s="621"/>
      <c r="L2" s="619"/>
      <c r="M2" s="621"/>
      <c r="N2" s="622"/>
      <c r="O2" s="766"/>
    </row>
    <row r="3" spans="2:15" ht="69.75" customHeight="1" thickBot="1">
      <c r="B3" s="624"/>
      <c r="C3" s="625"/>
      <c r="D3" s="626"/>
      <c r="E3" s="630"/>
      <c r="F3" s="628"/>
      <c r="G3" s="630"/>
      <c r="H3" s="630"/>
      <c r="I3" s="626"/>
      <c r="J3" s="626"/>
      <c r="K3" s="626"/>
      <c r="L3" s="629"/>
      <c r="M3" s="630"/>
      <c r="N3" s="767"/>
      <c r="O3" s="632"/>
    </row>
    <row r="4" spans="2:15" ht="6.75" customHeight="1" thickBot="1">
      <c r="B4" s="624"/>
      <c r="C4" s="768"/>
      <c r="D4" s="768"/>
      <c r="E4" s="768"/>
      <c r="F4" s="768"/>
      <c r="G4" s="768"/>
      <c r="H4" s="768"/>
      <c r="I4" s="768"/>
      <c r="J4" s="768"/>
      <c r="K4" s="768"/>
      <c r="L4" s="768"/>
      <c r="M4" s="768"/>
      <c r="N4" s="768"/>
      <c r="O4" s="632"/>
    </row>
    <row r="5" spans="2:15" ht="41.25" customHeight="1" thickBot="1">
      <c r="B5" s="624"/>
      <c r="C5" s="769" t="s">
        <v>0</v>
      </c>
      <c r="D5" s="770"/>
      <c r="E5" s="1095" t="s">
        <v>431</v>
      </c>
      <c r="F5" s="1095"/>
      <c r="G5" s="1095"/>
      <c r="H5" s="1095"/>
      <c r="I5" s="1096"/>
      <c r="J5" s="768"/>
      <c r="K5" s="646" t="s">
        <v>2</v>
      </c>
      <c r="L5" s="647">
        <v>1</v>
      </c>
      <c r="M5" s="648" t="s">
        <v>3</v>
      </c>
      <c r="N5" s="649">
        <v>1</v>
      </c>
      <c r="O5" s="632"/>
    </row>
    <row r="6" spans="2:15" ht="10.5" customHeight="1">
      <c r="B6" s="624"/>
      <c r="C6" s="768"/>
      <c r="D6" s="768"/>
      <c r="E6" s="768"/>
      <c r="F6" s="768"/>
      <c r="G6" s="768"/>
      <c r="H6" s="768"/>
      <c r="I6" s="768"/>
      <c r="J6" s="768"/>
      <c r="K6" s="768"/>
      <c r="L6" s="768"/>
      <c r="M6" s="768"/>
      <c r="N6" s="768"/>
      <c r="O6" s="632"/>
    </row>
    <row r="7" spans="2:15" ht="10.5" customHeight="1" thickBot="1">
      <c r="B7" s="624"/>
      <c r="C7" s="768"/>
      <c r="D7" s="768"/>
      <c r="E7" s="768"/>
      <c r="F7" s="768"/>
      <c r="G7" s="768"/>
      <c r="H7" s="768"/>
      <c r="I7" s="768"/>
      <c r="J7" s="768"/>
      <c r="K7" s="768"/>
      <c r="L7" s="768"/>
      <c r="M7" s="768"/>
      <c r="N7" s="768"/>
      <c r="O7" s="632"/>
    </row>
    <row r="8" spans="2:15" ht="15.75" thickBot="1">
      <c r="B8" s="811"/>
      <c r="C8" s="812" t="s">
        <v>432</v>
      </c>
      <c r="D8" s="813"/>
      <c r="E8" s="813"/>
      <c r="F8" s="813"/>
      <c r="G8" s="814"/>
      <c r="H8" s="815"/>
      <c r="I8" s="816"/>
      <c r="J8" s="816"/>
      <c r="K8" s="816"/>
      <c r="L8" s="817"/>
      <c r="M8" s="818"/>
      <c r="N8" s="816"/>
      <c r="O8" s="819"/>
    </row>
    <row r="9" spans="2:15" ht="14.25" customHeight="1">
      <c r="B9" s="624"/>
      <c r="L9" s="820"/>
      <c r="M9" s="772"/>
      <c r="O9" s="632"/>
    </row>
    <row r="10" spans="2:15" ht="14.25" customHeight="1">
      <c r="B10" s="624"/>
      <c r="L10" s="820"/>
      <c r="M10" s="772"/>
      <c r="O10" s="632"/>
    </row>
    <row r="11" spans="2:15" ht="21.75" customHeight="1">
      <c r="B11" s="624"/>
      <c r="C11" s="778" t="s">
        <v>433</v>
      </c>
      <c r="D11" s="774"/>
      <c r="I11" s="820"/>
      <c r="J11" s="820"/>
      <c r="K11" s="820"/>
      <c r="L11" s="798"/>
      <c r="M11" s="773"/>
      <c r="N11" s="820"/>
      <c r="O11" s="632"/>
    </row>
    <row r="12" spans="2:15" ht="6.75" customHeight="1">
      <c r="B12" s="624"/>
      <c r="C12" s="773"/>
      <c r="D12" s="774"/>
      <c r="I12" s="820"/>
      <c r="J12" s="820"/>
      <c r="K12" s="820"/>
      <c r="L12" s="773"/>
      <c r="M12" s="773"/>
      <c r="N12" s="820"/>
      <c r="O12" s="632"/>
    </row>
    <row r="13" spans="2:15" ht="21.75" customHeight="1">
      <c r="B13" s="624"/>
      <c r="C13" s="778" t="s">
        <v>434</v>
      </c>
      <c r="D13" s="774"/>
      <c r="F13" s="821">
        <v>0.6</v>
      </c>
      <c r="I13" s="820"/>
      <c r="J13" s="820"/>
      <c r="K13" s="820"/>
      <c r="L13" s="798"/>
      <c r="M13" s="773"/>
      <c r="N13" s="820"/>
      <c r="O13" s="632"/>
    </row>
    <row r="14" spans="2:15" ht="6.75" customHeight="1">
      <c r="B14" s="624"/>
      <c r="C14" s="773"/>
      <c r="D14" s="774"/>
      <c r="F14" s="822"/>
      <c r="I14" s="820"/>
      <c r="J14" s="820"/>
      <c r="K14" s="820"/>
      <c r="L14" s="798"/>
      <c r="M14" s="773"/>
      <c r="N14" s="820"/>
      <c r="O14" s="632"/>
    </row>
    <row r="15" spans="2:15" ht="21.75" customHeight="1">
      <c r="B15" s="624"/>
      <c r="C15" s="778" t="s">
        <v>435</v>
      </c>
      <c r="D15" s="774"/>
      <c r="F15" s="821">
        <v>1</v>
      </c>
      <c r="I15" s="820"/>
      <c r="J15" s="820"/>
      <c r="K15" s="820"/>
      <c r="L15" s="798"/>
      <c r="M15" s="773"/>
      <c r="N15" s="820"/>
      <c r="O15" s="632"/>
    </row>
    <row r="16" spans="2:15" ht="6.75" customHeight="1">
      <c r="B16" s="624"/>
      <c r="C16" s="773"/>
      <c r="D16" s="774"/>
      <c r="F16" s="822"/>
      <c r="I16" s="820"/>
      <c r="J16" s="820"/>
      <c r="K16" s="820"/>
      <c r="L16" s="798"/>
      <c r="M16" s="773"/>
      <c r="N16" s="820"/>
      <c r="O16" s="632"/>
    </row>
    <row r="17" spans="2:15" ht="21.75" customHeight="1">
      <c r="B17" s="624"/>
      <c r="C17" s="778" t="s">
        <v>436</v>
      </c>
      <c r="D17" s="774"/>
      <c r="F17" s="821">
        <v>0.3</v>
      </c>
      <c r="I17" s="820"/>
      <c r="J17" s="820"/>
      <c r="K17" s="820"/>
      <c r="L17" s="798"/>
      <c r="M17" s="773"/>
      <c r="N17" s="820"/>
      <c r="O17" s="632"/>
    </row>
    <row r="18" spans="2:15" ht="6.75" customHeight="1">
      <c r="B18" s="624"/>
      <c r="C18" s="773"/>
      <c r="D18" s="774"/>
      <c r="F18" s="822"/>
      <c r="I18" s="820"/>
      <c r="J18" s="820"/>
      <c r="K18" s="820"/>
      <c r="L18" s="798"/>
      <c r="M18" s="773"/>
      <c r="N18" s="820"/>
      <c r="O18" s="632"/>
    </row>
    <row r="19" spans="2:15" ht="21.75" customHeight="1">
      <c r="B19" s="624"/>
      <c r="C19" s="778" t="s">
        <v>437</v>
      </c>
      <c r="D19" s="774"/>
      <c r="F19" s="823">
        <f>+F13*F15*F17</f>
        <v>0.18</v>
      </c>
      <c r="G19" s="609" t="s">
        <v>11</v>
      </c>
      <c r="I19" s="824">
        <f>+F19*1000</f>
        <v>180</v>
      </c>
      <c r="J19" s="820" t="s">
        <v>438</v>
      </c>
      <c r="K19" s="820"/>
      <c r="L19" s="697">
        <f>+F19*227</f>
        <v>40.86</v>
      </c>
      <c r="M19" s="773" t="s">
        <v>439</v>
      </c>
      <c r="N19" s="820"/>
      <c r="O19" s="632"/>
    </row>
    <row r="20" spans="2:15" ht="6.75" customHeight="1">
      <c r="B20" s="624"/>
      <c r="C20" s="773"/>
      <c r="D20" s="774"/>
      <c r="F20" s="822"/>
      <c r="I20" s="820"/>
      <c r="J20" s="820"/>
      <c r="K20" s="820"/>
      <c r="L20" s="798"/>
      <c r="M20" s="773"/>
      <c r="N20" s="820"/>
      <c r="O20" s="632"/>
    </row>
    <row r="21" spans="2:19" ht="21.75" customHeight="1">
      <c r="B21" s="624"/>
      <c r="C21" s="773"/>
      <c r="D21" s="774"/>
      <c r="I21" s="820"/>
      <c r="J21" s="820"/>
      <c r="K21" s="820"/>
      <c r="L21" s="798"/>
      <c r="M21" s="773"/>
      <c r="N21" s="820"/>
      <c r="O21" s="632"/>
      <c r="S21" s="837"/>
    </row>
    <row r="22" spans="2:15" ht="6.75" customHeight="1">
      <c r="B22" s="624"/>
      <c r="C22" s="773"/>
      <c r="D22" s="774"/>
      <c r="I22" s="820"/>
      <c r="J22" s="820"/>
      <c r="K22" s="820"/>
      <c r="L22" s="798"/>
      <c r="M22" s="773"/>
      <c r="N22" s="820"/>
      <c r="O22" s="632"/>
    </row>
    <row r="23" spans="2:15" ht="21.75" customHeight="1">
      <c r="B23" s="624"/>
      <c r="C23" s="778" t="s">
        <v>440</v>
      </c>
      <c r="D23" s="774"/>
      <c r="I23" s="820"/>
      <c r="J23" s="820"/>
      <c r="K23" s="820"/>
      <c r="L23" s="798"/>
      <c r="M23" s="773"/>
      <c r="N23" s="820"/>
      <c r="O23" s="632"/>
    </row>
    <row r="24" spans="2:15" ht="6.75" customHeight="1">
      <c r="B24" s="624"/>
      <c r="C24" s="773"/>
      <c r="D24" s="774"/>
      <c r="I24" s="820"/>
      <c r="J24" s="820"/>
      <c r="K24" s="820"/>
      <c r="L24" s="773"/>
      <c r="M24" s="773"/>
      <c r="N24" s="820"/>
      <c r="O24" s="632"/>
    </row>
    <row r="25" spans="2:15" ht="21.75" customHeight="1">
      <c r="B25" s="624"/>
      <c r="C25" s="778" t="s">
        <v>437</v>
      </c>
      <c r="D25" s="774"/>
      <c r="F25" s="823">
        <f>0.75*F19</f>
        <v>0.135</v>
      </c>
      <c r="G25" s="609" t="s">
        <v>11</v>
      </c>
      <c r="I25" s="824">
        <f>+F25*1000</f>
        <v>135</v>
      </c>
      <c r="J25" s="820" t="s">
        <v>438</v>
      </c>
      <c r="K25" s="820"/>
      <c r="L25" s="697">
        <f>+L19*0.75</f>
        <v>30.645</v>
      </c>
      <c r="M25" s="773" t="s">
        <v>439</v>
      </c>
      <c r="N25" s="820"/>
      <c r="O25" s="632"/>
    </row>
    <row r="26" spans="2:18" ht="19.5" customHeight="1">
      <c r="B26" s="624"/>
      <c r="C26" s="774"/>
      <c r="D26" s="778"/>
      <c r="E26" s="773"/>
      <c r="F26" s="773"/>
      <c r="G26" s="779"/>
      <c r="H26" s="779"/>
      <c r="I26" s="825"/>
      <c r="J26" s="773"/>
      <c r="K26" s="773"/>
      <c r="L26" s="820"/>
      <c r="O26" s="632"/>
      <c r="Q26" s="791"/>
      <c r="R26" s="791"/>
    </row>
    <row r="27" spans="2:15" ht="6.75" customHeight="1">
      <c r="B27" s="624"/>
      <c r="C27" s="774"/>
      <c r="D27" s="778"/>
      <c r="E27" s="773"/>
      <c r="F27" s="773"/>
      <c r="G27" s="779"/>
      <c r="H27" s="779"/>
      <c r="I27" s="773"/>
      <c r="J27" s="773"/>
      <c r="K27" s="773"/>
      <c r="L27" s="820"/>
      <c r="O27" s="632"/>
    </row>
    <row r="28" spans="2:15" ht="21.75" customHeight="1">
      <c r="B28" s="624"/>
      <c r="C28" s="778" t="s">
        <v>441</v>
      </c>
      <c r="D28" s="774"/>
      <c r="I28" s="820"/>
      <c r="J28" s="820"/>
      <c r="K28" s="820"/>
      <c r="L28" s="798"/>
      <c r="M28" s="773"/>
      <c r="N28" s="820"/>
      <c r="O28" s="632"/>
    </row>
    <row r="29" spans="2:15" ht="6.75" customHeight="1">
      <c r="B29" s="624"/>
      <c r="C29" s="773"/>
      <c r="D29" s="774"/>
      <c r="I29" s="820"/>
      <c r="J29" s="820"/>
      <c r="K29" s="820"/>
      <c r="L29" s="773"/>
      <c r="M29" s="773"/>
      <c r="N29" s="820"/>
      <c r="O29" s="632"/>
    </row>
    <row r="30" spans="2:15" ht="21.75" customHeight="1">
      <c r="B30" s="624"/>
      <c r="C30" s="778" t="s">
        <v>36</v>
      </c>
      <c r="D30" s="774"/>
      <c r="F30" s="823">
        <f>+L25/2</f>
        <v>15.3225</v>
      </c>
      <c r="G30" s="609" t="s">
        <v>442</v>
      </c>
      <c r="I30" s="826"/>
      <c r="J30" s="820"/>
      <c r="K30" s="820"/>
      <c r="L30" s="798"/>
      <c r="M30" s="773"/>
      <c r="N30" s="820"/>
      <c r="O30" s="632"/>
    </row>
    <row r="31" spans="2:18" ht="9.75" customHeight="1">
      <c r="B31" s="624"/>
      <c r="L31" s="820"/>
      <c r="O31" s="632"/>
      <c r="Q31" s="791"/>
      <c r="R31" s="791"/>
    </row>
    <row r="32" spans="2:18" ht="19.5" customHeight="1">
      <c r="B32" s="624"/>
      <c r="D32" s="780"/>
      <c r="E32" s="827"/>
      <c r="F32" s="782"/>
      <c r="G32" s="774"/>
      <c r="H32" s="774"/>
      <c r="I32" s="774"/>
      <c r="J32" s="783"/>
      <c r="K32" s="780"/>
      <c r="L32" s="782"/>
      <c r="M32" s="773"/>
      <c r="N32" s="774"/>
      <c r="O32" s="632"/>
      <c r="Q32" s="791"/>
      <c r="R32" s="791"/>
    </row>
    <row r="33" spans="2:15" ht="7.5" customHeight="1">
      <c r="B33" s="624"/>
      <c r="D33" s="780"/>
      <c r="E33" s="783"/>
      <c r="F33" s="782"/>
      <c r="G33" s="774"/>
      <c r="H33" s="774"/>
      <c r="I33" s="774"/>
      <c r="J33" s="783"/>
      <c r="K33" s="780"/>
      <c r="L33" s="783"/>
      <c r="M33" s="774"/>
      <c r="N33" s="774"/>
      <c r="O33" s="632"/>
    </row>
    <row r="34" spans="2:15" ht="19.5" customHeight="1">
      <c r="B34" s="624"/>
      <c r="D34" s="780"/>
      <c r="E34" s="825"/>
      <c r="F34" s="786"/>
      <c r="G34" s="774"/>
      <c r="H34" s="774"/>
      <c r="I34" s="774"/>
      <c r="J34" s="783"/>
      <c r="K34" s="779"/>
      <c r="L34" s="798"/>
      <c r="M34" s="773"/>
      <c r="N34" s="774"/>
      <c r="O34" s="632"/>
    </row>
    <row r="35" spans="2:15" ht="7.5" customHeight="1">
      <c r="B35" s="624"/>
      <c r="D35" s="828"/>
      <c r="E35" s="828"/>
      <c r="F35" s="774"/>
      <c r="G35" s="774"/>
      <c r="H35" s="774"/>
      <c r="I35" s="774"/>
      <c r="J35" s="774"/>
      <c r="K35" s="774"/>
      <c r="L35" s="773"/>
      <c r="M35" s="774"/>
      <c r="N35" s="774"/>
      <c r="O35" s="632"/>
    </row>
    <row r="36" spans="2:18" ht="19.5" customHeight="1">
      <c r="B36" s="624"/>
      <c r="D36" s="774"/>
      <c r="E36" s="774"/>
      <c r="F36" s="774"/>
      <c r="G36" s="774"/>
      <c r="H36" s="774"/>
      <c r="I36" s="774"/>
      <c r="J36" s="774"/>
      <c r="K36" s="780"/>
      <c r="L36" s="829"/>
      <c r="M36" s="782"/>
      <c r="N36" s="774"/>
      <c r="O36" s="632"/>
      <c r="Q36" s="791"/>
      <c r="R36" s="791"/>
    </row>
    <row r="37" spans="2:15" ht="7.5" customHeight="1">
      <c r="B37" s="624"/>
      <c r="D37" s="774"/>
      <c r="E37" s="774"/>
      <c r="F37" s="774"/>
      <c r="G37" s="774"/>
      <c r="H37" s="774"/>
      <c r="I37" s="774"/>
      <c r="J37" s="774"/>
      <c r="K37" s="780"/>
      <c r="L37" s="829"/>
      <c r="M37" s="782"/>
      <c r="N37" s="774"/>
      <c r="O37" s="632"/>
    </row>
    <row r="38" spans="2:18" ht="19.5" customHeight="1">
      <c r="B38" s="624"/>
      <c r="C38" s="773"/>
      <c r="D38" s="774"/>
      <c r="G38" s="820"/>
      <c r="H38" s="820"/>
      <c r="I38" s="820"/>
      <c r="J38" s="820"/>
      <c r="K38" s="779"/>
      <c r="L38" s="825"/>
      <c r="M38" s="773"/>
      <c r="N38" s="820"/>
      <c r="O38" s="632"/>
      <c r="Q38" s="791"/>
      <c r="R38" s="791"/>
    </row>
    <row r="39" spans="2:18" ht="7.5" customHeight="1">
      <c r="B39" s="624"/>
      <c r="L39" s="820"/>
      <c r="O39" s="632"/>
      <c r="Q39" s="791"/>
      <c r="R39" s="791"/>
    </row>
    <row r="40" spans="2:18" ht="19.5" customHeight="1">
      <c r="B40" s="624"/>
      <c r="D40" s="789"/>
      <c r="E40" s="790"/>
      <c r="F40" s="790"/>
      <c r="G40" s="790"/>
      <c r="H40" s="790"/>
      <c r="I40" s="790"/>
      <c r="L40" s="798"/>
      <c r="M40" s="773"/>
      <c r="O40" s="632"/>
      <c r="Q40" s="791"/>
      <c r="R40" s="791"/>
    </row>
    <row r="41" spans="2:18" ht="7.5" customHeight="1">
      <c r="B41" s="624"/>
      <c r="L41" s="820"/>
      <c r="M41" s="791"/>
      <c r="O41" s="632"/>
      <c r="Q41" s="791"/>
      <c r="R41" s="791"/>
    </row>
    <row r="42" spans="2:15" ht="21.75" customHeight="1">
      <c r="B42" s="624"/>
      <c r="C42" s="778" t="s">
        <v>443</v>
      </c>
      <c r="D42" s="774"/>
      <c r="I42" s="820"/>
      <c r="J42" s="820"/>
      <c r="K42" s="820"/>
      <c r="L42" s="798"/>
      <c r="M42" s="773"/>
      <c r="N42" s="820"/>
      <c r="O42" s="632"/>
    </row>
    <row r="43" spans="2:15" ht="6.75" customHeight="1">
      <c r="B43" s="624"/>
      <c r="C43" s="773"/>
      <c r="D43" s="774"/>
      <c r="I43" s="820"/>
      <c r="J43" s="820"/>
      <c r="K43" s="820"/>
      <c r="L43" s="773"/>
      <c r="M43" s="773"/>
      <c r="N43" s="820"/>
      <c r="O43" s="632"/>
    </row>
    <row r="44" spans="2:15" ht="21.75" customHeight="1" thickBot="1">
      <c r="B44" s="624"/>
      <c r="C44" s="830" t="s">
        <v>444</v>
      </c>
      <c r="D44" s="774"/>
      <c r="F44" s="831"/>
      <c r="I44" s="826"/>
      <c r="J44" s="820"/>
      <c r="K44" s="820"/>
      <c r="L44" s="798"/>
      <c r="M44" s="773"/>
      <c r="N44" s="820"/>
      <c r="O44" s="632"/>
    </row>
    <row r="45" spans="2:15" ht="15.75" thickBot="1">
      <c r="B45" s="811"/>
      <c r="C45" s="812" t="s">
        <v>445</v>
      </c>
      <c r="D45" s="813"/>
      <c r="E45" s="813"/>
      <c r="F45" s="813"/>
      <c r="G45" s="814"/>
      <c r="H45" s="815"/>
      <c r="I45" s="816"/>
      <c r="J45" s="816"/>
      <c r="K45" s="816"/>
      <c r="L45" s="817"/>
      <c r="M45" s="818"/>
      <c r="N45" s="816"/>
      <c r="O45" s="819"/>
    </row>
    <row r="46" spans="2:15" ht="19.5" customHeight="1">
      <c r="B46" s="624"/>
      <c r="D46" s="794"/>
      <c r="E46" s="789"/>
      <c r="F46" s="789"/>
      <c r="I46" s="820"/>
      <c r="J46" s="820"/>
      <c r="K46" s="820"/>
      <c r="L46" s="779"/>
      <c r="M46" s="773"/>
      <c r="N46" s="773"/>
      <c r="O46" s="632"/>
    </row>
    <row r="47" spans="2:15" ht="21.75" customHeight="1">
      <c r="B47" s="624"/>
      <c r="C47" s="778" t="s">
        <v>446</v>
      </c>
      <c r="D47" s="774"/>
      <c r="I47" s="820"/>
      <c r="J47" s="820"/>
      <c r="K47" s="820"/>
      <c r="L47" s="798"/>
      <c r="M47" s="773"/>
      <c r="N47" s="820"/>
      <c r="O47" s="632"/>
    </row>
    <row r="48" spans="2:15" ht="6.75" customHeight="1">
      <c r="B48" s="624"/>
      <c r="D48" s="794"/>
      <c r="E48" s="789"/>
      <c r="F48" s="789"/>
      <c r="I48" s="820"/>
      <c r="J48" s="820"/>
      <c r="K48" s="820"/>
      <c r="L48" s="779"/>
      <c r="M48" s="773"/>
      <c r="N48" s="773"/>
      <c r="O48" s="632"/>
    </row>
    <row r="49" spans="2:15" ht="19.5" customHeight="1">
      <c r="B49" s="624"/>
      <c r="C49" s="609" t="s">
        <v>447</v>
      </c>
      <c r="D49" s="832">
        <v>56</v>
      </c>
      <c r="E49" s="773" t="s">
        <v>448</v>
      </c>
      <c r="F49" s="789" t="s">
        <v>6</v>
      </c>
      <c r="G49" s="832">
        <v>0.93</v>
      </c>
      <c r="H49" s="609" t="s">
        <v>17</v>
      </c>
      <c r="I49" s="820"/>
      <c r="J49" s="820"/>
      <c r="K49" s="820"/>
      <c r="L49" s="779"/>
      <c r="M49" s="773"/>
      <c r="N49" s="773"/>
      <c r="O49" s="632"/>
    </row>
    <row r="50" spans="2:15" ht="6.75" customHeight="1">
      <c r="B50" s="624"/>
      <c r="D50" s="794"/>
      <c r="E50" s="789"/>
      <c r="F50" s="789"/>
      <c r="I50" s="820"/>
      <c r="J50" s="820"/>
      <c r="K50" s="820"/>
      <c r="L50" s="779"/>
      <c r="M50" s="773"/>
      <c r="N50" s="773"/>
      <c r="O50" s="632"/>
    </row>
    <row r="51" spans="2:15" ht="6.75" customHeight="1">
      <c r="B51" s="624"/>
      <c r="D51" s="794"/>
      <c r="E51" s="789"/>
      <c r="F51" s="789"/>
      <c r="I51" s="820"/>
      <c r="J51" s="820"/>
      <c r="K51" s="820"/>
      <c r="L51" s="779"/>
      <c r="M51" s="773"/>
      <c r="N51" s="773"/>
      <c r="O51" s="632"/>
    </row>
    <row r="52" spans="2:15" ht="21.75" customHeight="1">
      <c r="B52" s="624"/>
      <c r="C52" s="778" t="s">
        <v>449</v>
      </c>
      <c r="D52" s="774"/>
      <c r="I52" s="820"/>
      <c r="J52" s="820"/>
      <c r="K52" s="820"/>
      <c r="L52" s="798"/>
      <c r="M52" s="773"/>
      <c r="N52" s="820"/>
      <c r="O52" s="632"/>
    </row>
    <row r="53" spans="2:15" ht="6.75" customHeight="1">
      <c r="B53" s="624"/>
      <c r="D53" s="794"/>
      <c r="E53" s="789"/>
      <c r="F53" s="789"/>
      <c r="I53" s="820"/>
      <c r="J53" s="820"/>
      <c r="K53" s="820"/>
      <c r="L53" s="779"/>
      <c r="M53" s="773"/>
      <c r="N53" s="773"/>
      <c r="O53" s="632"/>
    </row>
    <row r="54" spans="2:15" ht="19.5" customHeight="1">
      <c r="B54" s="624"/>
      <c r="C54" s="609" t="s">
        <v>450</v>
      </c>
      <c r="D54" s="832">
        <f>0.25*G49</f>
        <v>0.2325</v>
      </c>
      <c r="E54" s="773" t="s">
        <v>162</v>
      </c>
      <c r="F54" s="789"/>
      <c r="G54" s="791"/>
      <c r="I54" s="820"/>
      <c r="J54" s="820"/>
      <c r="K54" s="820"/>
      <c r="L54" s="779"/>
      <c r="M54" s="773"/>
      <c r="N54" s="773"/>
      <c r="O54" s="632"/>
    </row>
    <row r="55" spans="2:15" ht="6.75" customHeight="1">
      <c r="B55" s="624"/>
      <c r="D55" s="794"/>
      <c r="E55" s="789"/>
      <c r="F55" s="789"/>
      <c r="I55" s="820"/>
      <c r="J55" s="820"/>
      <c r="K55" s="820"/>
      <c r="L55" s="779"/>
      <c r="M55" s="773"/>
      <c r="N55" s="773"/>
      <c r="O55" s="632"/>
    </row>
    <row r="56" spans="2:15" ht="6.75" customHeight="1">
      <c r="B56" s="624"/>
      <c r="D56" s="794"/>
      <c r="E56" s="789"/>
      <c r="F56" s="789"/>
      <c r="L56" s="820"/>
      <c r="O56" s="632"/>
    </row>
    <row r="57" spans="2:15" ht="21.75" customHeight="1">
      <c r="B57" s="624"/>
      <c r="C57" s="778" t="s">
        <v>451</v>
      </c>
      <c r="D57" s="774"/>
      <c r="I57" s="820"/>
      <c r="J57" s="820"/>
      <c r="K57" s="820"/>
      <c r="L57" s="798"/>
      <c r="M57" s="773"/>
      <c r="N57" s="820"/>
      <c r="O57" s="632"/>
    </row>
    <row r="58" spans="2:15" ht="6.75" customHeight="1">
      <c r="B58" s="624"/>
      <c r="D58" s="794"/>
      <c r="E58" s="789"/>
      <c r="F58" s="789"/>
      <c r="I58" s="820"/>
      <c r="J58" s="820"/>
      <c r="K58" s="820"/>
      <c r="L58" s="779"/>
      <c r="M58" s="773"/>
      <c r="N58" s="773"/>
      <c r="O58" s="632"/>
    </row>
    <row r="59" spans="2:15" ht="19.5" customHeight="1">
      <c r="B59" s="624"/>
      <c r="C59" s="609" t="s">
        <v>434</v>
      </c>
      <c r="D59" s="791"/>
      <c r="E59" s="833">
        <v>0.25</v>
      </c>
      <c r="F59" s="789" t="s">
        <v>87</v>
      </c>
      <c r="G59" s="791"/>
      <c r="I59" s="820"/>
      <c r="J59" s="820"/>
      <c r="K59" s="820"/>
      <c r="L59" s="779"/>
      <c r="M59" s="773"/>
      <c r="N59" s="773"/>
      <c r="O59" s="632"/>
    </row>
    <row r="60" spans="2:18" ht="6.75" customHeight="1">
      <c r="B60" s="624"/>
      <c r="D60" s="783"/>
      <c r="E60" s="802"/>
      <c r="F60" s="834"/>
      <c r="G60" s="783"/>
      <c r="H60" s="783"/>
      <c r="I60" s="783"/>
      <c r="J60" s="835"/>
      <c r="K60" s="783"/>
      <c r="L60" s="783"/>
      <c r="N60" s="836"/>
      <c r="O60" s="632"/>
      <c r="Q60" s="791"/>
      <c r="R60" s="791"/>
    </row>
    <row r="61" spans="2:18" ht="18">
      <c r="B61" s="624"/>
      <c r="C61" s="609" t="s">
        <v>158</v>
      </c>
      <c r="D61" s="791"/>
      <c r="E61" s="833">
        <f>+E59*4</f>
        <v>1</v>
      </c>
      <c r="F61" s="789" t="s">
        <v>87</v>
      </c>
      <c r="G61" s="783"/>
      <c r="H61" s="783"/>
      <c r="I61" s="783"/>
      <c r="J61" s="835"/>
      <c r="K61" s="783"/>
      <c r="L61" s="783"/>
      <c r="N61" s="836"/>
      <c r="O61" s="632"/>
      <c r="Q61" s="791"/>
      <c r="R61" s="791"/>
    </row>
    <row r="62" spans="2:18" ht="6.75" customHeight="1">
      <c r="B62" s="624"/>
      <c r="D62" s="783"/>
      <c r="E62" s="802"/>
      <c r="F62" s="834"/>
      <c r="G62" s="783"/>
      <c r="H62" s="783"/>
      <c r="I62" s="783"/>
      <c r="J62" s="835"/>
      <c r="K62" s="783"/>
      <c r="L62" s="783"/>
      <c r="N62" s="836"/>
      <c r="O62" s="632"/>
      <c r="Q62" s="791"/>
      <c r="R62" s="791"/>
    </row>
    <row r="63" spans="2:18" ht="18">
      <c r="B63" s="624"/>
      <c r="C63" s="609" t="s">
        <v>161</v>
      </c>
      <c r="D63" s="791"/>
      <c r="E63" s="833">
        <f>+E59*E61</f>
        <v>0.25</v>
      </c>
      <c r="F63" s="789" t="s">
        <v>162</v>
      </c>
      <c r="G63" s="783"/>
      <c r="H63" s="783"/>
      <c r="I63" s="783"/>
      <c r="J63" s="835"/>
      <c r="K63" s="783"/>
      <c r="L63" s="783"/>
      <c r="N63" s="836"/>
      <c r="O63" s="632"/>
      <c r="Q63" s="791"/>
      <c r="R63" s="791"/>
    </row>
    <row r="64" spans="2:18" ht="6.75" customHeight="1">
      <c r="B64" s="624"/>
      <c r="D64" s="783"/>
      <c r="E64" s="802"/>
      <c r="F64" s="834"/>
      <c r="G64" s="783"/>
      <c r="H64" s="783"/>
      <c r="I64" s="783"/>
      <c r="J64" s="835"/>
      <c r="K64" s="783"/>
      <c r="L64" s="783"/>
      <c r="N64" s="836"/>
      <c r="O64" s="632"/>
      <c r="Q64" s="791"/>
      <c r="R64" s="791"/>
    </row>
    <row r="65" spans="2:18" ht="18">
      <c r="B65" s="624"/>
      <c r="D65" s="783"/>
      <c r="E65" s="802"/>
      <c r="F65" s="834"/>
      <c r="G65" s="783"/>
      <c r="H65" s="783"/>
      <c r="I65" s="783"/>
      <c r="J65" s="835"/>
      <c r="K65" s="783"/>
      <c r="L65" s="783"/>
      <c r="N65" s="836"/>
      <c r="O65" s="632"/>
      <c r="Q65" s="791"/>
      <c r="R65" s="791"/>
    </row>
    <row r="66" spans="2:18" ht="6.75" customHeight="1">
      <c r="B66" s="624"/>
      <c r="D66" s="783"/>
      <c r="E66" s="802"/>
      <c r="F66" s="834"/>
      <c r="G66" s="783"/>
      <c r="H66" s="783"/>
      <c r="I66" s="783"/>
      <c r="J66" s="835"/>
      <c r="K66" s="783"/>
      <c r="L66" s="783"/>
      <c r="N66" s="836"/>
      <c r="O66" s="632"/>
      <c r="Q66" s="791"/>
      <c r="R66" s="791"/>
    </row>
    <row r="67" spans="2:18" ht="18">
      <c r="B67" s="624"/>
      <c r="C67" s="609" t="s">
        <v>452</v>
      </c>
      <c r="D67" s="783"/>
      <c r="E67" s="802"/>
      <c r="F67" s="834"/>
      <c r="G67" s="783"/>
      <c r="H67" s="783"/>
      <c r="I67" s="783"/>
      <c r="J67" s="835"/>
      <c r="K67" s="783"/>
      <c r="L67" s="783"/>
      <c r="N67" s="836"/>
      <c r="O67" s="632"/>
      <c r="Q67" s="791"/>
      <c r="R67" s="791"/>
    </row>
    <row r="68" spans="2:18" ht="6.75" customHeight="1">
      <c r="B68" s="624"/>
      <c r="D68" s="783"/>
      <c r="E68" s="802"/>
      <c r="F68" s="834"/>
      <c r="G68" s="783"/>
      <c r="H68" s="783"/>
      <c r="I68" s="783"/>
      <c r="J68" s="835"/>
      <c r="K68" s="783"/>
      <c r="L68" s="783"/>
      <c r="N68" s="836"/>
      <c r="O68" s="632"/>
      <c r="Q68" s="791"/>
      <c r="R68" s="791"/>
    </row>
    <row r="69" spans="2:18" ht="18">
      <c r="B69" s="624"/>
      <c r="C69" s="609" t="s">
        <v>453</v>
      </c>
      <c r="D69" s="783"/>
      <c r="E69" s="802"/>
      <c r="F69" s="834"/>
      <c r="G69" s="783"/>
      <c r="H69" s="783"/>
      <c r="I69" s="783"/>
      <c r="J69" s="835"/>
      <c r="K69" s="783"/>
      <c r="L69" s="783"/>
      <c r="N69" s="836"/>
      <c r="O69" s="632"/>
      <c r="Q69" s="791"/>
      <c r="R69" s="791"/>
    </row>
    <row r="70" spans="2:18" ht="6.75" customHeight="1">
      <c r="B70" s="624"/>
      <c r="D70" s="783"/>
      <c r="E70" s="802"/>
      <c r="F70" s="834"/>
      <c r="G70" s="783"/>
      <c r="H70" s="783"/>
      <c r="I70" s="783"/>
      <c r="J70" s="835"/>
      <c r="K70" s="783"/>
      <c r="L70" s="783"/>
      <c r="N70" s="836"/>
      <c r="O70" s="632"/>
      <c r="Q70" s="791"/>
      <c r="R70" s="791"/>
    </row>
    <row r="71" spans="2:18" ht="6.75" customHeight="1">
      <c r="B71" s="624"/>
      <c r="D71" s="783"/>
      <c r="E71" s="802"/>
      <c r="F71" s="834"/>
      <c r="G71" s="783"/>
      <c r="H71" s="783"/>
      <c r="I71" s="783"/>
      <c r="J71" s="835"/>
      <c r="K71" s="783"/>
      <c r="L71" s="783"/>
      <c r="N71" s="836"/>
      <c r="O71" s="632"/>
      <c r="Q71" s="791"/>
      <c r="R71" s="791"/>
    </row>
    <row r="72" spans="2:15" ht="14.25">
      <c r="B72" s="624"/>
      <c r="D72" s="783"/>
      <c r="E72" s="802"/>
      <c r="F72" s="802"/>
      <c r="G72" s="802"/>
      <c r="H72" s="802"/>
      <c r="I72" s="802"/>
      <c r="J72" s="802"/>
      <c r="K72" s="802"/>
      <c r="L72" s="802"/>
      <c r="M72" s="802"/>
      <c r="O72" s="632"/>
    </row>
    <row r="73" spans="2:15" s="748" customFormat="1" ht="12" customHeight="1" thickBot="1">
      <c r="B73" s="807"/>
      <c r="C73" s="808"/>
      <c r="D73" s="808"/>
      <c r="E73" s="808"/>
      <c r="F73" s="808"/>
      <c r="G73" s="808"/>
      <c r="H73" s="808"/>
      <c r="I73" s="808"/>
      <c r="J73" s="808"/>
      <c r="K73" s="808"/>
      <c r="L73" s="808"/>
      <c r="M73" s="808"/>
      <c r="N73" s="808"/>
      <c r="O73" s="809"/>
    </row>
    <row r="74" s="748" customFormat="1" ht="6" customHeight="1"/>
    <row r="75" s="748" customFormat="1" ht="8.25" customHeight="1"/>
    <row r="76" s="748" customFormat="1" ht="14.25"/>
    <row r="77" s="748" customFormat="1" ht="14.25"/>
    <row r="78" s="748" customFormat="1" ht="14.25"/>
    <row r="79" s="748" customFormat="1" ht="14.25"/>
    <row r="80" s="748" customFormat="1" ht="14.25"/>
    <row r="81" s="748" customFormat="1" ht="14.25"/>
    <row r="82" s="748" customFormat="1" ht="14.25"/>
    <row r="83" s="748" customFormat="1" ht="14.25"/>
    <row r="84" s="748" customFormat="1" ht="14.25"/>
    <row r="85" s="748" customFormat="1" ht="14.25"/>
    <row r="86" s="748" customFormat="1" ht="14.25"/>
    <row r="87" s="748" customFormat="1" ht="14.25"/>
    <row r="88" s="748" customFormat="1" ht="14.25"/>
    <row r="89" s="748" customFormat="1" ht="14.25"/>
    <row r="90" s="748" customFormat="1" ht="14.25"/>
    <row r="91" s="748" customFormat="1" ht="14.25"/>
    <row r="92" s="748" customFormat="1" ht="14.25"/>
    <row r="93" s="748" customFormat="1" ht="14.25"/>
    <row r="94" s="748" customFormat="1" ht="14.25"/>
    <row r="95" s="748" customFormat="1" ht="14.25"/>
    <row r="96" s="748" customFormat="1" ht="14.25"/>
    <row r="97" s="748" customFormat="1" ht="14.25"/>
    <row r="98" s="748" customFormat="1" ht="14.25"/>
    <row r="99" s="748" customFormat="1" ht="14.25"/>
    <row r="100" s="748" customFormat="1" ht="14.25"/>
    <row r="101" s="748" customFormat="1" ht="14.25"/>
    <row r="102" s="748" customFormat="1" ht="14.25"/>
    <row r="103" s="748" customFormat="1" ht="14.25"/>
    <row r="104" s="748" customFormat="1" ht="14.25"/>
    <row r="105" s="748" customFormat="1" ht="14.25"/>
    <row r="106" s="748" customFormat="1" ht="14.25"/>
    <row r="107" s="748" customFormat="1" ht="14.25"/>
    <row r="108" s="748" customFormat="1" ht="14.25"/>
    <row r="109" s="748" customFormat="1" ht="14.25"/>
    <row r="110" s="748" customFormat="1" ht="14.25"/>
    <row r="111" s="748" customFormat="1" ht="14.25"/>
    <row r="112" s="748" customFormat="1" ht="14.25"/>
    <row r="113" s="748" customFormat="1" ht="14.25"/>
    <row r="114" s="748" customFormat="1" ht="14.25"/>
    <row r="115" s="748" customFormat="1" ht="14.25"/>
    <row r="116" s="748" customFormat="1" ht="14.25"/>
    <row r="117" s="748" customFormat="1" ht="14.25"/>
    <row r="118" s="748" customFormat="1" ht="14.25"/>
    <row r="119" s="748" customFormat="1" ht="14.25"/>
    <row r="120" s="748" customFormat="1" ht="14.25" customHeight="1"/>
    <row r="121" s="748" customFormat="1" ht="14.25"/>
    <row r="122" s="748" customFormat="1" ht="14.25" customHeight="1"/>
    <row r="123" s="748" customFormat="1" ht="14.25" customHeight="1"/>
    <row r="124" s="748" customFormat="1" ht="14.25" customHeight="1"/>
    <row r="125" s="748" customFormat="1" ht="14.25" customHeight="1"/>
    <row r="126" s="748" customFormat="1" ht="14.25" customHeight="1"/>
    <row r="127" s="748" customFormat="1" ht="14.25"/>
    <row r="128" s="751" customFormat="1" ht="15" customHeight="1"/>
    <row r="129" s="748" customFormat="1" ht="14.25" customHeight="1"/>
    <row r="130" s="748" customFormat="1" ht="14.25" customHeight="1"/>
    <row r="131" s="748" customFormat="1" ht="14.25" customHeight="1"/>
    <row r="132" s="748" customFormat="1" ht="14.25" customHeight="1"/>
    <row r="133" s="748" customFormat="1" ht="14.25" customHeight="1"/>
    <row r="134" s="748" customFormat="1" ht="14.25" customHeight="1"/>
    <row r="135" s="748" customFormat="1" ht="14.25"/>
    <row r="136" s="748" customFormat="1" ht="14.25"/>
    <row r="137" s="748" customFormat="1" ht="14.25"/>
    <row r="138" s="748" customFormat="1" ht="14.25"/>
    <row r="139" s="748" customFormat="1" ht="14.25"/>
    <row r="140" s="748" customFormat="1" ht="14.25"/>
    <row r="141" s="748" customFormat="1" ht="14.25"/>
    <row r="142" s="748" customFormat="1" ht="14.25"/>
    <row r="143" s="748" customFormat="1" ht="14.25"/>
    <row r="144" s="748" customFormat="1" ht="14.25"/>
    <row r="145" s="748" customFormat="1" ht="14.25"/>
    <row r="146" s="748" customFormat="1" ht="14.25"/>
    <row r="147" s="748" customFormat="1" ht="14.25"/>
    <row r="148" s="748" customFormat="1" ht="14.25"/>
    <row r="149" s="748" customFormat="1" ht="14.25"/>
    <row r="150" s="748" customFormat="1" ht="14.25"/>
    <row r="151" s="748" customFormat="1" ht="14.25"/>
    <row r="152" s="748" customFormat="1" ht="14.25"/>
    <row r="153" s="748" customFormat="1" ht="14.25"/>
    <row r="154" s="748" customFormat="1" ht="14.25"/>
    <row r="155" s="748" customFormat="1" ht="14.25"/>
    <row r="156" s="748" customFormat="1" ht="14.25"/>
    <row r="157" s="748" customFormat="1" ht="14.25"/>
    <row r="158" s="748" customFormat="1" ht="14.25"/>
    <row r="159" s="748" customFormat="1" ht="14.25"/>
    <row r="160" s="748" customFormat="1" ht="14.25"/>
    <row r="161" s="748" customFormat="1" ht="14.25"/>
    <row r="162" s="748" customFormat="1" ht="14.25"/>
    <row r="163" s="748" customFormat="1" ht="14.25"/>
    <row r="164" s="748" customFormat="1" ht="14.25"/>
    <row r="165" s="748" customFormat="1" ht="14.25"/>
    <row r="166" s="748" customFormat="1" ht="14.25"/>
    <row r="167" s="748" customFormat="1" ht="14.25"/>
    <row r="168" s="748" customFormat="1" ht="14.25"/>
    <row r="170" s="820" customFormat="1" ht="12.75"/>
    <row r="171" s="764" customFormat="1" ht="15"/>
  </sheetData>
  <sheetProtection/>
  <mergeCells count="1">
    <mergeCell ref="E5:I5"/>
  </mergeCells>
  <printOptions horizontalCentered="1" verticalCentered="1"/>
  <pageMargins left="0.58" right="0.5905511811023623" top="0.4330708661417323" bottom="0.8267716535433072" header="0.2755905511811024" footer="0.6299212598425197"/>
  <pageSetup fitToHeight="1" fitToWidth="1" horizontalDpi="600" verticalDpi="600" orientation="portrait" scale="6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C1">
      <selection activeCell="S17" sqref="S17"/>
    </sheetView>
  </sheetViews>
  <sheetFormatPr defaultColWidth="11.421875" defaultRowHeight="12.75"/>
  <cols>
    <col min="1" max="3" width="11.421875" style="582" customWidth="1"/>
    <col min="4" max="15" width="5.7109375" style="582" customWidth="1"/>
    <col min="16" max="16384" width="11.421875" style="582" customWidth="1"/>
  </cols>
  <sheetData>
    <row r="1" ht="12.75">
      <c r="A1" s="582" t="s">
        <v>394</v>
      </c>
    </row>
    <row r="2" ht="13.5" thickBot="1"/>
    <row r="3" spans="1:16" s="592" customFormat="1" ht="27" customHeight="1" thickBot="1">
      <c r="A3" s="1099" t="s">
        <v>405</v>
      </c>
      <c r="B3" s="1099" t="s">
        <v>406</v>
      </c>
      <c r="C3" s="1099" t="s">
        <v>402</v>
      </c>
      <c r="D3" s="1097" t="s">
        <v>395</v>
      </c>
      <c r="E3" s="1103"/>
      <c r="F3" s="1097" t="s">
        <v>397</v>
      </c>
      <c r="G3" s="1103"/>
      <c r="H3" s="1097" t="s">
        <v>398</v>
      </c>
      <c r="I3" s="1103"/>
      <c r="J3" s="1097" t="s">
        <v>399</v>
      </c>
      <c r="K3" s="1103"/>
      <c r="L3" s="1097" t="s">
        <v>400</v>
      </c>
      <c r="M3" s="1103"/>
      <c r="N3" s="1097" t="s">
        <v>401</v>
      </c>
      <c r="O3" s="1098"/>
      <c r="P3" s="1101" t="s">
        <v>396</v>
      </c>
    </row>
    <row r="4" spans="1:16" ht="13.5" thickBot="1">
      <c r="A4" s="1100"/>
      <c r="B4" s="1100"/>
      <c r="C4" s="1100"/>
      <c r="D4" s="593">
        <v>3</v>
      </c>
      <c r="E4" s="594" t="s">
        <v>396</v>
      </c>
      <c r="F4" s="593">
        <v>1</v>
      </c>
      <c r="G4" s="594" t="s">
        <v>396</v>
      </c>
      <c r="H4" s="593">
        <v>2</v>
      </c>
      <c r="I4" s="594" t="s">
        <v>396</v>
      </c>
      <c r="J4" s="593">
        <v>2</v>
      </c>
      <c r="K4" s="594" t="s">
        <v>396</v>
      </c>
      <c r="L4" s="593">
        <v>2</v>
      </c>
      <c r="M4" s="594" t="s">
        <v>396</v>
      </c>
      <c r="N4" s="593">
        <v>3</v>
      </c>
      <c r="O4" s="599" t="s">
        <v>396</v>
      </c>
      <c r="P4" s="1102"/>
    </row>
    <row r="5" spans="1:16" ht="12.75">
      <c r="A5" s="603" t="s">
        <v>407</v>
      </c>
      <c r="B5" s="597" t="s">
        <v>408</v>
      </c>
      <c r="C5" s="597" t="s">
        <v>403</v>
      </c>
      <c r="D5" s="589">
        <v>2</v>
      </c>
      <c r="E5" s="590">
        <f aca="true" t="shared" si="0" ref="E5:E10">+D5*$D$4</f>
        <v>6</v>
      </c>
      <c r="F5" s="585">
        <v>3</v>
      </c>
      <c r="G5" s="590">
        <f aca="true" t="shared" si="1" ref="G5:G10">+F5*$F$4</f>
        <v>3</v>
      </c>
      <c r="H5" s="598">
        <v>2</v>
      </c>
      <c r="I5" s="590">
        <f aca="true" t="shared" si="2" ref="I5:I10">+H5*$H$4</f>
        <v>4</v>
      </c>
      <c r="J5" s="585">
        <v>2</v>
      </c>
      <c r="K5" s="590">
        <f aca="true" t="shared" si="3" ref="K5:K10">+J5*$J$4</f>
        <v>4</v>
      </c>
      <c r="L5" s="585">
        <v>1</v>
      </c>
      <c r="M5" s="590">
        <f aca="true" t="shared" si="4" ref="M5:M10">+L5*$L$4</f>
        <v>2</v>
      </c>
      <c r="N5" s="585">
        <v>1</v>
      </c>
      <c r="O5" s="600">
        <f aca="true" t="shared" si="5" ref="O5:O10">+N5*$N$4</f>
        <v>3</v>
      </c>
      <c r="P5" s="602">
        <f aca="true" t="shared" si="6" ref="P5:P10">+E5+G5+I5+K5+M5+O5</f>
        <v>22</v>
      </c>
    </row>
    <row r="6" spans="1:16" ht="12.75">
      <c r="A6" s="604" t="s">
        <v>409</v>
      </c>
      <c r="B6" s="605" t="s">
        <v>410</v>
      </c>
      <c r="C6" s="605" t="s">
        <v>404</v>
      </c>
      <c r="D6" s="589">
        <v>1</v>
      </c>
      <c r="E6" s="590">
        <f t="shared" si="0"/>
        <v>3</v>
      </c>
      <c r="F6" s="585">
        <v>1</v>
      </c>
      <c r="G6" s="590">
        <f t="shared" si="1"/>
        <v>1</v>
      </c>
      <c r="H6" s="598">
        <v>1</v>
      </c>
      <c r="I6" s="590">
        <f t="shared" si="2"/>
        <v>2</v>
      </c>
      <c r="J6" s="585">
        <v>2</v>
      </c>
      <c r="K6" s="590">
        <f t="shared" si="3"/>
        <v>4</v>
      </c>
      <c r="L6" s="585">
        <v>1</v>
      </c>
      <c r="M6" s="590">
        <f t="shared" si="4"/>
        <v>2</v>
      </c>
      <c r="N6" s="585">
        <v>1</v>
      </c>
      <c r="O6" s="600">
        <f t="shared" si="5"/>
        <v>3</v>
      </c>
      <c r="P6" s="602">
        <f t="shared" si="6"/>
        <v>15</v>
      </c>
    </row>
    <row r="7" spans="1:16" ht="12.75">
      <c r="A7" s="604" t="s">
        <v>411</v>
      </c>
      <c r="B7" s="605" t="s">
        <v>412</v>
      </c>
      <c r="C7" s="605" t="s">
        <v>404</v>
      </c>
      <c r="D7" s="589">
        <v>3</v>
      </c>
      <c r="E7" s="590">
        <f t="shared" si="0"/>
        <v>9</v>
      </c>
      <c r="F7" s="585">
        <v>4</v>
      </c>
      <c r="G7" s="590">
        <f t="shared" si="1"/>
        <v>4</v>
      </c>
      <c r="H7" s="598">
        <v>3</v>
      </c>
      <c r="I7" s="590">
        <f t="shared" si="2"/>
        <v>6</v>
      </c>
      <c r="J7" s="585">
        <v>2</v>
      </c>
      <c r="K7" s="590">
        <f t="shared" si="3"/>
        <v>4</v>
      </c>
      <c r="L7" s="585">
        <v>1</v>
      </c>
      <c r="M7" s="590">
        <f t="shared" si="4"/>
        <v>2</v>
      </c>
      <c r="N7" s="585">
        <v>1</v>
      </c>
      <c r="O7" s="600">
        <f t="shared" si="5"/>
        <v>3</v>
      </c>
      <c r="P7" s="602">
        <f t="shared" si="6"/>
        <v>28</v>
      </c>
    </row>
    <row r="8" spans="1:16" ht="12.75">
      <c r="A8" s="604" t="s">
        <v>413</v>
      </c>
      <c r="B8" s="605" t="s">
        <v>414</v>
      </c>
      <c r="C8" s="605" t="s">
        <v>415</v>
      </c>
      <c r="D8" s="589">
        <v>3</v>
      </c>
      <c r="E8" s="590">
        <f t="shared" si="0"/>
        <v>9</v>
      </c>
      <c r="F8" s="585">
        <v>3</v>
      </c>
      <c r="G8" s="590">
        <f t="shared" si="1"/>
        <v>3</v>
      </c>
      <c r="H8" s="598">
        <v>3</v>
      </c>
      <c r="I8" s="590">
        <f t="shared" si="2"/>
        <v>6</v>
      </c>
      <c r="J8" s="585">
        <v>2</v>
      </c>
      <c r="K8" s="590">
        <f t="shared" si="3"/>
        <v>4</v>
      </c>
      <c r="L8" s="585">
        <v>1</v>
      </c>
      <c r="M8" s="590">
        <f t="shared" si="4"/>
        <v>2</v>
      </c>
      <c r="N8" s="585">
        <v>1</v>
      </c>
      <c r="O8" s="600">
        <f t="shared" si="5"/>
        <v>3</v>
      </c>
      <c r="P8" s="602">
        <f t="shared" si="6"/>
        <v>27</v>
      </c>
    </row>
    <row r="9" spans="1:16" ht="12.75">
      <c r="A9" s="604" t="s">
        <v>416</v>
      </c>
      <c r="B9" s="605" t="s">
        <v>417</v>
      </c>
      <c r="C9" s="605" t="s">
        <v>418</v>
      </c>
      <c r="D9" s="589">
        <v>3</v>
      </c>
      <c r="E9" s="590">
        <f t="shared" si="0"/>
        <v>9</v>
      </c>
      <c r="F9" s="585">
        <v>4</v>
      </c>
      <c r="G9" s="590">
        <f t="shared" si="1"/>
        <v>4</v>
      </c>
      <c r="H9" s="598">
        <v>3</v>
      </c>
      <c r="I9" s="590">
        <f t="shared" si="2"/>
        <v>6</v>
      </c>
      <c r="J9" s="585">
        <v>2</v>
      </c>
      <c r="K9" s="590">
        <f t="shared" si="3"/>
        <v>4</v>
      </c>
      <c r="L9" s="585">
        <v>1</v>
      </c>
      <c r="M9" s="590">
        <f t="shared" si="4"/>
        <v>2</v>
      </c>
      <c r="N9" s="585">
        <v>1</v>
      </c>
      <c r="O9" s="600">
        <f t="shared" si="5"/>
        <v>3</v>
      </c>
      <c r="P9" s="602">
        <f t="shared" si="6"/>
        <v>28</v>
      </c>
    </row>
    <row r="10" spans="1:16" ht="12.75">
      <c r="A10" s="604" t="s">
        <v>419</v>
      </c>
      <c r="B10" s="605" t="s">
        <v>420</v>
      </c>
      <c r="C10" s="605" t="s">
        <v>421</v>
      </c>
      <c r="D10" s="589">
        <v>4</v>
      </c>
      <c r="E10" s="590">
        <f t="shared" si="0"/>
        <v>12</v>
      </c>
      <c r="F10" s="585">
        <v>5</v>
      </c>
      <c r="G10" s="590">
        <f t="shared" si="1"/>
        <v>5</v>
      </c>
      <c r="H10" s="598">
        <v>3</v>
      </c>
      <c r="I10" s="590">
        <f t="shared" si="2"/>
        <v>6</v>
      </c>
      <c r="J10" s="585">
        <v>2</v>
      </c>
      <c r="K10" s="590">
        <f t="shared" si="3"/>
        <v>4</v>
      </c>
      <c r="L10" s="585">
        <v>1</v>
      </c>
      <c r="M10" s="590">
        <f t="shared" si="4"/>
        <v>2</v>
      </c>
      <c r="N10" s="585">
        <v>1</v>
      </c>
      <c r="O10" s="600">
        <f t="shared" si="5"/>
        <v>3</v>
      </c>
      <c r="P10" s="602">
        <f t="shared" si="6"/>
        <v>32</v>
      </c>
    </row>
    <row r="11" spans="1:16" ht="12.75">
      <c r="A11" s="583"/>
      <c r="B11" s="595"/>
      <c r="C11" s="595"/>
      <c r="D11" s="607">
        <f>+SUM(D5:D10)</f>
        <v>16</v>
      </c>
      <c r="E11" s="590"/>
      <c r="F11" s="607">
        <f>+SUM(F5:F10)</f>
        <v>20</v>
      </c>
      <c r="G11" s="590"/>
      <c r="H11" s="607">
        <f>+SUM(H5:H10)</f>
        <v>15</v>
      </c>
      <c r="I11" s="590"/>
      <c r="J11" s="607">
        <f>+SUM(J5:J10)</f>
        <v>12</v>
      </c>
      <c r="K11" s="590"/>
      <c r="L11" s="607">
        <f>+SUM(L5:L10)</f>
        <v>6</v>
      </c>
      <c r="M11" s="590"/>
      <c r="N11" s="607">
        <f>+SUM(N5:N10)</f>
        <v>6</v>
      </c>
      <c r="O11" s="600"/>
      <c r="P11" s="602"/>
    </row>
    <row r="12" spans="1:16" ht="12.75">
      <c r="A12" s="583"/>
      <c r="B12" s="595"/>
      <c r="C12" s="595"/>
      <c r="D12" s="585"/>
      <c r="E12" s="586"/>
      <c r="F12" s="585"/>
      <c r="G12" s="586"/>
      <c r="H12" s="585"/>
      <c r="I12" s="586"/>
      <c r="J12" s="585"/>
      <c r="K12" s="586"/>
      <c r="L12" s="585"/>
      <c r="M12" s="586"/>
      <c r="N12" s="585"/>
      <c r="O12" s="591"/>
      <c r="P12" s="583"/>
    </row>
    <row r="13" spans="1:16" ht="12.75">
      <c r="A13" s="583"/>
      <c r="B13" s="595"/>
      <c r="C13" s="595"/>
      <c r="D13" s="585"/>
      <c r="E13" s="586"/>
      <c r="F13" s="585"/>
      <c r="G13" s="586"/>
      <c r="H13" s="585"/>
      <c r="I13" s="586"/>
      <c r="J13" s="585"/>
      <c r="K13" s="586"/>
      <c r="L13" s="585"/>
      <c r="M13" s="586"/>
      <c r="N13" s="585"/>
      <c r="O13" s="591"/>
      <c r="P13" s="583"/>
    </row>
    <row r="14" spans="1:16" ht="12.75">
      <c r="A14" s="583"/>
      <c r="B14" s="595"/>
      <c r="C14" s="595"/>
      <c r="D14" s="585"/>
      <c r="E14" s="586"/>
      <c r="F14" s="585"/>
      <c r="G14" s="586"/>
      <c r="H14" s="585"/>
      <c r="I14" s="586"/>
      <c r="J14" s="585"/>
      <c r="K14" s="586"/>
      <c r="L14" s="585"/>
      <c r="M14" s="586"/>
      <c r="N14" s="585"/>
      <c r="O14" s="591"/>
      <c r="P14" s="583"/>
    </row>
    <row r="15" spans="1:16" ht="12.75">
      <c r="A15" s="583"/>
      <c r="B15" s="595"/>
      <c r="C15" s="595"/>
      <c r="D15" s="585"/>
      <c r="E15" s="586"/>
      <c r="F15" s="585"/>
      <c r="G15" s="586"/>
      <c r="H15" s="585"/>
      <c r="I15" s="586"/>
      <c r="J15" s="585"/>
      <c r="K15" s="586"/>
      <c r="L15" s="585"/>
      <c r="M15" s="586"/>
      <c r="N15" s="585"/>
      <c r="O15" s="591"/>
      <c r="P15" s="583"/>
    </row>
    <row r="16" spans="1:16" ht="12.75">
      <c r="A16" s="583"/>
      <c r="B16" s="595"/>
      <c r="C16" s="595"/>
      <c r="D16" s="585"/>
      <c r="E16" s="586"/>
      <c r="F16" s="585"/>
      <c r="G16" s="586"/>
      <c r="H16" s="585"/>
      <c r="I16" s="586"/>
      <c r="J16" s="585"/>
      <c r="K16" s="586"/>
      <c r="L16" s="585"/>
      <c r="M16" s="586"/>
      <c r="N16" s="585"/>
      <c r="O16" s="591"/>
      <c r="P16" s="583"/>
    </row>
    <row r="17" spans="1:16" ht="12.75">
      <c r="A17" s="583"/>
      <c r="B17" s="595"/>
      <c r="C17" s="595"/>
      <c r="D17" s="585"/>
      <c r="E17" s="586"/>
      <c r="F17" s="585"/>
      <c r="G17" s="586"/>
      <c r="H17" s="585"/>
      <c r="I17" s="586"/>
      <c r="J17" s="585"/>
      <c r="K17" s="586"/>
      <c r="L17" s="585"/>
      <c r="M17" s="586"/>
      <c r="N17" s="585"/>
      <c r="O17" s="591"/>
      <c r="P17" s="583"/>
    </row>
    <row r="18" spans="1:16" ht="12.75">
      <c r="A18" s="583"/>
      <c r="B18" s="595"/>
      <c r="C18" s="595"/>
      <c r="D18" s="585"/>
      <c r="E18" s="586"/>
      <c r="F18" s="585"/>
      <c r="G18" s="586"/>
      <c r="H18" s="585"/>
      <c r="I18" s="586"/>
      <c r="J18" s="585"/>
      <c r="K18" s="586"/>
      <c r="L18" s="585"/>
      <c r="M18" s="586"/>
      <c r="N18" s="585"/>
      <c r="O18" s="591"/>
      <c r="P18" s="583"/>
    </row>
    <row r="19" spans="1:16" ht="12.75">
      <c r="A19" s="583"/>
      <c r="B19" s="595"/>
      <c r="C19" s="595"/>
      <c r="D19" s="585"/>
      <c r="E19" s="586"/>
      <c r="F19" s="585"/>
      <c r="G19" s="586"/>
      <c r="H19" s="585"/>
      <c r="I19" s="586"/>
      <c r="J19" s="585"/>
      <c r="K19" s="586"/>
      <c r="L19" s="585"/>
      <c r="M19" s="586"/>
      <c r="N19" s="585"/>
      <c r="O19" s="591"/>
      <c r="P19" s="583"/>
    </row>
    <row r="20" spans="1:16" ht="12.75">
      <c r="A20" s="583"/>
      <c r="B20" s="595"/>
      <c r="C20" s="595"/>
      <c r="D20" s="585"/>
      <c r="E20" s="586"/>
      <c r="F20" s="585"/>
      <c r="G20" s="586"/>
      <c r="H20" s="585"/>
      <c r="I20" s="586"/>
      <c r="J20" s="585"/>
      <c r="K20" s="586"/>
      <c r="L20" s="585"/>
      <c r="M20" s="586"/>
      <c r="N20" s="585"/>
      <c r="O20" s="591"/>
      <c r="P20" s="583"/>
    </row>
    <row r="21" spans="1:16" ht="12.75">
      <c r="A21" s="583"/>
      <c r="B21" s="595"/>
      <c r="C21" s="595"/>
      <c r="D21" s="585"/>
      <c r="E21" s="586"/>
      <c r="F21" s="585"/>
      <c r="G21" s="586"/>
      <c r="H21" s="585"/>
      <c r="I21" s="586"/>
      <c r="J21" s="585"/>
      <c r="K21" s="586"/>
      <c r="L21" s="585"/>
      <c r="M21" s="586"/>
      <c r="N21" s="585"/>
      <c r="O21" s="591"/>
      <c r="P21" s="583"/>
    </row>
    <row r="22" spans="1:16" ht="12.75">
      <c r="A22" s="583"/>
      <c r="B22" s="595"/>
      <c r="C22" s="595"/>
      <c r="D22" s="585"/>
      <c r="E22" s="586"/>
      <c r="F22" s="585"/>
      <c r="G22" s="586"/>
      <c r="H22" s="585"/>
      <c r="I22" s="586"/>
      <c r="J22" s="585"/>
      <c r="K22" s="586"/>
      <c r="L22" s="585"/>
      <c r="M22" s="586"/>
      <c r="N22" s="585"/>
      <c r="O22" s="591"/>
      <c r="P22" s="583"/>
    </row>
    <row r="23" spans="1:16" ht="13.5" thickBot="1">
      <c r="A23" s="584"/>
      <c r="B23" s="596"/>
      <c r="C23" s="596"/>
      <c r="D23" s="587"/>
      <c r="E23" s="588"/>
      <c r="F23" s="587"/>
      <c r="G23" s="588"/>
      <c r="H23" s="587"/>
      <c r="I23" s="588"/>
      <c r="J23" s="587"/>
      <c r="K23" s="588"/>
      <c r="L23" s="587"/>
      <c r="M23" s="588"/>
      <c r="N23" s="587"/>
      <c r="O23" s="601"/>
      <c r="P23" s="584"/>
    </row>
  </sheetData>
  <sheetProtection/>
  <mergeCells count="10">
    <mergeCell ref="N3:O3"/>
    <mergeCell ref="C3:C4"/>
    <mergeCell ref="P3:P4"/>
    <mergeCell ref="B3:B4"/>
    <mergeCell ref="D3:E3"/>
    <mergeCell ref="A3:A4"/>
    <mergeCell ref="F3:G3"/>
    <mergeCell ref="H3:I3"/>
    <mergeCell ref="J3:K3"/>
    <mergeCell ref="L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2:AF53"/>
  <sheetViews>
    <sheetView view="pageBreakPreview" zoomScale="55" zoomScaleNormal="85" zoomScaleSheetLayoutView="55" zoomScalePageLayoutView="0" workbookViewId="0" topLeftCell="A7">
      <selection activeCell="T33" sqref="T33"/>
    </sheetView>
  </sheetViews>
  <sheetFormatPr defaultColWidth="12.7109375" defaultRowHeight="12.75"/>
  <cols>
    <col min="1" max="1" width="11.421875" style="909" customWidth="1"/>
    <col min="2" max="2" width="2.00390625" style="909" customWidth="1"/>
    <col min="3" max="3" width="11.00390625" style="909" customWidth="1"/>
    <col min="4" max="4" width="13.00390625" style="909" customWidth="1"/>
    <col min="5" max="5" width="10.421875" style="909" customWidth="1"/>
    <col min="6" max="6" width="12.00390625" style="909" customWidth="1"/>
    <col min="7" max="7" width="12.140625" style="909" customWidth="1"/>
    <col min="8" max="8" width="18.8515625" style="909" customWidth="1"/>
    <col min="9" max="9" width="3.421875" style="909" customWidth="1"/>
    <col min="10" max="10" width="8.8515625" style="909" customWidth="1"/>
    <col min="11" max="11" width="12.140625" style="909" customWidth="1"/>
    <col min="12" max="12" width="10.8515625" style="909" customWidth="1"/>
    <col min="13" max="13" width="12.421875" style="909" customWidth="1"/>
    <col min="14" max="14" width="2.421875" style="909" customWidth="1"/>
    <col min="15" max="16" width="12.7109375" style="909" customWidth="1"/>
    <col min="17" max="17" width="16.8515625" style="909" customWidth="1"/>
    <col min="18" max="18" width="7.140625" style="909" customWidth="1"/>
    <col min="19" max="19" width="6.421875" style="909" customWidth="1"/>
    <col min="20" max="35" width="12.7109375" style="909" customWidth="1"/>
    <col min="36" max="16384" width="12.7109375" style="909" customWidth="1"/>
  </cols>
  <sheetData>
    <row r="1" ht="15" thickBot="1"/>
    <row r="2" spans="2:14" ht="12" customHeight="1" thickBot="1">
      <c r="B2" s="925"/>
      <c r="C2" s="926"/>
      <c r="D2" s="926"/>
      <c r="E2" s="926"/>
      <c r="F2" s="926"/>
      <c r="G2" s="926"/>
      <c r="H2" s="926"/>
      <c r="I2" s="926"/>
      <c r="J2" s="926"/>
      <c r="K2" s="926"/>
      <c r="L2" s="926"/>
      <c r="M2" s="926"/>
      <c r="N2" s="927"/>
    </row>
    <row r="3" spans="2:14" ht="75.75" customHeight="1" thickBot="1">
      <c r="B3" s="928"/>
      <c r="C3" s="929"/>
      <c r="D3" s="930"/>
      <c r="E3" s="931"/>
      <c r="F3" s="932"/>
      <c r="G3" s="932"/>
      <c r="H3" s="930"/>
      <c r="I3" s="930"/>
      <c r="J3" s="930"/>
      <c r="K3" s="933"/>
      <c r="L3" s="932"/>
      <c r="M3" s="934"/>
      <c r="N3" s="935"/>
    </row>
    <row r="4" spans="2:14" ht="6.75" customHeight="1" thickBot="1">
      <c r="B4" s="928"/>
      <c r="C4" s="936"/>
      <c r="D4" s="936"/>
      <c r="E4" s="936"/>
      <c r="F4" s="936"/>
      <c r="G4" s="936"/>
      <c r="H4" s="936"/>
      <c r="I4" s="936"/>
      <c r="J4" s="936"/>
      <c r="K4" s="936"/>
      <c r="L4" s="936"/>
      <c r="M4" s="936"/>
      <c r="N4" s="935"/>
    </row>
    <row r="5" spans="2:14" ht="41.25" customHeight="1" thickBot="1">
      <c r="B5" s="928"/>
      <c r="C5" s="937" t="s">
        <v>0</v>
      </c>
      <c r="D5" s="938" t="s">
        <v>1</v>
      </c>
      <c r="E5" s="882"/>
      <c r="F5" s="939"/>
      <c r="G5" s="939"/>
      <c r="H5" s="940"/>
      <c r="I5" s="936"/>
      <c r="J5" s="941" t="s">
        <v>2</v>
      </c>
      <c r="K5" s="942">
        <v>2</v>
      </c>
      <c r="L5" s="943" t="s">
        <v>3</v>
      </c>
      <c r="M5" s="944">
        <v>12</v>
      </c>
      <c r="N5" s="935"/>
    </row>
    <row r="6" spans="2:14" ht="10.5" customHeight="1" thickBot="1">
      <c r="B6" s="945"/>
      <c r="C6" s="946"/>
      <c r="D6" s="947"/>
      <c r="E6" s="892"/>
      <c r="F6" s="948"/>
      <c r="G6" s="948"/>
      <c r="H6" s="948"/>
      <c r="I6" s="949"/>
      <c r="J6" s="946"/>
      <c r="K6" s="950"/>
      <c r="L6" s="946"/>
      <c r="M6" s="946"/>
      <c r="N6" s="951"/>
    </row>
    <row r="7" spans="3:13" ht="10.5" customHeight="1" thickBot="1">
      <c r="C7" s="936"/>
      <c r="D7" s="936"/>
      <c r="E7" s="936"/>
      <c r="F7" s="936"/>
      <c r="G7" s="936"/>
      <c r="H7" s="936"/>
      <c r="I7" s="936"/>
      <c r="J7" s="936"/>
      <c r="K7" s="936"/>
      <c r="L7" s="936"/>
      <c r="M7" s="936"/>
    </row>
    <row r="8" spans="2:14" ht="10.5" customHeight="1" thickBot="1">
      <c r="B8" s="925"/>
      <c r="C8" s="952"/>
      <c r="D8" s="952"/>
      <c r="E8" s="952"/>
      <c r="F8" s="952"/>
      <c r="G8" s="952"/>
      <c r="H8" s="952"/>
      <c r="I8" s="952"/>
      <c r="J8" s="952"/>
      <c r="K8" s="952"/>
      <c r="L8" s="952"/>
      <c r="M8" s="952"/>
      <c r="N8" s="927"/>
    </row>
    <row r="9" spans="2:14" ht="30" customHeight="1" thickBot="1">
      <c r="B9" s="928"/>
      <c r="C9" s="953" t="s">
        <v>4</v>
      </c>
      <c r="D9" s="931"/>
      <c r="E9" s="931"/>
      <c r="F9" s="931"/>
      <c r="G9" s="931"/>
      <c r="H9" s="931"/>
      <c r="I9" s="931"/>
      <c r="J9" s="931"/>
      <c r="K9" s="931"/>
      <c r="L9" s="931"/>
      <c r="M9" s="954"/>
      <c r="N9" s="935"/>
    </row>
    <row r="10" spans="2:14" ht="7.5" customHeight="1" thickBot="1">
      <c r="B10" s="928"/>
      <c r="C10" s="955"/>
      <c r="D10" s="955"/>
      <c r="E10" s="955"/>
      <c r="F10" s="955"/>
      <c r="G10" s="955"/>
      <c r="H10" s="955"/>
      <c r="I10" s="955"/>
      <c r="J10" s="955"/>
      <c r="K10" s="955"/>
      <c r="L10" s="955"/>
      <c r="M10" s="955"/>
      <c r="N10" s="935"/>
    </row>
    <row r="11" spans="2:17" ht="24.75" customHeight="1" thickBot="1">
      <c r="B11" s="928"/>
      <c r="H11" s="956" t="s">
        <v>5</v>
      </c>
      <c r="I11" s="957" t="s">
        <v>6</v>
      </c>
      <c r="J11" s="527">
        <v>1</v>
      </c>
      <c r="K11" s="524"/>
      <c r="N11" s="935"/>
      <c r="P11" s="526"/>
      <c r="Q11" s="958" t="s">
        <v>330</v>
      </c>
    </row>
    <row r="12" spans="2:14" ht="7.5" customHeight="1">
      <c r="B12" s="928"/>
      <c r="H12" s="956"/>
      <c r="I12" s="957"/>
      <c r="J12" s="957"/>
      <c r="K12" s="959"/>
      <c r="N12" s="935"/>
    </row>
    <row r="13" spans="2:14" ht="30" customHeight="1">
      <c r="B13" s="928"/>
      <c r="H13" s="956" t="s">
        <v>153</v>
      </c>
      <c r="I13" s="957" t="s">
        <v>6</v>
      </c>
      <c r="J13" s="527">
        <v>330</v>
      </c>
      <c r="K13" s="960"/>
      <c r="N13" s="935"/>
    </row>
    <row r="14" spans="2:14" ht="7.5" customHeight="1">
      <c r="B14" s="928"/>
      <c r="H14" s="956"/>
      <c r="I14" s="957"/>
      <c r="J14" s="957"/>
      <c r="K14" s="960"/>
      <c r="N14" s="935"/>
    </row>
    <row r="15" spans="2:14" ht="30" customHeight="1">
      <c r="B15" s="928"/>
      <c r="H15" s="956" t="s">
        <v>7</v>
      </c>
      <c r="I15" s="957" t="s">
        <v>6</v>
      </c>
      <c r="J15" s="961">
        <f>J11*J13</f>
        <v>330</v>
      </c>
      <c r="K15" s="960"/>
      <c r="N15" s="935"/>
    </row>
    <row r="16" spans="2:14" ht="8.25" customHeight="1" thickBot="1">
      <c r="B16" s="928"/>
      <c r="K16" s="960"/>
      <c r="N16" s="935"/>
    </row>
    <row r="17" spans="2:19" ht="30" customHeight="1" thickBot="1">
      <c r="B17" s="928"/>
      <c r="H17" s="956" t="s">
        <v>8</v>
      </c>
      <c r="I17" s="957" t="s">
        <v>6</v>
      </c>
      <c r="J17" s="527">
        <v>50</v>
      </c>
      <c r="K17" s="962" t="s">
        <v>9</v>
      </c>
      <c r="M17" s="963"/>
      <c r="N17" s="935"/>
      <c r="Q17" s="1041" t="s">
        <v>154</v>
      </c>
      <c r="R17" s="1042"/>
      <c r="S17" s="1043"/>
    </row>
    <row r="18" spans="2:19" ht="8.25" customHeight="1">
      <c r="B18" s="928"/>
      <c r="H18" s="956"/>
      <c r="I18" s="957"/>
      <c r="J18" s="957"/>
      <c r="K18" s="960"/>
      <c r="N18" s="935"/>
      <c r="Q18" s="928"/>
      <c r="S18" s="935"/>
    </row>
    <row r="19" spans="2:19" ht="30" customHeight="1">
      <c r="B19" s="928"/>
      <c r="H19" s="956" t="s">
        <v>10</v>
      </c>
      <c r="I19" s="957" t="s">
        <v>6</v>
      </c>
      <c r="J19" s="961">
        <f>J17*J15/1000</f>
        <v>16.5</v>
      </c>
      <c r="K19" s="957" t="s">
        <v>11</v>
      </c>
      <c r="N19" s="935"/>
      <c r="Q19" s="964" t="s">
        <v>155</v>
      </c>
      <c r="R19" s="525">
        <v>1.8</v>
      </c>
      <c r="S19" s="965" t="s">
        <v>87</v>
      </c>
    </row>
    <row r="20" spans="2:19" ht="7.5" customHeight="1">
      <c r="B20" s="928"/>
      <c r="H20" s="956"/>
      <c r="I20" s="957"/>
      <c r="J20" s="957"/>
      <c r="K20" s="960"/>
      <c r="N20" s="935"/>
      <c r="Q20" s="964"/>
      <c r="R20" s="525"/>
      <c r="S20" s="965"/>
    </row>
    <row r="21" spans="2:19" ht="30" customHeight="1">
      <c r="B21" s="928"/>
      <c r="F21" s="956" t="s">
        <v>156</v>
      </c>
      <c r="G21" s="523">
        <v>1</v>
      </c>
      <c r="H21" s="962" t="s">
        <v>157</v>
      </c>
      <c r="I21" s="957" t="s">
        <v>6</v>
      </c>
      <c r="J21" s="961">
        <f>+J19*G21</f>
        <v>16.5</v>
      </c>
      <c r="K21" s="957" t="s">
        <v>11</v>
      </c>
      <c r="N21" s="935"/>
      <c r="Q21" s="964" t="s">
        <v>158</v>
      </c>
      <c r="R21" s="525">
        <v>7</v>
      </c>
      <c r="S21" s="965" t="s">
        <v>87</v>
      </c>
    </row>
    <row r="22" spans="2:19" ht="7.5" customHeight="1" thickBot="1">
      <c r="B22" s="928"/>
      <c r="H22" s="956"/>
      <c r="I22" s="956"/>
      <c r="J22" s="956"/>
      <c r="K22" s="956"/>
      <c r="N22" s="935"/>
      <c r="Q22" s="964"/>
      <c r="R22" s="525"/>
      <c r="S22" s="965"/>
    </row>
    <row r="23" spans="2:32" ht="30" customHeight="1" thickBot="1">
      <c r="B23" s="928"/>
      <c r="H23" s="956" t="s">
        <v>32</v>
      </c>
      <c r="I23" s="957" t="s">
        <v>6</v>
      </c>
      <c r="J23" s="527">
        <v>12</v>
      </c>
      <c r="K23" s="957" t="s">
        <v>11</v>
      </c>
      <c r="N23" s="935"/>
      <c r="Q23" s="964" t="s">
        <v>159</v>
      </c>
      <c r="R23" s="525">
        <v>2.4</v>
      </c>
      <c r="S23" s="965" t="s">
        <v>87</v>
      </c>
      <c r="W23" s="1044" t="s">
        <v>355</v>
      </c>
      <c r="X23" s="1045"/>
      <c r="Y23" s="1045"/>
      <c r="Z23" s="1045"/>
      <c r="AA23" s="1045"/>
      <c r="AB23" s="1045"/>
      <c r="AC23" s="1045"/>
      <c r="AD23" s="1045"/>
      <c r="AE23" s="1045"/>
      <c r="AF23" s="1046"/>
    </row>
    <row r="24" spans="2:32" ht="7.5" customHeight="1">
      <c r="B24" s="928"/>
      <c r="H24" s="956"/>
      <c r="I24" s="956"/>
      <c r="J24" s="956"/>
      <c r="K24" s="956"/>
      <c r="N24" s="935"/>
      <c r="Q24" s="964"/>
      <c r="R24" s="525"/>
      <c r="S24" s="965"/>
      <c r="W24" s="1047" t="s">
        <v>353</v>
      </c>
      <c r="X24" s="1049" t="s">
        <v>345</v>
      </c>
      <c r="Y24" s="1049" t="s">
        <v>346</v>
      </c>
      <c r="Z24" s="1049" t="s">
        <v>347</v>
      </c>
      <c r="AA24" s="1049" t="s">
        <v>348</v>
      </c>
      <c r="AB24" s="1049" t="s">
        <v>349</v>
      </c>
      <c r="AC24" s="1049" t="s">
        <v>231</v>
      </c>
      <c r="AD24" s="1049" t="s">
        <v>350</v>
      </c>
      <c r="AE24" s="1049" t="s">
        <v>354</v>
      </c>
      <c r="AF24" s="1051" t="s">
        <v>351</v>
      </c>
    </row>
    <row r="25" spans="2:32" ht="30" customHeight="1">
      <c r="B25" s="928"/>
      <c r="H25" s="956" t="s">
        <v>160</v>
      </c>
      <c r="I25" s="957" t="s">
        <v>6</v>
      </c>
      <c r="J25" s="966">
        <f>J21+J23</f>
        <v>28.5</v>
      </c>
      <c r="K25" s="957" t="s">
        <v>11</v>
      </c>
      <c r="N25" s="935"/>
      <c r="Q25" s="964" t="s">
        <v>161</v>
      </c>
      <c r="R25" s="909">
        <f>+R21*R23</f>
        <v>16.8</v>
      </c>
      <c r="S25" s="965" t="s">
        <v>162</v>
      </c>
      <c r="W25" s="1048"/>
      <c r="X25" s="1050"/>
      <c r="Y25" s="1050"/>
      <c r="Z25" s="1050"/>
      <c r="AA25" s="1050"/>
      <c r="AB25" s="1050"/>
      <c r="AC25" s="1050"/>
      <c r="AD25" s="1050"/>
      <c r="AE25" s="1050"/>
      <c r="AF25" s="1052"/>
    </row>
    <row r="26" spans="2:32" ht="6" customHeight="1">
      <c r="B26" s="928"/>
      <c r="H26" s="956"/>
      <c r="I26" s="957"/>
      <c r="J26" s="957"/>
      <c r="K26" s="957"/>
      <c r="N26" s="935"/>
      <c r="Q26" s="964"/>
      <c r="S26" s="965"/>
      <c r="W26" s="1048"/>
      <c r="X26" s="1050"/>
      <c r="Y26" s="1050"/>
      <c r="Z26" s="1050"/>
      <c r="AA26" s="1050"/>
      <c r="AB26" s="1050"/>
      <c r="AC26" s="1050"/>
      <c r="AD26" s="1050"/>
      <c r="AE26" s="1050"/>
      <c r="AF26" s="1052"/>
    </row>
    <row r="27" spans="2:32" ht="30" customHeight="1" thickBot="1">
      <c r="B27" s="928"/>
      <c r="H27" s="956" t="s">
        <v>12</v>
      </c>
      <c r="I27" s="957" t="s">
        <v>6</v>
      </c>
      <c r="J27" s="966">
        <f>J25</f>
        <v>28.5</v>
      </c>
      <c r="K27" s="957" t="s">
        <v>11</v>
      </c>
      <c r="L27" s="967"/>
      <c r="N27" s="935"/>
      <c r="Q27" s="968" t="s">
        <v>163</v>
      </c>
      <c r="R27" s="969">
        <v>29</v>
      </c>
      <c r="S27" s="970" t="s">
        <v>11</v>
      </c>
      <c r="W27" s="510">
        <v>0.5</v>
      </c>
      <c r="X27" s="971">
        <v>0.622</v>
      </c>
      <c r="Y27" s="971">
        <v>0.546</v>
      </c>
      <c r="Z27" s="971">
        <v>0.527</v>
      </c>
      <c r="AA27" s="971">
        <v>0.545</v>
      </c>
      <c r="AB27" s="971">
        <v>0.596</v>
      </c>
      <c r="AC27" s="971">
        <v>0.716</v>
      </c>
      <c r="AD27" s="971">
        <v>0.489</v>
      </c>
      <c r="AE27" s="971">
        <v>0.645</v>
      </c>
      <c r="AF27" s="972">
        <v>0.661</v>
      </c>
    </row>
    <row r="28" spans="2:32" ht="6.75" customHeight="1" thickBot="1">
      <c r="B28" s="928"/>
      <c r="H28" s="973"/>
      <c r="I28" s="973"/>
      <c r="J28" s="973"/>
      <c r="K28" s="973"/>
      <c r="N28" s="935"/>
      <c r="W28" s="510">
        <v>0.75</v>
      </c>
      <c r="X28" s="971">
        <v>0.824</v>
      </c>
      <c r="Y28" s="971">
        <v>0.742</v>
      </c>
      <c r="Z28" s="971">
        <v>0.745</v>
      </c>
      <c r="AA28" s="971">
        <v>0.785</v>
      </c>
      <c r="AB28" s="971">
        <v>0.811</v>
      </c>
      <c r="AC28" s="971">
        <v>0.93</v>
      </c>
      <c r="AD28" s="971">
        <v>0.715</v>
      </c>
      <c r="AE28" s="971">
        <v>0.873</v>
      </c>
      <c r="AF28" s="972"/>
    </row>
    <row r="29" spans="2:32" ht="30" customHeight="1" thickBot="1">
      <c r="B29" s="928"/>
      <c r="C29" s="953" t="s">
        <v>13</v>
      </c>
      <c r="D29" s="933"/>
      <c r="E29" s="933"/>
      <c r="F29" s="933"/>
      <c r="G29" s="933"/>
      <c r="H29" s="933"/>
      <c r="I29" s="933"/>
      <c r="J29" s="933"/>
      <c r="K29" s="974"/>
      <c r="L29" s="933"/>
      <c r="M29" s="975"/>
      <c r="N29" s="935"/>
      <c r="W29" s="510">
        <v>1</v>
      </c>
      <c r="X29" s="971">
        <v>1.049</v>
      </c>
      <c r="Y29" s="971">
        <v>0.957</v>
      </c>
      <c r="Z29" s="971">
        <v>0.995</v>
      </c>
      <c r="AA29" s="971">
        <v>1.025</v>
      </c>
      <c r="AB29" s="971">
        <v>1.055</v>
      </c>
      <c r="AC29" s="971">
        <v>1.189</v>
      </c>
      <c r="AD29" s="971"/>
      <c r="AE29" s="971">
        <v>1.091</v>
      </c>
      <c r="AF29" s="972">
        <v>1.111</v>
      </c>
    </row>
    <row r="30" spans="2:32" ht="7.5" customHeight="1">
      <c r="B30" s="928"/>
      <c r="C30" s="955"/>
      <c r="D30" s="976"/>
      <c r="E30" s="976"/>
      <c r="F30" s="976"/>
      <c r="G30" s="976"/>
      <c r="H30" s="976"/>
      <c r="I30" s="976"/>
      <c r="J30" s="976"/>
      <c r="K30" s="977"/>
      <c r="L30" s="976"/>
      <c r="M30" s="976"/>
      <c r="N30" s="935"/>
      <c r="W30" s="510">
        <v>1.25</v>
      </c>
      <c r="X30" s="971">
        <v>1.38</v>
      </c>
      <c r="Y30" s="971">
        <v>1.278</v>
      </c>
      <c r="Z30" s="971">
        <v>1.245</v>
      </c>
      <c r="AA30" s="971">
        <v>1.265</v>
      </c>
      <c r="AB30" s="971">
        <v>1.291</v>
      </c>
      <c r="AC30" s="971">
        <v>1.502</v>
      </c>
      <c r="AD30" s="971"/>
      <c r="AE30" s="971">
        <v>1.435</v>
      </c>
      <c r="AF30" s="972"/>
    </row>
    <row r="31" spans="2:32" ht="30" customHeight="1">
      <c r="B31" s="928"/>
      <c r="F31" s="956" t="s">
        <v>164</v>
      </c>
      <c r="G31" s="523">
        <v>6</v>
      </c>
      <c r="H31" s="978" t="s">
        <v>14</v>
      </c>
      <c r="I31" s="957" t="s">
        <v>6</v>
      </c>
      <c r="J31" s="979">
        <f>G31*60*60</f>
        <v>21600</v>
      </c>
      <c r="K31" s="959" t="s">
        <v>15</v>
      </c>
      <c r="N31" s="935"/>
      <c r="W31" s="510">
        <v>1.5</v>
      </c>
      <c r="X31" s="971">
        <v>1.61</v>
      </c>
      <c r="Y31" s="971">
        <v>1.5</v>
      </c>
      <c r="Z31" s="971">
        <v>1.481</v>
      </c>
      <c r="AA31" s="971">
        <v>1.505</v>
      </c>
      <c r="AB31" s="971">
        <v>1.527</v>
      </c>
      <c r="AC31" s="971">
        <v>1.72</v>
      </c>
      <c r="AD31" s="971"/>
      <c r="AE31" s="971">
        <v>1.672</v>
      </c>
      <c r="AF31" s="972"/>
    </row>
    <row r="32" spans="2:32" ht="7.5" customHeight="1">
      <c r="B32" s="928"/>
      <c r="F32" s="956"/>
      <c r="G32" s="978"/>
      <c r="H32" s="978"/>
      <c r="I32" s="957"/>
      <c r="J32" s="957"/>
      <c r="K32" s="957"/>
      <c r="N32" s="935"/>
      <c r="W32" s="510">
        <v>2</v>
      </c>
      <c r="X32" s="971">
        <v>2.067</v>
      </c>
      <c r="Y32" s="971">
        <v>1.939</v>
      </c>
      <c r="Z32" s="971">
        <v>1.959</v>
      </c>
      <c r="AA32" s="971">
        <v>1.985</v>
      </c>
      <c r="AB32" s="971">
        <v>2.009</v>
      </c>
      <c r="AC32" s="971">
        <v>2.149</v>
      </c>
      <c r="AD32" s="971"/>
      <c r="AE32" s="971">
        <v>2.107</v>
      </c>
      <c r="AF32" s="972">
        <v>2.127</v>
      </c>
    </row>
    <row r="33" spans="2:32" ht="30" customHeight="1">
      <c r="B33" s="928"/>
      <c r="H33" s="956" t="s">
        <v>16</v>
      </c>
      <c r="I33" s="957" t="s">
        <v>6</v>
      </c>
      <c r="J33" s="980">
        <f>J19*1000/J31</f>
        <v>0.7638888888888888</v>
      </c>
      <c r="K33" s="981" t="s">
        <v>17</v>
      </c>
      <c r="N33" s="935"/>
      <c r="Q33" s="909">
        <f>1.93*2.29*1.8</f>
        <v>7.9554599999999995</v>
      </c>
      <c r="W33" s="510">
        <v>2.5</v>
      </c>
      <c r="X33" s="971">
        <v>2.469</v>
      </c>
      <c r="Y33" s="971">
        <v>2.323</v>
      </c>
      <c r="Z33" s="971">
        <v>2.435</v>
      </c>
      <c r="AA33" s="971">
        <v>2.465</v>
      </c>
      <c r="AB33" s="971">
        <v>2.495</v>
      </c>
      <c r="AC33" s="971">
        <v>2.601</v>
      </c>
      <c r="AD33" s="971"/>
      <c r="AE33" s="971">
        <v>2.522</v>
      </c>
      <c r="AF33" s="972"/>
    </row>
    <row r="34" spans="2:32" ht="7.5" customHeight="1">
      <c r="B34" s="928"/>
      <c r="N34" s="935"/>
      <c r="W34" s="510">
        <v>3</v>
      </c>
      <c r="X34" s="971">
        <v>3.068</v>
      </c>
      <c r="Y34" s="971">
        <v>2.9</v>
      </c>
      <c r="Z34" s="971">
        <v>2.907</v>
      </c>
      <c r="AA34" s="971">
        <v>2.945</v>
      </c>
      <c r="AB34" s="971">
        <v>2.981</v>
      </c>
      <c r="AC34" s="971">
        <v>3.166</v>
      </c>
      <c r="AD34" s="971"/>
      <c r="AE34" s="971">
        <v>3.182</v>
      </c>
      <c r="AF34" s="972"/>
    </row>
    <row r="35" spans="2:32" ht="30" customHeight="1" thickBot="1">
      <c r="B35" s="928"/>
      <c r="G35" s="525"/>
      <c r="H35" s="564" t="s">
        <v>18</v>
      </c>
      <c r="I35" s="523" t="s">
        <v>6</v>
      </c>
      <c r="J35" s="527">
        <v>10</v>
      </c>
      <c r="K35" s="565" t="s">
        <v>19</v>
      </c>
      <c r="N35" s="935"/>
      <c r="W35" s="511">
        <v>4</v>
      </c>
      <c r="X35" s="982">
        <v>4.026</v>
      </c>
      <c r="Y35" s="982">
        <v>3.826</v>
      </c>
      <c r="Z35" s="982">
        <v>3.857</v>
      </c>
      <c r="AA35" s="982">
        <v>3.905</v>
      </c>
      <c r="AB35" s="982">
        <v>3.935</v>
      </c>
      <c r="AC35" s="982">
        <v>4.072</v>
      </c>
      <c r="AD35" s="982"/>
      <c r="AE35" s="982">
        <v>4.152</v>
      </c>
      <c r="AF35" s="983"/>
    </row>
    <row r="36" spans="2:32" ht="7.5" customHeight="1">
      <c r="B36" s="928"/>
      <c r="H36" s="956"/>
      <c r="I36" s="957"/>
      <c r="J36" s="957"/>
      <c r="K36" s="959"/>
      <c r="N36" s="935"/>
      <c r="W36" s="973"/>
      <c r="X36" s="973"/>
      <c r="Y36" s="973"/>
      <c r="Z36" s="973"/>
      <c r="AA36" s="973"/>
      <c r="AB36" s="973"/>
      <c r="AC36" s="973"/>
      <c r="AD36" s="973"/>
      <c r="AE36" s="973"/>
      <c r="AF36" s="973"/>
    </row>
    <row r="37" spans="2:32" ht="30" customHeight="1" thickBot="1">
      <c r="B37" s="928"/>
      <c r="H37" s="956" t="s">
        <v>20</v>
      </c>
      <c r="I37" s="957" t="s">
        <v>6</v>
      </c>
      <c r="J37" s="527">
        <v>15</v>
      </c>
      <c r="K37" s="959" t="s">
        <v>21</v>
      </c>
      <c r="N37" s="935"/>
      <c r="W37" s="973"/>
      <c r="X37" s="973"/>
      <c r="Y37" s="973"/>
      <c r="Z37" s="973"/>
      <c r="AA37" s="973"/>
      <c r="AB37" s="973"/>
      <c r="AC37" s="973"/>
      <c r="AD37" s="973"/>
      <c r="AE37" s="973"/>
      <c r="AF37" s="973"/>
    </row>
    <row r="38" spans="2:32" ht="7.5" customHeight="1" thickBot="1">
      <c r="B38" s="928"/>
      <c r="H38" s="956"/>
      <c r="I38" s="957"/>
      <c r="J38" s="957"/>
      <c r="K38" s="959"/>
      <c r="N38" s="935"/>
      <c r="W38" s="1044" t="s">
        <v>352</v>
      </c>
      <c r="X38" s="1045"/>
      <c r="Y38" s="1045"/>
      <c r="Z38" s="1045"/>
      <c r="AA38" s="1045"/>
      <c r="AB38" s="1045"/>
      <c r="AC38" s="1045"/>
      <c r="AD38" s="1045"/>
      <c r="AE38" s="1045"/>
      <c r="AF38" s="1046"/>
    </row>
    <row r="39" spans="2:32" ht="30" customHeight="1">
      <c r="B39" s="928"/>
      <c r="H39" s="956" t="s">
        <v>22</v>
      </c>
      <c r="I39" s="957" t="s">
        <v>6</v>
      </c>
      <c r="J39" s="984">
        <f>J37/(1.5*J35)</f>
        <v>1</v>
      </c>
      <c r="K39" s="959" t="s">
        <v>23</v>
      </c>
      <c r="N39" s="935"/>
      <c r="W39" s="1047" t="s">
        <v>353</v>
      </c>
      <c r="X39" s="1049" t="s">
        <v>345</v>
      </c>
      <c r="Y39" s="1049" t="s">
        <v>346</v>
      </c>
      <c r="Z39" s="1049" t="s">
        <v>347</v>
      </c>
      <c r="AA39" s="1049" t="s">
        <v>348</v>
      </c>
      <c r="AB39" s="1049" t="s">
        <v>349</v>
      </c>
      <c r="AC39" s="1049" t="s">
        <v>231</v>
      </c>
      <c r="AD39" s="1049" t="s">
        <v>350</v>
      </c>
      <c r="AE39" s="1049" t="s">
        <v>354</v>
      </c>
      <c r="AF39" s="1051" t="s">
        <v>351</v>
      </c>
    </row>
    <row r="40" spans="2:32" ht="7.5" customHeight="1">
      <c r="B40" s="928"/>
      <c r="H40" s="956"/>
      <c r="I40" s="957"/>
      <c r="J40" s="957"/>
      <c r="K40" s="959"/>
      <c r="N40" s="935"/>
      <c r="W40" s="1048"/>
      <c r="X40" s="1050"/>
      <c r="Y40" s="1050"/>
      <c r="Z40" s="1050"/>
      <c r="AA40" s="1050"/>
      <c r="AB40" s="1050"/>
      <c r="AC40" s="1050"/>
      <c r="AD40" s="1050"/>
      <c r="AE40" s="1050"/>
      <c r="AF40" s="1052"/>
    </row>
    <row r="41" spans="2:32" ht="30" customHeight="1">
      <c r="B41" s="928"/>
      <c r="H41" s="956" t="s">
        <v>24</v>
      </c>
      <c r="I41" s="957" t="s">
        <v>6</v>
      </c>
      <c r="J41" s="527">
        <v>150</v>
      </c>
      <c r="K41" s="530" t="s">
        <v>286</v>
      </c>
      <c r="N41" s="935"/>
      <c r="W41" s="1048"/>
      <c r="X41" s="1050"/>
      <c r="Y41" s="1050"/>
      <c r="Z41" s="1050"/>
      <c r="AA41" s="1050"/>
      <c r="AB41" s="1050"/>
      <c r="AC41" s="1050"/>
      <c r="AD41" s="1050"/>
      <c r="AE41" s="1050"/>
      <c r="AF41" s="1052"/>
    </row>
    <row r="42" spans="2:32" ht="30" customHeight="1">
      <c r="B42" s="928"/>
      <c r="C42" s="985" t="s">
        <v>26</v>
      </c>
      <c r="K42" s="960"/>
      <c r="N42" s="935"/>
      <c r="W42" s="510">
        <v>0.5</v>
      </c>
      <c r="X42" s="971">
        <f aca="true" t="shared" si="0" ref="X42:AF50">X27*25.4</f>
        <v>15.798799999999998</v>
      </c>
      <c r="Y42" s="971">
        <f t="shared" si="0"/>
        <v>13.8684</v>
      </c>
      <c r="Z42" s="971">
        <f t="shared" si="0"/>
        <v>13.3858</v>
      </c>
      <c r="AA42" s="971">
        <f>AA27*25.4</f>
        <v>13.843</v>
      </c>
      <c r="AB42" s="971">
        <f t="shared" si="0"/>
        <v>15.138399999999999</v>
      </c>
      <c r="AC42" s="971">
        <f t="shared" si="0"/>
        <v>18.1864</v>
      </c>
      <c r="AD42" s="971">
        <f t="shared" si="0"/>
        <v>12.420599999999999</v>
      </c>
      <c r="AE42" s="971">
        <f t="shared" si="0"/>
        <v>16.383</v>
      </c>
      <c r="AF42" s="972">
        <f t="shared" si="0"/>
        <v>16.7894</v>
      </c>
    </row>
    <row r="43" spans="2:32" ht="30" customHeight="1">
      <c r="B43" s="928"/>
      <c r="K43" s="960"/>
      <c r="N43" s="935"/>
      <c r="W43" s="510">
        <v>0.75</v>
      </c>
      <c r="X43" s="971">
        <f t="shared" si="0"/>
        <v>20.929599999999997</v>
      </c>
      <c r="Y43" s="971">
        <f t="shared" si="0"/>
        <v>18.846799999999998</v>
      </c>
      <c r="Z43" s="971">
        <f t="shared" si="0"/>
        <v>18.923</v>
      </c>
      <c r="AA43" s="971">
        <f t="shared" si="0"/>
        <v>19.939</v>
      </c>
      <c r="AB43" s="971">
        <f t="shared" si="0"/>
        <v>20.5994</v>
      </c>
      <c r="AC43" s="971">
        <f t="shared" si="0"/>
        <v>23.622</v>
      </c>
      <c r="AD43" s="971">
        <f t="shared" si="0"/>
        <v>18.160999999999998</v>
      </c>
      <c r="AE43" s="971">
        <f t="shared" si="0"/>
        <v>22.1742</v>
      </c>
      <c r="AF43" s="972"/>
    </row>
    <row r="44" spans="2:32" ht="30" customHeight="1">
      <c r="B44" s="928"/>
      <c r="D44" s="973"/>
      <c r="E44" s="986"/>
      <c r="F44" s="976"/>
      <c r="G44" s="976"/>
      <c r="H44" s="987"/>
      <c r="I44" s="957" t="s">
        <v>6</v>
      </c>
      <c r="J44" s="988">
        <f>(J33/(280*J41*J39^0.54))^0.38</f>
        <v>0.01580217048684792</v>
      </c>
      <c r="K44" s="957" t="s">
        <v>28</v>
      </c>
      <c r="N44" s="935"/>
      <c r="P44" s="909">
        <f>J44/0.0254</f>
        <v>0.6221326963325953</v>
      </c>
      <c r="Q44" s="909" t="s">
        <v>331</v>
      </c>
      <c r="W44" s="510">
        <v>1</v>
      </c>
      <c r="X44" s="971">
        <f t="shared" si="0"/>
        <v>26.644599999999997</v>
      </c>
      <c r="Y44" s="971">
        <f t="shared" si="0"/>
        <v>24.307799999999997</v>
      </c>
      <c r="Z44" s="971">
        <f t="shared" si="0"/>
        <v>25.273</v>
      </c>
      <c r="AA44" s="971">
        <f t="shared" si="0"/>
        <v>26.034999999999997</v>
      </c>
      <c r="AB44" s="971">
        <f t="shared" si="0"/>
        <v>26.796999999999997</v>
      </c>
      <c r="AC44" s="971">
        <f t="shared" si="0"/>
        <v>30.2006</v>
      </c>
      <c r="AD44" s="971"/>
      <c r="AE44" s="971">
        <f t="shared" si="0"/>
        <v>27.711399999999998</v>
      </c>
      <c r="AF44" s="972">
        <f t="shared" si="0"/>
        <v>28.219399999999997</v>
      </c>
    </row>
    <row r="45" spans="2:32" ht="30" customHeight="1">
      <c r="B45" s="928"/>
      <c r="F45" s="976"/>
      <c r="G45" s="976"/>
      <c r="K45" s="957"/>
      <c r="N45" s="935"/>
      <c r="W45" s="510">
        <v>1.25</v>
      </c>
      <c r="X45" s="971">
        <f t="shared" si="0"/>
        <v>35.05199999999999</v>
      </c>
      <c r="Y45" s="971">
        <f t="shared" si="0"/>
        <v>32.4612</v>
      </c>
      <c r="Z45" s="971">
        <f t="shared" si="0"/>
        <v>31.623</v>
      </c>
      <c r="AA45" s="971">
        <f t="shared" si="0"/>
        <v>32.13099999999999</v>
      </c>
      <c r="AB45" s="971">
        <f t="shared" si="0"/>
        <v>32.791399999999996</v>
      </c>
      <c r="AC45" s="971">
        <f t="shared" si="0"/>
        <v>38.1508</v>
      </c>
      <c r="AD45" s="971"/>
      <c r="AE45" s="971">
        <f t="shared" si="0"/>
        <v>36.449</v>
      </c>
      <c r="AF45" s="972"/>
    </row>
    <row r="46" spans="2:32" ht="30" customHeight="1">
      <c r="B46" s="928"/>
      <c r="D46" s="956" t="s">
        <v>29</v>
      </c>
      <c r="E46" s="957" t="s">
        <v>6</v>
      </c>
      <c r="F46" s="535">
        <v>0.75</v>
      </c>
      <c r="G46" s="957" t="s">
        <v>76</v>
      </c>
      <c r="H46" s="978" t="s">
        <v>165</v>
      </c>
      <c r="J46" s="989">
        <f>IF(K41="AG-SCH40",VLOOKUP(F46,$W$27:$AF$35,2),IF(K41="AG-SCH80",VLOOKUP(F46,$W$27:$AF$35,3),IF(K41="CU-K",VLOOKUP(F46,$W$27:$AF$35,4),IF(K41="CU-L",VLOOKUP(F46,$W$27:$AF$35,5),IF(K41="CU-M",VLOOKUP(F46,$W$27:$AF$35,6),IF(K41="PVCP",VLOOKUP(F46,$W$27:$AF$35,7),IF(K41="CPVC",VLOOKUP(F46,$W$27:$AF$35,8),"PENDEJO")))))))</f>
        <v>0.93</v>
      </c>
      <c r="K46" s="957" t="s">
        <v>166</v>
      </c>
      <c r="N46" s="935"/>
      <c r="P46" s="909">
        <f>J46*0.0254</f>
        <v>0.023622</v>
      </c>
      <c r="W46" s="510">
        <v>1.5</v>
      </c>
      <c r="X46" s="971">
        <f t="shared" si="0"/>
        <v>40.894</v>
      </c>
      <c r="Y46" s="971">
        <f t="shared" si="0"/>
        <v>38.099999999999994</v>
      </c>
      <c r="Z46" s="971">
        <f t="shared" si="0"/>
        <v>37.6174</v>
      </c>
      <c r="AA46" s="971">
        <f t="shared" si="0"/>
        <v>38.227</v>
      </c>
      <c r="AB46" s="971">
        <f t="shared" si="0"/>
        <v>38.785799999999995</v>
      </c>
      <c r="AC46" s="971">
        <f t="shared" si="0"/>
        <v>43.687999999999995</v>
      </c>
      <c r="AD46" s="971"/>
      <c r="AE46" s="971">
        <f t="shared" si="0"/>
        <v>42.468799999999995</v>
      </c>
      <c r="AF46" s="972"/>
    </row>
    <row r="47" spans="2:32" ht="7.5" customHeight="1">
      <c r="B47" s="928"/>
      <c r="F47" s="990"/>
      <c r="K47" s="957"/>
      <c r="N47" s="935"/>
      <c r="W47" s="510">
        <v>2</v>
      </c>
      <c r="X47" s="971">
        <f t="shared" si="0"/>
        <v>52.5018</v>
      </c>
      <c r="Y47" s="971">
        <f t="shared" si="0"/>
        <v>49.2506</v>
      </c>
      <c r="Z47" s="971">
        <f t="shared" si="0"/>
        <v>49.7586</v>
      </c>
      <c r="AA47" s="971">
        <f t="shared" si="0"/>
        <v>50.419</v>
      </c>
      <c r="AB47" s="971">
        <f t="shared" si="0"/>
        <v>51.0286</v>
      </c>
      <c r="AC47" s="971">
        <f t="shared" si="0"/>
        <v>54.584599999999995</v>
      </c>
      <c r="AD47" s="971"/>
      <c r="AE47" s="971">
        <f t="shared" si="0"/>
        <v>53.5178</v>
      </c>
      <c r="AF47" s="972">
        <f t="shared" si="0"/>
        <v>54.02579999999999</v>
      </c>
    </row>
    <row r="48" spans="2:32" ht="30" customHeight="1">
      <c r="B48" s="928"/>
      <c r="H48" s="956" t="s">
        <v>30</v>
      </c>
      <c r="I48" s="957" t="s">
        <v>6</v>
      </c>
      <c r="J48" s="980">
        <f>ROUND(4*J33/1000/(PI()*(P46)^2),2)</f>
        <v>1.74</v>
      </c>
      <c r="K48" s="957" t="s">
        <v>31</v>
      </c>
      <c r="L48" s="991" t="str">
        <f>IF(J48&lt;2,"Ok","AUMENTAR DIAMETRO")</f>
        <v>Ok</v>
      </c>
      <c r="N48" s="935"/>
      <c r="W48" s="510">
        <v>2.5</v>
      </c>
      <c r="X48" s="971">
        <f t="shared" si="0"/>
        <v>62.712599999999995</v>
      </c>
      <c r="Y48" s="971">
        <f t="shared" si="0"/>
        <v>59.0042</v>
      </c>
      <c r="Z48" s="971">
        <f t="shared" si="0"/>
        <v>61.849</v>
      </c>
      <c r="AA48" s="971">
        <f t="shared" si="0"/>
        <v>62.61099999999999</v>
      </c>
      <c r="AB48" s="971">
        <f t="shared" si="0"/>
        <v>63.373</v>
      </c>
      <c r="AC48" s="971">
        <f t="shared" si="0"/>
        <v>66.0654</v>
      </c>
      <c r="AD48" s="971"/>
      <c r="AE48" s="971">
        <f t="shared" si="0"/>
        <v>64.05879999999999</v>
      </c>
      <c r="AF48" s="972"/>
    </row>
    <row r="49" spans="2:32" ht="7.5" customHeight="1">
      <c r="B49" s="928"/>
      <c r="K49" s="957"/>
      <c r="N49" s="935"/>
      <c r="W49" s="510">
        <v>3</v>
      </c>
      <c r="X49" s="971">
        <f t="shared" si="0"/>
        <v>77.9272</v>
      </c>
      <c r="Y49" s="971">
        <f t="shared" si="0"/>
        <v>73.66</v>
      </c>
      <c r="Z49" s="971">
        <f t="shared" si="0"/>
        <v>73.8378</v>
      </c>
      <c r="AA49" s="971">
        <f t="shared" si="0"/>
        <v>74.803</v>
      </c>
      <c r="AB49" s="971">
        <f t="shared" si="0"/>
        <v>75.7174</v>
      </c>
      <c r="AC49" s="971">
        <f t="shared" si="0"/>
        <v>80.4164</v>
      </c>
      <c r="AD49" s="971"/>
      <c r="AE49" s="971">
        <f t="shared" si="0"/>
        <v>80.8228</v>
      </c>
      <c r="AF49" s="972"/>
    </row>
    <row r="50" spans="2:32" ht="30" customHeight="1" thickBot="1">
      <c r="B50" s="928"/>
      <c r="C50" s="956"/>
      <c r="D50" s="956"/>
      <c r="E50" s="956"/>
      <c r="F50" s="956"/>
      <c r="G50" s="956"/>
      <c r="H50" s="956"/>
      <c r="I50" s="956"/>
      <c r="J50" s="956"/>
      <c r="K50" s="956"/>
      <c r="L50" s="956"/>
      <c r="N50" s="935"/>
      <c r="W50" s="511">
        <v>4</v>
      </c>
      <c r="X50" s="982">
        <f t="shared" si="0"/>
        <v>102.26039999999999</v>
      </c>
      <c r="Y50" s="982">
        <f t="shared" si="0"/>
        <v>97.18039999999999</v>
      </c>
      <c r="Z50" s="982">
        <f t="shared" si="0"/>
        <v>97.9678</v>
      </c>
      <c r="AA50" s="982">
        <f t="shared" si="0"/>
        <v>99.18699999999998</v>
      </c>
      <c r="AB50" s="982">
        <f t="shared" si="0"/>
        <v>99.949</v>
      </c>
      <c r="AC50" s="982">
        <f t="shared" si="0"/>
        <v>103.4288</v>
      </c>
      <c r="AD50" s="982"/>
      <c r="AE50" s="982">
        <f t="shared" si="0"/>
        <v>105.46079999999999</v>
      </c>
      <c r="AF50" s="983"/>
    </row>
    <row r="51" spans="2:14" ht="7.5" customHeight="1">
      <c r="B51" s="928"/>
      <c r="F51" s="957"/>
      <c r="G51" s="957"/>
      <c r="H51" s="957"/>
      <c r="I51" s="957"/>
      <c r="J51" s="992"/>
      <c r="K51" s="978"/>
      <c r="L51" s="973"/>
      <c r="N51" s="935"/>
    </row>
    <row r="52" spans="2:32" ht="30" customHeight="1">
      <c r="B52" s="928"/>
      <c r="D52" s="993"/>
      <c r="E52" s="994" t="str">
        <f>"SE SOLICITA ACOMETIDA EN ø "</f>
        <v>SE SOLICITA ACOMETIDA EN ø </v>
      </c>
      <c r="F52" s="993"/>
      <c r="G52" s="993"/>
      <c r="H52" s="993"/>
      <c r="I52" s="1040">
        <v>0.75</v>
      </c>
      <c r="J52" s="1040"/>
      <c r="K52" s="995" t="s">
        <v>76</v>
      </c>
      <c r="L52" s="993"/>
      <c r="M52" s="993"/>
      <c r="N52" s="935"/>
      <c r="W52" s="513" t="s">
        <v>286</v>
      </c>
      <c r="Z52" s="514">
        <v>2.5</v>
      </c>
      <c r="AA52" s="512">
        <f>IF(W52="AG-SCH40",VLOOKUP(Z52,$W$42:$AF$50,2),IF(W52="AG-SCH80",VLOOKUP(Z52,$W$42:$AF$50,3),IF(W52="CU-K",VLOOKUP(Z52,$W$42:$AF$50,4),IF(W52="CU-L",VLOOKUP(Z52,$W$42:$AF$50,5),IF(W52="CU-M",VLOOKUP(Z52,$W$42:$AF$50,6),IF(W52="PVCP",VLOOKUP(Z52,$W$42:$AF$50,7),IF(W52="CPVC",VLOOKUP(Z52,$W$42:$AF$50,8),"PENDEJO")))))))</f>
        <v>66.0654</v>
      </c>
      <c r="AB52" s="1053" t="s">
        <v>356</v>
      </c>
      <c r="AC52" s="1053"/>
      <c r="AD52" s="996"/>
      <c r="AE52" s="996"/>
      <c r="AF52" s="996"/>
    </row>
    <row r="53" spans="2:32" s="1000" customFormat="1" ht="12" customHeight="1" thickBot="1">
      <c r="B53" s="997"/>
      <c r="C53" s="998"/>
      <c r="D53" s="998"/>
      <c r="E53" s="998"/>
      <c r="F53" s="998"/>
      <c r="G53" s="998"/>
      <c r="H53" s="998"/>
      <c r="I53" s="998"/>
      <c r="J53" s="998"/>
      <c r="K53" s="998"/>
      <c r="L53" s="998"/>
      <c r="M53" s="998"/>
      <c r="N53" s="999"/>
      <c r="W53" s="513" t="s">
        <v>286</v>
      </c>
      <c r="X53" s="909"/>
      <c r="Y53" s="909"/>
      <c r="Z53" s="514">
        <v>2.5</v>
      </c>
      <c r="AA53" s="512">
        <f>IF(W53="AG-SCH40",VLOOKUP(Z53,$W$27:$AF$35,2),IF(W53="AG-SCH80",VLOOKUP(Z53,$W$27:$AF$35,3),IF(W53="CU-K",VLOOKUP(Z53,$W$27:$AF$35,4),IF(W53="CU-L",VLOOKUP(Z53,$W$27:$AF$35,5),IF(W53="CU-M",VLOOKUP(Z53,$W$27:$AF$35,6),IF(W53="PVCP",VLOOKUP(Z53,$W$27:$AF$35,7),IF(W53="CPVC",VLOOKUP(Z53,$W$27:$AF$35,8),"PENDEJO")))))))</f>
        <v>2.601</v>
      </c>
      <c r="AB53" s="1053" t="s">
        <v>358</v>
      </c>
      <c r="AC53" s="1053"/>
      <c r="AD53" s="996"/>
      <c r="AE53" s="996"/>
      <c r="AF53" s="996"/>
    </row>
    <row r="54" s="1000" customFormat="1" ht="14.25"/>
    <row r="55" s="1000" customFormat="1" ht="14.25"/>
    <row r="56" s="1000" customFormat="1" ht="14.25"/>
    <row r="57" s="1000" customFormat="1" ht="14.25"/>
    <row r="58" s="1000" customFormat="1" ht="14.25"/>
    <row r="59" s="1000" customFormat="1" ht="14.25"/>
    <row r="60" s="1000" customFormat="1" ht="14.25"/>
    <row r="61" s="1000" customFormat="1" ht="14.25"/>
    <row r="62" s="1000" customFormat="1" ht="14.25"/>
    <row r="63" s="1000" customFormat="1" ht="14.25"/>
    <row r="64" s="1000" customFormat="1" ht="14.25"/>
    <row r="65" s="1000" customFormat="1" ht="14.25"/>
    <row r="66" s="1000" customFormat="1" ht="14.25"/>
    <row r="67" s="1000" customFormat="1" ht="14.25"/>
    <row r="68" s="1000" customFormat="1" ht="14.25"/>
    <row r="69" s="1000" customFormat="1" ht="14.25"/>
    <row r="70" s="1000" customFormat="1" ht="14.25"/>
    <row r="71" s="1000" customFormat="1" ht="14.25"/>
    <row r="72" s="1000" customFormat="1" ht="14.25"/>
    <row r="73" s="1000" customFormat="1" ht="14.25"/>
    <row r="74" s="1000" customFormat="1" ht="14.25"/>
    <row r="75" s="1000" customFormat="1" ht="14.25"/>
    <row r="76" s="1000" customFormat="1" ht="14.25"/>
    <row r="77" s="1000" customFormat="1" ht="14.25"/>
    <row r="78" s="1000" customFormat="1" ht="14.25"/>
    <row r="79" s="1000" customFormat="1" ht="14.25"/>
    <row r="80" s="1000" customFormat="1" ht="14.25"/>
    <row r="81" s="1000" customFormat="1" ht="14.25"/>
    <row r="82" s="1000" customFormat="1" ht="14.25"/>
    <row r="83" s="1000" customFormat="1" ht="14.25"/>
    <row r="84" s="1000" customFormat="1" ht="14.25"/>
    <row r="85" s="1000" customFormat="1" ht="14.25"/>
    <row r="86" s="1000" customFormat="1" ht="14.25"/>
    <row r="87" s="1000" customFormat="1" ht="14.25"/>
    <row r="88" s="1000" customFormat="1" ht="14.25"/>
    <row r="89" s="1000" customFormat="1" ht="14.25"/>
    <row r="90" s="1000" customFormat="1" ht="14.25"/>
    <row r="91" s="1000" customFormat="1" ht="14.25"/>
    <row r="92" s="1000" customFormat="1" ht="14.25"/>
    <row r="93" s="1000" customFormat="1" ht="14.25"/>
    <row r="94" s="1000" customFormat="1" ht="14.25"/>
    <row r="95" s="1000" customFormat="1" ht="14.25"/>
    <row r="96" s="1000" customFormat="1" ht="14.25"/>
    <row r="97" s="1000" customFormat="1" ht="14.25"/>
    <row r="98" s="1000" customFormat="1" ht="14.25"/>
    <row r="99" s="1000" customFormat="1" ht="14.25"/>
    <row r="100" s="1000" customFormat="1" ht="14.25"/>
    <row r="101" s="1000" customFormat="1" ht="14.25"/>
    <row r="102" s="1000" customFormat="1" ht="14.25" customHeight="1"/>
    <row r="103" s="1000" customFormat="1" ht="14.25"/>
    <row r="104" s="1000" customFormat="1" ht="14.25" customHeight="1"/>
    <row r="105" s="1000" customFormat="1" ht="14.25" customHeight="1"/>
    <row r="106" s="1000" customFormat="1" ht="14.25" customHeight="1"/>
    <row r="107" s="1000" customFormat="1" ht="14.25" customHeight="1"/>
    <row r="108" s="1000" customFormat="1" ht="14.25" customHeight="1"/>
    <row r="109" s="1000" customFormat="1" ht="14.25"/>
    <row r="110" s="1001" customFormat="1" ht="15" customHeight="1"/>
    <row r="111" s="1000" customFormat="1" ht="14.25" customHeight="1"/>
    <row r="112" s="1000" customFormat="1" ht="14.25" customHeight="1"/>
    <row r="113" s="1000" customFormat="1" ht="14.25" customHeight="1"/>
    <row r="114" s="1000" customFormat="1" ht="14.25" customHeight="1"/>
    <row r="115" s="1000" customFormat="1" ht="14.25" customHeight="1"/>
    <row r="116" s="1000" customFormat="1" ht="14.25" customHeight="1"/>
    <row r="117" s="1000" customFormat="1" ht="14.25"/>
    <row r="118" s="1000" customFormat="1" ht="14.25"/>
    <row r="119" s="1000" customFormat="1" ht="14.25"/>
    <row r="120" s="1000" customFormat="1" ht="14.25"/>
    <row r="121" s="1000" customFormat="1" ht="14.25"/>
    <row r="122" s="1000" customFormat="1" ht="14.25"/>
    <row r="123" s="1000" customFormat="1" ht="14.25"/>
    <row r="124" s="1000" customFormat="1" ht="14.25"/>
    <row r="125" s="1000" customFormat="1" ht="14.25"/>
    <row r="126" s="1000" customFormat="1" ht="14.25"/>
    <row r="127" s="1000" customFormat="1" ht="14.25"/>
    <row r="128" s="1000" customFormat="1" ht="14.25"/>
    <row r="129" s="1000" customFormat="1" ht="14.25"/>
    <row r="130" s="1000" customFormat="1" ht="14.25"/>
    <row r="131" s="1000" customFormat="1" ht="14.25"/>
    <row r="132" s="1000" customFormat="1" ht="14.25"/>
    <row r="133" s="1000" customFormat="1" ht="14.25"/>
    <row r="134" s="1000" customFormat="1" ht="14.25"/>
    <row r="135" s="1000" customFormat="1" ht="14.25"/>
    <row r="136" s="1000" customFormat="1" ht="14.25"/>
    <row r="137" s="1000" customFormat="1" ht="14.25"/>
    <row r="138" s="1000" customFormat="1" ht="14.25"/>
    <row r="139" s="1000" customFormat="1" ht="14.25"/>
    <row r="140" s="1000" customFormat="1" ht="14.25"/>
    <row r="141" s="1000" customFormat="1" ht="14.25"/>
    <row r="142" s="1000" customFormat="1" ht="14.25"/>
    <row r="143" s="1000" customFormat="1" ht="14.25"/>
    <row r="144" s="1000" customFormat="1" ht="14.25"/>
    <row r="145" s="1000" customFormat="1" ht="14.25"/>
    <row r="146" s="1000" customFormat="1" ht="14.25"/>
    <row r="147" s="1000" customFormat="1" ht="14.25"/>
    <row r="148" s="1000" customFormat="1" ht="14.25"/>
    <row r="149" s="1000" customFormat="1" ht="14.25"/>
    <row r="150" s="1000" customFormat="1" ht="14.25"/>
    <row r="152" s="960" customFormat="1" ht="12.75"/>
    <row r="153" s="1002" customFormat="1" ht="15"/>
  </sheetData>
  <sheetProtection/>
  <mergeCells count="26">
    <mergeCell ref="AA39:AA41"/>
    <mergeCell ref="AB39:AB41"/>
    <mergeCell ref="AC39:AC41"/>
    <mergeCell ref="AD39:AD41"/>
    <mergeCell ref="AE39:AE41"/>
    <mergeCell ref="AF39:AF41"/>
    <mergeCell ref="Y39:Y41"/>
    <mergeCell ref="Z39:Z41"/>
    <mergeCell ref="AF24:AF26"/>
    <mergeCell ref="W38:AF38"/>
    <mergeCell ref="AB52:AC52"/>
    <mergeCell ref="AB53:AC53"/>
    <mergeCell ref="AD24:AD26"/>
    <mergeCell ref="AE24:AE26"/>
    <mergeCell ref="AB24:AB26"/>
    <mergeCell ref="AC24:AC26"/>
    <mergeCell ref="I52:J52"/>
    <mergeCell ref="Q17:S17"/>
    <mergeCell ref="W23:AF23"/>
    <mergeCell ref="W24:W26"/>
    <mergeCell ref="X24:X26"/>
    <mergeCell ref="Y24:Y26"/>
    <mergeCell ref="Z24:Z26"/>
    <mergeCell ref="AA24:AA26"/>
    <mergeCell ref="W39:W41"/>
    <mergeCell ref="X39:X41"/>
  </mergeCells>
  <printOptions horizontalCentered="1" verticalCentered="1"/>
  <pageMargins left="0.75" right="0.75" top="0.69" bottom="0.42" header="0" footer="0"/>
  <pageSetup fitToHeight="1" fitToWidth="1" horizontalDpi="600" verticalDpi="600" orientation="portrait" scale="67" r:id="rId5"/>
  <drawing r:id="rId4"/>
  <legacyDrawing r:id="rId3"/>
  <oleObjects>
    <oleObject progId="Equation.3" shapeId="94169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2:AH76"/>
  <sheetViews>
    <sheetView view="pageBreakPreview" zoomScale="55" zoomScaleNormal="70" zoomScaleSheetLayoutView="55" zoomScalePageLayoutView="0" workbookViewId="0" topLeftCell="A1">
      <selection activeCell="E7" sqref="E7:E8"/>
    </sheetView>
  </sheetViews>
  <sheetFormatPr defaultColWidth="12.7109375" defaultRowHeight="12.75"/>
  <cols>
    <col min="1" max="1" width="6.7109375" style="49" customWidth="1"/>
    <col min="2" max="2" width="2.00390625" style="49" customWidth="1"/>
    <col min="3" max="3" width="3.7109375" style="93" customWidth="1"/>
    <col min="4" max="4" width="4.421875" style="93" customWidth="1"/>
    <col min="5" max="5" width="12.7109375" style="93" customWidth="1"/>
    <col min="6" max="6" width="11.8515625" style="94" customWidth="1"/>
    <col min="7" max="7" width="10.28125" style="95" customWidth="1"/>
    <col min="8" max="9" width="12.00390625" style="96" customWidth="1"/>
    <col min="10" max="10" width="13.7109375" style="95" customWidth="1"/>
    <col min="11" max="11" width="9.7109375" style="97" customWidth="1"/>
    <col min="12" max="12" width="9.8515625" style="97" customWidth="1"/>
    <col min="13" max="13" width="11.00390625" style="95" customWidth="1"/>
    <col min="14" max="14" width="7.421875" style="97" customWidth="1"/>
    <col min="15" max="15" width="11.57421875" style="98" customWidth="1"/>
    <col min="16" max="16" width="10.8515625" style="95" customWidth="1"/>
    <col min="17" max="17" width="12.421875" style="95" customWidth="1"/>
    <col min="18" max="18" width="2.421875" style="49" customWidth="1"/>
    <col min="19" max="19" width="1.7109375" style="49" customWidth="1"/>
    <col min="20" max="20" width="7.57421875" style="49" hidden="1" customWidth="1"/>
    <col min="21" max="21" width="12.57421875" style="49" hidden="1" customWidth="1"/>
    <col min="22" max="42" width="0" style="49" hidden="1" customWidth="1"/>
    <col min="43" max="16384" width="12.7109375" style="49" customWidth="1"/>
  </cols>
  <sheetData>
    <row r="1" ht="15" thickBot="1"/>
    <row r="2" spans="2:18" ht="12" customHeight="1" thickBot="1">
      <c r="B2" s="50"/>
      <c r="C2" s="99"/>
      <c r="D2" s="99"/>
      <c r="E2" s="99"/>
      <c r="F2" s="100"/>
      <c r="G2" s="101"/>
      <c r="H2" s="102"/>
      <c r="I2" s="102"/>
      <c r="J2" s="101"/>
      <c r="K2" s="103"/>
      <c r="L2" s="103"/>
      <c r="M2" s="101"/>
      <c r="N2" s="103"/>
      <c r="O2" s="104"/>
      <c r="P2" s="101"/>
      <c r="Q2" s="101"/>
      <c r="R2" s="52"/>
    </row>
    <row r="3" spans="2:21" ht="69.75" customHeight="1" thickBot="1">
      <c r="B3" s="53"/>
      <c r="C3" s="54"/>
      <c r="D3" s="55"/>
      <c r="E3" s="55"/>
      <c r="F3" s="105"/>
      <c r="G3" s="55"/>
      <c r="H3" s="56"/>
      <c r="I3" s="56"/>
      <c r="J3" s="55"/>
      <c r="K3" s="55"/>
      <c r="L3" s="55"/>
      <c r="M3" s="58"/>
      <c r="N3" s="57"/>
      <c r="O3" s="57"/>
      <c r="P3" s="57"/>
      <c r="Q3" s="59"/>
      <c r="R3" s="60"/>
      <c r="U3" s="608"/>
    </row>
    <row r="4" spans="2:18" ht="6.75" customHeight="1" thickBot="1">
      <c r="B4" s="53"/>
      <c r="C4" s="106"/>
      <c r="D4" s="106"/>
      <c r="E4" s="106"/>
      <c r="F4" s="107"/>
      <c r="G4" s="108"/>
      <c r="H4" s="109"/>
      <c r="I4" s="109"/>
      <c r="J4" s="108"/>
      <c r="K4" s="110"/>
      <c r="L4" s="110"/>
      <c r="M4" s="108"/>
      <c r="N4" s="110"/>
      <c r="O4" s="111"/>
      <c r="P4" s="108"/>
      <c r="Q4" s="108"/>
      <c r="R4" s="60"/>
    </row>
    <row r="5" spans="2:34" ht="41.25" customHeight="1" thickBot="1">
      <c r="B5" s="53"/>
      <c r="C5" s="112" t="s">
        <v>33</v>
      </c>
      <c r="D5" s="113"/>
      <c r="E5" s="113"/>
      <c r="F5" s="114"/>
      <c r="G5" s="115" t="s">
        <v>167</v>
      </c>
      <c r="H5" s="116"/>
      <c r="I5" s="116"/>
      <c r="J5" s="117"/>
      <c r="K5" s="118"/>
      <c r="L5" s="118"/>
      <c r="M5" s="108"/>
      <c r="N5" s="65" t="s">
        <v>2</v>
      </c>
      <c r="O5" s="228">
        <v>3</v>
      </c>
      <c r="P5" s="66" t="s">
        <v>3</v>
      </c>
      <c r="Q5" s="67">
        <v>12</v>
      </c>
      <c r="R5" s="60"/>
      <c r="Y5" s="1044" t="s">
        <v>355</v>
      </c>
      <c r="Z5" s="1045"/>
      <c r="AA5" s="1045"/>
      <c r="AB5" s="1045"/>
      <c r="AC5" s="1045"/>
      <c r="AD5" s="1045"/>
      <c r="AE5" s="1045"/>
      <c r="AF5" s="1045"/>
      <c r="AG5" s="1045"/>
      <c r="AH5" s="1046"/>
    </row>
    <row r="6" spans="2:34" ht="10.5" customHeight="1" thickBot="1">
      <c r="B6" s="53"/>
      <c r="C6" s="106"/>
      <c r="D6" s="106"/>
      <c r="E6" s="106"/>
      <c r="F6" s="107"/>
      <c r="G6" s="108"/>
      <c r="H6" s="109"/>
      <c r="I6" s="109"/>
      <c r="J6" s="108"/>
      <c r="K6" s="110"/>
      <c r="L6" s="110"/>
      <c r="M6" s="108"/>
      <c r="N6" s="110"/>
      <c r="O6" s="111"/>
      <c r="P6" s="108"/>
      <c r="Q6" s="108"/>
      <c r="R6" s="60"/>
      <c r="Y6" s="1047" t="s">
        <v>353</v>
      </c>
      <c r="Z6" s="1049" t="s">
        <v>345</v>
      </c>
      <c r="AA6" s="1049" t="s">
        <v>346</v>
      </c>
      <c r="AB6" s="1049" t="s">
        <v>347</v>
      </c>
      <c r="AC6" s="1049" t="s">
        <v>348</v>
      </c>
      <c r="AD6" s="1049" t="s">
        <v>349</v>
      </c>
      <c r="AE6" s="1049" t="s">
        <v>231</v>
      </c>
      <c r="AF6" s="1049" t="s">
        <v>350</v>
      </c>
      <c r="AG6" s="1049" t="s">
        <v>354</v>
      </c>
      <c r="AH6" s="1051" t="s">
        <v>351</v>
      </c>
    </row>
    <row r="7" spans="2:34" ht="28.5" customHeight="1" thickBot="1">
      <c r="B7" s="53"/>
      <c r="C7" s="119" t="s">
        <v>34</v>
      </c>
      <c r="D7" s="120"/>
      <c r="E7" s="1054" t="s">
        <v>168</v>
      </c>
      <c r="F7" s="121" t="s">
        <v>35</v>
      </c>
      <c r="G7" s="122" t="s">
        <v>36</v>
      </c>
      <c r="H7" s="123" t="s">
        <v>37</v>
      </c>
      <c r="I7" s="124" t="s">
        <v>165</v>
      </c>
      <c r="J7" s="122" t="s">
        <v>38</v>
      </c>
      <c r="K7" s="125" t="s">
        <v>39</v>
      </c>
      <c r="L7" s="126"/>
      <c r="M7" s="117"/>
      <c r="N7" s="118"/>
      <c r="O7" s="127" t="s">
        <v>40</v>
      </c>
      <c r="P7" s="128" t="s">
        <v>41</v>
      </c>
      <c r="Q7" s="128" t="s">
        <v>42</v>
      </c>
      <c r="R7" s="60"/>
      <c r="T7" s="129" t="s">
        <v>43</v>
      </c>
      <c r="U7" s="129" t="s">
        <v>25</v>
      </c>
      <c r="V7" s="129" t="s">
        <v>44</v>
      </c>
      <c r="Y7" s="1048"/>
      <c r="Z7" s="1050"/>
      <c r="AA7" s="1050"/>
      <c r="AB7" s="1050"/>
      <c r="AC7" s="1050"/>
      <c r="AD7" s="1050"/>
      <c r="AE7" s="1050"/>
      <c r="AF7" s="1050"/>
      <c r="AG7" s="1050"/>
      <c r="AH7" s="1052"/>
    </row>
    <row r="8" spans="2:34" ht="16.5" customHeight="1" thickBot="1">
      <c r="B8" s="53"/>
      <c r="C8" s="130" t="s">
        <v>3</v>
      </c>
      <c r="D8" s="131" t="s">
        <v>45</v>
      </c>
      <c r="E8" s="1055"/>
      <c r="F8" s="132"/>
      <c r="G8" s="133" t="s">
        <v>46</v>
      </c>
      <c r="H8" s="134" t="s">
        <v>169</v>
      </c>
      <c r="I8" s="134" t="s">
        <v>170</v>
      </c>
      <c r="J8" s="133" t="s">
        <v>48</v>
      </c>
      <c r="K8" s="135" t="s">
        <v>49</v>
      </c>
      <c r="L8" s="136" t="s">
        <v>50</v>
      </c>
      <c r="M8" s="135" t="s">
        <v>51</v>
      </c>
      <c r="N8" s="135" t="s">
        <v>52</v>
      </c>
      <c r="O8" s="137" t="s">
        <v>53</v>
      </c>
      <c r="P8" s="133" t="s">
        <v>54</v>
      </c>
      <c r="Q8" s="133" t="s">
        <v>55</v>
      </c>
      <c r="R8" s="60"/>
      <c r="T8" s="129">
        <v>100</v>
      </c>
      <c r="U8" s="129">
        <v>150</v>
      </c>
      <c r="V8" s="129">
        <v>140</v>
      </c>
      <c r="Y8" s="1048"/>
      <c r="Z8" s="1050"/>
      <c r="AA8" s="1050"/>
      <c r="AB8" s="1050"/>
      <c r="AC8" s="1050"/>
      <c r="AD8" s="1050"/>
      <c r="AE8" s="1050"/>
      <c r="AF8" s="1050"/>
      <c r="AG8" s="1050"/>
      <c r="AH8" s="1052"/>
    </row>
    <row r="9" spans="2:34" ht="10.5" customHeight="1" thickBot="1">
      <c r="B9" s="53"/>
      <c r="C9" s="138"/>
      <c r="D9" s="138"/>
      <c r="E9" s="138"/>
      <c r="F9" s="139"/>
      <c r="G9" s="140"/>
      <c r="H9" s="141"/>
      <c r="I9" s="141"/>
      <c r="J9" s="140"/>
      <c r="K9" s="140"/>
      <c r="L9" s="140"/>
      <c r="M9" s="140"/>
      <c r="N9" s="140"/>
      <c r="O9" s="142"/>
      <c r="P9" s="140"/>
      <c r="Q9" s="140"/>
      <c r="R9" s="60"/>
      <c r="Y9" s="510">
        <v>0.5</v>
      </c>
      <c r="Z9" s="516">
        <v>0.622</v>
      </c>
      <c r="AA9" s="516">
        <v>0.546</v>
      </c>
      <c r="AB9" s="516">
        <v>0.527</v>
      </c>
      <c r="AC9" s="516">
        <v>0.545</v>
      </c>
      <c r="AD9" s="516">
        <v>0.596</v>
      </c>
      <c r="AE9" s="516">
        <v>0.716</v>
      </c>
      <c r="AF9" s="516">
        <v>0.489</v>
      </c>
      <c r="AG9" s="516">
        <v>0.645</v>
      </c>
      <c r="AH9" s="517">
        <v>0.661</v>
      </c>
    </row>
    <row r="10" spans="2:34" ht="30" customHeight="1">
      <c r="B10" s="53"/>
      <c r="C10" s="143" t="s">
        <v>454</v>
      </c>
      <c r="D10" s="144"/>
      <c r="E10" s="144"/>
      <c r="F10" s="145"/>
      <c r="G10" s="146"/>
      <c r="H10" s="147"/>
      <c r="I10" s="147"/>
      <c r="J10" s="146"/>
      <c r="K10" s="148"/>
      <c r="L10" s="148"/>
      <c r="M10" s="146"/>
      <c r="N10" s="148"/>
      <c r="O10" s="149"/>
      <c r="P10" s="146"/>
      <c r="Q10" s="150"/>
      <c r="R10" s="60"/>
      <c r="Y10" s="510">
        <v>0.75</v>
      </c>
      <c r="Z10" s="516">
        <v>0.824</v>
      </c>
      <c r="AA10" s="516">
        <v>0.742</v>
      </c>
      <c r="AB10" s="516">
        <v>0.745</v>
      </c>
      <c r="AC10" s="516">
        <v>0.785</v>
      </c>
      <c r="AD10" s="516">
        <v>0.811</v>
      </c>
      <c r="AE10" s="516">
        <v>0.93</v>
      </c>
      <c r="AF10" s="516">
        <v>0.715</v>
      </c>
      <c r="AG10" s="516">
        <v>0.873</v>
      </c>
      <c r="AH10" s="517"/>
    </row>
    <row r="11" spans="2:34" ht="30" customHeight="1">
      <c r="B11" s="53"/>
      <c r="C11" s="1056">
        <v>18</v>
      </c>
      <c r="D11" s="1057"/>
      <c r="E11" s="151" t="s">
        <v>171</v>
      </c>
      <c r="F11" s="152"/>
      <c r="G11" s="153"/>
      <c r="H11" s="154"/>
      <c r="I11" s="154"/>
      <c r="J11" s="153"/>
      <c r="K11" s="155"/>
      <c r="L11" s="155"/>
      <c r="M11" s="153"/>
      <c r="N11" s="155"/>
      <c r="O11" s="156"/>
      <c r="P11" s="153"/>
      <c r="Q11" s="157"/>
      <c r="R11" s="60"/>
      <c r="U11" s="534" t="s">
        <v>24</v>
      </c>
      <c r="Y11" s="510">
        <v>1</v>
      </c>
      <c r="Z11" s="516">
        <v>1.049</v>
      </c>
      <c r="AA11" s="516">
        <v>0.957</v>
      </c>
      <c r="AB11" s="516">
        <v>0.995</v>
      </c>
      <c r="AC11" s="516">
        <v>1.025</v>
      </c>
      <c r="AD11" s="516">
        <v>1.055</v>
      </c>
      <c r="AE11" s="516">
        <v>1.189</v>
      </c>
      <c r="AF11" s="516"/>
      <c r="AG11" s="516">
        <v>1.091</v>
      </c>
      <c r="AH11" s="517">
        <v>1.111</v>
      </c>
    </row>
    <row r="12" spans="2:34" ht="30" customHeight="1">
      <c r="B12" s="53"/>
      <c r="C12" s="529">
        <v>1</v>
      </c>
      <c r="D12" s="530"/>
      <c r="E12" s="530"/>
      <c r="F12" s="160"/>
      <c r="G12" s="80"/>
      <c r="H12" s="83"/>
      <c r="I12" s="515" t="s">
        <v>357</v>
      </c>
      <c r="J12" s="80"/>
      <c r="K12" s="80"/>
      <c r="L12" s="80"/>
      <c r="M12" s="80"/>
      <c r="N12" s="161"/>
      <c r="O12" s="162"/>
      <c r="P12" s="163">
        <f>SUM(P13:P30)</f>
        <v>14.319999999999995</v>
      </c>
      <c r="Q12" s="571">
        <v>7</v>
      </c>
      <c r="R12" s="60"/>
      <c r="U12" s="4"/>
      <c r="Y12" s="510">
        <v>1.25</v>
      </c>
      <c r="Z12" s="516">
        <v>1.38</v>
      </c>
      <c r="AA12" s="516">
        <v>1.278</v>
      </c>
      <c r="AB12" s="516">
        <v>1.245</v>
      </c>
      <c r="AC12" s="516">
        <v>1.265</v>
      </c>
      <c r="AD12" s="516">
        <v>1.291</v>
      </c>
      <c r="AE12" s="516">
        <v>1.502</v>
      </c>
      <c r="AF12" s="516"/>
      <c r="AG12" s="516">
        <v>1.435</v>
      </c>
      <c r="AH12" s="517"/>
    </row>
    <row r="13" spans="2:34" ht="30" customHeight="1">
      <c r="B13" s="53"/>
      <c r="C13" s="529">
        <v>1</v>
      </c>
      <c r="D13" s="530">
        <v>2</v>
      </c>
      <c r="E13" s="530" t="s">
        <v>286</v>
      </c>
      <c r="F13" s="539">
        <v>3</v>
      </c>
      <c r="G13" s="80">
        <f aca="true" t="shared" si="0" ref="G13:G21">IF(F13&lt;1201,ROUND(F13^0.685*0.115,2),ROUND((F13-1200)*0.007+14.7,2))</f>
        <v>0.24</v>
      </c>
      <c r="H13" s="531">
        <v>0.5</v>
      </c>
      <c r="I13" s="606">
        <f aca="true" t="shared" si="1" ref="I13:I19">IF(E13="AG-SCH40",VLOOKUP(H13,$Y$9:$AH$17,2),IF(E13="AG-SCH80",VLOOKUP(H13,$Y$9:$AH$17,3),IF(E13="CU-K",VLOOKUP(H13,$Y$9:$AH$17,4),IF(E13="CU-L",VLOOKUP(H13,$Y$9:$AH$17,5),IF(E13="CU-M",VLOOKUP(H13,$Y$9:$AH$17,6),IF(E13="PVCP",VLOOKUP(H13,$Y$9:$AH$17,7),IF(E13="CPVC",VLOOKUP(H13,$Y$9:$AH$17,8),"PENDEJO")))))))</f>
        <v>0.716</v>
      </c>
      <c r="J13" s="80">
        <f aca="true" t="shared" si="2" ref="J13:J21">(G13/1000)/(PI()*(I13*0.0254/2)^2)</f>
        <v>0.9239062020801402</v>
      </c>
      <c r="K13" s="532">
        <v>0.5</v>
      </c>
      <c r="L13" s="539">
        <v>1.1</v>
      </c>
      <c r="M13" s="532">
        <f aca="true" t="shared" si="3" ref="M13:M21">(K13+L13)/2</f>
        <v>0.8</v>
      </c>
      <c r="N13" s="80">
        <f aca="true" t="shared" si="4" ref="N13:N21">SUM(K13:M13)</f>
        <v>2.4000000000000004</v>
      </c>
      <c r="O13" s="162">
        <f aca="true" t="shared" si="5" ref="O13:O21">(G13/(280*U13*(I13*0.0254)^2.63))^1.85</f>
        <v>0.05855740893342304</v>
      </c>
      <c r="P13" s="80">
        <f aca="true" t="shared" si="6" ref="P13:P21">ROUND(N13*O13,2)</f>
        <v>0.14</v>
      </c>
      <c r="Q13" s="164">
        <f aca="true" t="shared" si="7" ref="Q13:Q19">Q12+K13+P13</f>
        <v>7.64</v>
      </c>
      <c r="R13" s="60"/>
      <c r="U13" s="27">
        <v>150</v>
      </c>
      <c r="V13" s="509"/>
      <c r="W13" s="509"/>
      <c r="Y13" s="510">
        <v>1.5</v>
      </c>
      <c r="Z13" s="516">
        <v>1.61</v>
      </c>
      <c r="AA13" s="516">
        <v>1.5</v>
      </c>
      <c r="AB13" s="516">
        <v>1.481</v>
      </c>
      <c r="AC13" s="516">
        <v>1.505</v>
      </c>
      <c r="AD13" s="516">
        <v>1.527</v>
      </c>
      <c r="AE13" s="516">
        <v>1.72</v>
      </c>
      <c r="AF13" s="516"/>
      <c r="AG13" s="516">
        <v>1.672</v>
      </c>
      <c r="AH13" s="517"/>
    </row>
    <row r="14" spans="2:34" ht="30" customHeight="1">
      <c r="B14" s="53"/>
      <c r="C14" s="529">
        <f aca="true" t="shared" si="8" ref="C14:C30">C13+1</f>
        <v>2</v>
      </c>
      <c r="D14" s="530">
        <f aca="true" t="shared" si="9" ref="D14:D30">D13+1</f>
        <v>3</v>
      </c>
      <c r="E14" s="530" t="s">
        <v>286</v>
      </c>
      <c r="F14" s="539">
        <v>4</v>
      </c>
      <c r="G14" s="80">
        <f t="shared" si="0"/>
        <v>0.3</v>
      </c>
      <c r="H14" s="531">
        <v>0.5</v>
      </c>
      <c r="I14" s="606">
        <f t="shared" si="1"/>
        <v>0.716</v>
      </c>
      <c r="J14" s="80">
        <f t="shared" si="2"/>
        <v>1.1548827526001753</v>
      </c>
      <c r="K14" s="532">
        <v>2</v>
      </c>
      <c r="L14" s="539">
        <v>1</v>
      </c>
      <c r="M14" s="532">
        <f t="shared" si="3"/>
        <v>1.5</v>
      </c>
      <c r="N14" s="80">
        <f t="shared" si="4"/>
        <v>4.5</v>
      </c>
      <c r="O14" s="162">
        <f t="shared" si="5"/>
        <v>0.08848412808432725</v>
      </c>
      <c r="P14" s="80">
        <f t="shared" si="6"/>
        <v>0.4</v>
      </c>
      <c r="Q14" s="164">
        <f t="shared" si="7"/>
        <v>10.040000000000001</v>
      </c>
      <c r="R14" s="60"/>
      <c r="U14" s="27">
        <v>150</v>
      </c>
      <c r="V14" s="129"/>
      <c r="W14" s="129"/>
      <c r="Y14" s="510">
        <v>2</v>
      </c>
      <c r="Z14" s="516">
        <v>2.067</v>
      </c>
      <c r="AA14" s="516">
        <v>1.939</v>
      </c>
      <c r="AB14" s="516">
        <v>1.959</v>
      </c>
      <c r="AC14" s="516">
        <v>1.985</v>
      </c>
      <c r="AD14" s="516">
        <v>2.009</v>
      </c>
      <c r="AE14" s="516">
        <v>2.149</v>
      </c>
      <c r="AF14" s="516"/>
      <c r="AG14" s="516">
        <v>2.107</v>
      </c>
      <c r="AH14" s="517">
        <v>2.127</v>
      </c>
    </row>
    <row r="15" spans="2:34" ht="30" customHeight="1">
      <c r="B15" s="53"/>
      <c r="C15" s="529">
        <f t="shared" si="8"/>
        <v>3</v>
      </c>
      <c r="D15" s="530">
        <f t="shared" si="9"/>
        <v>4</v>
      </c>
      <c r="E15" s="530" t="s">
        <v>286</v>
      </c>
      <c r="F15" s="539">
        <v>8</v>
      </c>
      <c r="G15" s="80">
        <f t="shared" si="0"/>
        <v>0.48</v>
      </c>
      <c r="H15" s="531">
        <v>0.75</v>
      </c>
      <c r="I15" s="606">
        <f t="shared" si="1"/>
        <v>0.93</v>
      </c>
      <c r="J15" s="80">
        <f t="shared" si="2"/>
        <v>1.0952620139521247</v>
      </c>
      <c r="K15" s="532"/>
      <c r="L15" s="539">
        <v>2.48</v>
      </c>
      <c r="M15" s="532">
        <f t="shared" si="3"/>
        <v>1.24</v>
      </c>
      <c r="N15" s="80">
        <f t="shared" si="4"/>
        <v>3.7199999999999998</v>
      </c>
      <c r="O15" s="162">
        <f t="shared" si="5"/>
        <v>0.05914429610796293</v>
      </c>
      <c r="P15" s="80">
        <f t="shared" si="6"/>
        <v>0.22</v>
      </c>
      <c r="Q15" s="164">
        <f t="shared" si="7"/>
        <v>10.260000000000002</v>
      </c>
      <c r="R15" s="60"/>
      <c r="U15" s="27">
        <v>150</v>
      </c>
      <c r="V15" s="167"/>
      <c r="W15" s="168"/>
      <c r="Y15" s="510">
        <v>2.5</v>
      </c>
      <c r="Z15" s="516">
        <v>2.469</v>
      </c>
      <c r="AA15" s="516">
        <v>2.323</v>
      </c>
      <c r="AB15" s="516">
        <v>2.435</v>
      </c>
      <c r="AC15" s="516">
        <v>2.465</v>
      </c>
      <c r="AD15" s="516">
        <v>2.495</v>
      </c>
      <c r="AE15" s="516">
        <v>2.601</v>
      </c>
      <c r="AF15" s="516"/>
      <c r="AG15" s="516">
        <v>2.522</v>
      </c>
      <c r="AH15" s="517"/>
    </row>
    <row r="16" spans="2:34" ht="30" customHeight="1">
      <c r="B16" s="53"/>
      <c r="C16" s="529">
        <f t="shared" si="8"/>
        <v>4</v>
      </c>
      <c r="D16" s="530">
        <f t="shared" si="9"/>
        <v>5</v>
      </c>
      <c r="E16" s="530" t="s">
        <v>286</v>
      </c>
      <c r="F16" s="539">
        <v>9</v>
      </c>
      <c r="G16" s="80">
        <f t="shared" si="0"/>
        <v>0.52</v>
      </c>
      <c r="H16" s="531">
        <v>0.75</v>
      </c>
      <c r="I16" s="606">
        <f t="shared" si="1"/>
        <v>0.93</v>
      </c>
      <c r="J16" s="80">
        <f t="shared" si="2"/>
        <v>1.1865338484481354</v>
      </c>
      <c r="K16" s="532"/>
      <c r="L16" s="539">
        <v>7.53</v>
      </c>
      <c r="M16" s="532">
        <f t="shared" si="3"/>
        <v>3.765</v>
      </c>
      <c r="N16" s="80">
        <f t="shared" si="4"/>
        <v>11.295</v>
      </c>
      <c r="O16" s="162">
        <f t="shared" si="5"/>
        <v>0.06858399263555243</v>
      </c>
      <c r="P16" s="80">
        <f t="shared" si="6"/>
        <v>0.77</v>
      </c>
      <c r="Q16" s="164">
        <f t="shared" si="7"/>
        <v>11.030000000000001</v>
      </c>
      <c r="R16" s="60"/>
      <c r="U16" s="27">
        <v>150</v>
      </c>
      <c r="V16" s="167"/>
      <c r="W16" s="168"/>
      <c r="Y16" s="510">
        <v>3</v>
      </c>
      <c r="Z16" s="516">
        <v>3.068</v>
      </c>
      <c r="AA16" s="516">
        <v>2.9</v>
      </c>
      <c r="AB16" s="516">
        <v>2.907</v>
      </c>
      <c r="AC16" s="516">
        <v>2.945</v>
      </c>
      <c r="AD16" s="516">
        <v>2.981</v>
      </c>
      <c r="AE16" s="516">
        <v>3.166</v>
      </c>
      <c r="AF16" s="516"/>
      <c r="AG16" s="516">
        <v>3.182</v>
      </c>
      <c r="AH16" s="517"/>
    </row>
    <row r="17" spans="2:34" ht="30" customHeight="1" thickBot="1">
      <c r="B17" s="53"/>
      <c r="C17" s="529">
        <f t="shared" si="8"/>
        <v>5</v>
      </c>
      <c r="D17" s="530">
        <f t="shared" si="9"/>
        <v>6</v>
      </c>
      <c r="E17" s="530" t="s">
        <v>286</v>
      </c>
      <c r="F17" s="539">
        <v>11</v>
      </c>
      <c r="G17" s="80">
        <f t="shared" si="0"/>
        <v>0.59</v>
      </c>
      <c r="H17" s="531">
        <v>0.75</v>
      </c>
      <c r="I17" s="606">
        <f t="shared" si="1"/>
        <v>0.93</v>
      </c>
      <c r="J17" s="80">
        <f t="shared" si="2"/>
        <v>1.3462595588161532</v>
      </c>
      <c r="K17" s="532"/>
      <c r="L17" s="539">
        <v>15.62</v>
      </c>
      <c r="M17" s="532">
        <f t="shared" si="3"/>
        <v>7.81</v>
      </c>
      <c r="N17" s="80">
        <f t="shared" si="4"/>
        <v>23.43</v>
      </c>
      <c r="O17" s="162">
        <f t="shared" si="5"/>
        <v>0.08663488433239538</v>
      </c>
      <c r="P17" s="80">
        <f t="shared" si="6"/>
        <v>2.03</v>
      </c>
      <c r="Q17" s="164">
        <f t="shared" si="7"/>
        <v>13.06</v>
      </c>
      <c r="R17" s="60"/>
      <c r="U17" s="27">
        <v>150</v>
      </c>
      <c r="V17" s="167"/>
      <c r="W17" s="168"/>
      <c r="Y17" s="511">
        <v>4</v>
      </c>
      <c r="Z17" s="518">
        <v>4.026</v>
      </c>
      <c r="AA17" s="518">
        <v>3.826</v>
      </c>
      <c r="AB17" s="518">
        <v>3.857</v>
      </c>
      <c r="AC17" s="518">
        <v>3.905</v>
      </c>
      <c r="AD17" s="518">
        <v>3.935</v>
      </c>
      <c r="AE17" s="518">
        <v>4.072</v>
      </c>
      <c r="AF17" s="518"/>
      <c r="AG17" s="518">
        <v>4.152</v>
      </c>
      <c r="AH17" s="519"/>
    </row>
    <row r="18" spans="2:34" ht="30" customHeight="1" thickBot="1">
      <c r="B18" s="53"/>
      <c r="C18" s="529">
        <f t="shared" si="8"/>
        <v>6</v>
      </c>
      <c r="D18" s="530">
        <f t="shared" si="9"/>
        <v>7</v>
      </c>
      <c r="E18" s="530" t="s">
        <v>286</v>
      </c>
      <c r="F18" s="539">
        <v>22</v>
      </c>
      <c r="G18" s="80">
        <f t="shared" si="0"/>
        <v>0.96</v>
      </c>
      <c r="H18" s="531">
        <v>1</v>
      </c>
      <c r="I18" s="606">
        <f t="shared" si="1"/>
        <v>1.189</v>
      </c>
      <c r="J18" s="80">
        <f t="shared" si="2"/>
        <v>1.3401401208119461</v>
      </c>
      <c r="K18" s="532"/>
      <c r="L18" s="539">
        <v>22.77</v>
      </c>
      <c r="M18" s="532">
        <f t="shared" si="3"/>
        <v>11.385</v>
      </c>
      <c r="N18" s="80">
        <f t="shared" si="4"/>
        <v>34.155</v>
      </c>
      <c r="O18" s="162">
        <f t="shared" si="5"/>
        <v>0.06451709912545835</v>
      </c>
      <c r="P18" s="80">
        <f t="shared" si="6"/>
        <v>2.2</v>
      </c>
      <c r="Q18" s="164">
        <f t="shared" si="7"/>
        <v>15.260000000000002</v>
      </c>
      <c r="R18" s="60"/>
      <c r="U18" s="27">
        <v>150</v>
      </c>
      <c r="V18" s="167"/>
      <c r="W18" s="168"/>
      <c r="Y18" s="511">
        <v>4</v>
      </c>
      <c r="Z18" s="518">
        <v>4.026</v>
      </c>
      <c r="AA18" s="518">
        <v>3.826</v>
      </c>
      <c r="AB18" s="518">
        <v>3.857</v>
      </c>
      <c r="AC18" s="518">
        <v>3.905</v>
      </c>
      <c r="AD18" s="518">
        <v>3.935</v>
      </c>
      <c r="AE18" s="518">
        <v>4.072</v>
      </c>
      <c r="AF18" s="518"/>
      <c r="AG18" s="518">
        <v>4.152</v>
      </c>
      <c r="AH18" s="519"/>
    </row>
    <row r="19" spans="2:34" ht="30" customHeight="1" thickBot="1">
      <c r="B19" s="53"/>
      <c r="C19" s="529">
        <f t="shared" si="8"/>
        <v>7</v>
      </c>
      <c r="D19" s="530">
        <f t="shared" si="9"/>
        <v>8</v>
      </c>
      <c r="E19" s="530" t="s">
        <v>286</v>
      </c>
      <c r="F19" s="539">
        <v>38</v>
      </c>
      <c r="G19" s="80">
        <f t="shared" si="0"/>
        <v>1.39</v>
      </c>
      <c r="H19" s="531">
        <v>1.25</v>
      </c>
      <c r="I19" s="606">
        <f t="shared" si="1"/>
        <v>1.502</v>
      </c>
      <c r="J19" s="80">
        <f t="shared" si="2"/>
        <v>1.2159553287725018</v>
      </c>
      <c r="K19" s="532"/>
      <c r="L19" s="539">
        <v>1.81</v>
      </c>
      <c r="M19" s="532">
        <f t="shared" si="3"/>
        <v>0.905</v>
      </c>
      <c r="N19" s="80">
        <f t="shared" si="4"/>
        <v>2.715</v>
      </c>
      <c r="O19" s="162">
        <f t="shared" si="5"/>
        <v>0.04104499315947108</v>
      </c>
      <c r="P19" s="80">
        <f t="shared" si="6"/>
        <v>0.11</v>
      </c>
      <c r="Q19" s="164">
        <f t="shared" si="7"/>
        <v>15.370000000000001</v>
      </c>
      <c r="R19" s="60"/>
      <c r="U19" s="27">
        <v>150</v>
      </c>
      <c r="V19" s="167"/>
      <c r="W19" s="168"/>
      <c r="Y19" s="511">
        <v>4</v>
      </c>
      <c r="Z19" s="518">
        <v>4.026</v>
      </c>
      <c r="AA19" s="518">
        <v>3.826</v>
      </c>
      <c r="AB19" s="518">
        <v>3.857</v>
      </c>
      <c r="AC19" s="518">
        <v>3.905</v>
      </c>
      <c r="AD19" s="518">
        <v>3.935</v>
      </c>
      <c r="AE19" s="518">
        <v>4.072</v>
      </c>
      <c r="AF19" s="518"/>
      <c r="AG19" s="518">
        <v>4.152</v>
      </c>
      <c r="AH19" s="519"/>
    </row>
    <row r="20" spans="2:34" ht="30" customHeight="1">
      <c r="B20" s="53"/>
      <c r="C20" s="529">
        <f t="shared" si="8"/>
        <v>8</v>
      </c>
      <c r="D20" s="530">
        <f t="shared" si="9"/>
        <v>9</v>
      </c>
      <c r="E20" s="530" t="s">
        <v>286</v>
      </c>
      <c r="F20" s="539">
        <v>51</v>
      </c>
      <c r="G20" s="80">
        <f t="shared" si="0"/>
        <v>1.7</v>
      </c>
      <c r="H20" s="531">
        <v>1.25</v>
      </c>
      <c r="I20" s="606">
        <f aca="true" t="shared" si="10" ref="I20:I30">IF(E20="AG-SCH40",VLOOKUP(H20,$Y$9:$AH$17,2),IF(E20="AG-SCH80",VLOOKUP(H20,$Y$9:$AH$17,3),IF(E20="CU-K",VLOOKUP(H20,$Y$9:$AH$17,4),IF(E20="CU-L",VLOOKUP(H20,$Y$9:$AH$17,5),IF(E20="CU-M",VLOOKUP(H20,$Y$9:$AH$17,6),IF(E20="PVCP",VLOOKUP(H20,$Y$9:$AH$17,7),IF(E20="CPVC",VLOOKUP(H20,$Y$9:$AH$17,8),"PENDEJO")))))))</f>
        <v>1.502</v>
      </c>
      <c r="J20" s="80">
        <f t="shared" si="2"/>
        <v>1.487139610728959</v>
      </c>
      <c r="K20" s="532"/>
      <c r="L20" s="539">
        <v>14.65</v>
      </c>
      <c r="M20" s="532">
        <f t="shared" si="3"/>
        <v>7.325</v>
      </c>
      <c r="N20" s="80">
        <f t="shared" si="4"/>
        <v>21.975</v>
      </c>
      <c r="O20" s="162">
        <f t="shared" si="5"/>
        <v>0.07762237724101095</v>
      </c>
      <c r="P20" s="80">
        <f t="shared" si="6"/>
        <v>1.71</v>
      </c>
      <c r="Q20" s="164">
        <f aca="true" t="shared" si="11" ref="Q20:Q30">Q19+K20+P20</f>
        <v>17.080000000000002</v>
      </c>
      <c r="R20" s="60"/>
      <c r="T20" s="169"/>
      <c r="U20" s="27">
        <v>130</v>
      </c>
      <c r="V20" s="167"/>
      <c r="W20" s="168"/>
      <c r="Y20" s="510">
        <v>0.75</v>
      </c>
      <c r="Z20" s="516">
        <f aca="true" t="shared" si="12" ref="Z20:AG20">Z3*25.4</f>
        <v>0</v>
      </c>
      <c r="AA20" s="516">
        <f t="shared" si="12"/>
        <v>0</v>
      </c>
      <c r="AB20" s="516">
        <f t="shared" si="12"/>
        <v>0</v>
      </c>
      <c r="AC20" s="516">
        <f t="shared" si="12"/>
        <v>0</v>
      </c>
      <c r="AD20" s="516">
        <f t="shared" si="12"/>
        <v>0</v>
      </c>
      <c r="AE20" s="516">
        <f t="shared" si="12"/>
        <v>0</v>
      </c>
      <c r="AF20" s="516">
        <f t="shared" si="12"/>
        <v>0</v>
      </c>
      <c r="AG20" s="516">
        <f t="shared" si="12"/>
        <v>0</v>
      </c>
      <c r="AH20" s="517"/>
    </row>
    <row r="21" spans="2:34" ht="30" customHeight="1" thickBot="1">
      <c r="B21" s="53"/>
      <c r="C21" s="529">
        <f t="shared" si="8"/>
        <v>9</v>
      </c>
      <c r="D21" s="530">
        <f t="shared" si="9"/>
        <v>10</v>
      </c>
      <c r="E21" s="530" t="s">
        <v>286</v>
      </c>
      <c r="F21" s="539">
        <v>53</v>
      </c>
      <c r="G21" s="80">
        <f t="shared" si="0"/>
        <v>1.75</v>
      </c>
      <c r="H21" s="531">
        <v>1.25</v>
      </c>
      <c r="I21" s="606">
        <f t="shared" si="10"/>
        <v>1.502</v>
      </c>
      <c r="J21" s="80">
        <f t="shared" si="2"/>
        <v>1.5308790110445167</v>
      </c>
      <c r="K21" s="532"/>
      <c r="L21" s="539">
        <v>13.55</v>
      </c>
      <c r="M21" s="532">
        <f t="shared" si="3"/>
        <v>6.775</v>
      </c>
      <c r="N21" s="80">
        <f t="shared" si="4"/>
        <v>20.325000000000003</v>
      </c>
      <c r="O21" s="162">
        <f t="shared" si="5"/>
        <v>0.06284969829378857</v>
      </c>
      <c r="P21" s="80">
        <f t="shared" si="6"/>
        <v>1.28</v>
      </c>
      <c r="Q21" s="164">
        <f t="shared" si="11"/>
        <v>18.360000000000003</v>
      </c>
      <c r="R21" s="60"/>
      <c r="U21" s="27">
        <v>150</v>
      </c>
      <c r="V21" s="167"/>
      <c r="W21" s="168"/>
      <c r="Y21" s="511">
        <v>4</v>
      </c>
      <c r="Z21" s="518">
        <v>4.026</v>
      </c>
      <c r="AA21" s="518">
        <v>3.826</v>
      </c>
      <c r="AB21" s="518">
        <v>3.857</v>
      </c>
      <c r="AC21" s="518">
        <v>3.905</v>
      </c>
      <c r="AD21" s="518">
        <v>3.935</v>
      </c>
      <c r="AE21" s="518">
        <v>4.072</v>
      </c>
      <c r="AF21" s="518"/>
      <c r="AG21" s="518">
        <v>4.152</v>
      </c>
      <c r="AH21" s="519"/>
    </row>
    <row r="22" spans="2:34" ht="30" customHeight="1" thickBot="1">
      <c r="B22" s="53"/>
      <c r="C22" s="529">
        <f t="shared" si="8"/>
        <v>10</v>
      </c>
      <c r="D22" s="530">
        <f t="shared" si="9"/>
        <v>11</v>
      </c>
      <c r="E22" s="530" t="s">
        <v>286</v>
      </c>
      <c r="F22" s="539">
        <v>69</v>
      </c>
      <c r="G22" s="80">
        <f aca="true" t="shared" si="13" ref="G22:G30">IF(F22&lt;1201,ROUND(F22^0.685*0.115,2),ROUND((F22-1200)*0.007+14.7,2))</f>
        <v>2.09</v>
      </c>
      <c r="H22" s="531">
        <v>1.5</v>
      </c>
      <c r="I22" s="606">
        <f t="shared" si="10"/>
        <v>1.72</v>
      </c>
      <c r="J22" s="80">
        <f aca="true" t="shared" si="14" ref="J22:J30">(G22/1000)/(PI()*(I22*0.0254/2)^2)</f>
        <v>1.394222469748874</v>
      </c>
      <c r="K22" s="532"/>
      <c r="L22" s="539">
        <v>1.7</v>
      </c>
      <c r="M22" s="532">
        <f aca="true" t="shared" si="15" ref="M22:M30">(K22+L22)/2</f>
        <v>0.85</v>
      </c>
      <c r="N22" s="80">
        <f aca="true" t="shared" si="16" ref="N22:N30">SUM(K22:M22)</f>
        <v>2.55</v>
      </c>
      <c r="O22" s="162">
        <f aca="true" t="shared" si="17" ref="O22:O30">(G22/(280*U22*(I22*0.0254)^2.63))^1.85</f>
        <v>0.04514164025350255</v>
      </c>
      <c r="P22" s="80">
        <f aca="true" t="shared" si="18" ref="P22:P30">ROUND(N22*O22,2)</f>
        <v>0.12</v>
      </c>
      <c r="Q22" s="164">
        <f t="shared" si="11"/>
        <v>18.480000000000004</v>
      </c>
      <c r="R22" s="60"/>
      <c r="U22" s="27">
        <v>150</v>
      </c>
      <c r="V22" s="167"/>
      <c r="W22" s="168"/>
      <c r="Y22" s="511">
        <v>4</v>
      </c>
      <c r="Z22" s="518">
        <v>4.026</v>
      </c>
      <c r="AA22" s="518">
        <v>3.826</v>
      </c>
      <c r="AB22" s="518">
        <v>3.857</v>
      </c>
      <c r="AC22" s="518">
        <v>3.905</v>
      </c>
      <c r="AD22" s="518">
        <v>3.935</v>
      </c>
      <c r="AE22" s="518">
        <v>4.072</v>
      </c>
      <c r="AF22" s="518"/>
      <c r="AG22" s="518">
        <v>4.152</v>
      </c>
      <c r="AH22" s="519"/>
    </row>
    <row r="23" spans="2:34" ht="30" customHeight="1" thickBot="1">
      <c r="B23" s="53"/>
      <c r="C23" s="529">
        <f t="shared" si="8"/>
        <v>11</v>
      </c>
      <c r="D23" s="530">
        <f t="shared" si="9"/>
        <v>12</v>
      </c>
      <c r="E23" s="530" t="s">
        <v>286</v>
      </c>
      <c r="F23" s="539">
        <v>83</v>
      </c>
      <c r="G23" s="80">
        <f t="shared" si="13"/>
        <v>2.37</v>
      </c>
      <c r="H23" s="531">
        <v>1.5</v>
      </c>
      <c r="I23" s="606">
        <f t="shared" si="10"/>
        <v>1.72</v>
      </c>
      <c r="J23" s="80">
        <f t="shared" si="14"/>
        <v>1.5810082551697762</v>
      </c>
      <c r="K23" s="532"/>
      <c r="L23" s="539">
        <v>11.64</v>
      </c>
      <c r="M23" s="532">
        <f t="shared" si="15"/>
        <v>5.82</v>
      </c>
      <c r="N23" s="80">
        <f t="shared" si="16"/>
        <v>17.46</v>
      </c>
      <c r="O23" s="162">
        <f t="shared" si="17"/>
        <v>0.05696277604855444</v>
      </c>
      <c r="P23" s="80">
        <f t="shared" si="18"/>
        <v>0.99</v>
      </c>
      <c r="Q23" s="164">
        <f t="shared" si="11"/>
        <v>19.470000000000002</v>
      </c>
      <c r="R23" s="60"/>
      <c r="U23" s="27">
        <v>150</v>
      </c>
      <c r="V23" s="167"/>
      <c r="W23" s="168"/>
      <c r="Y23" s="511">
        <v>4</v>
      </c>
      <c r="Z23" s="518">
        <v>4.026</v>
      </c>
      <c r="AA23" s="518">
        <v>3.826</v>
      </c>
      <c r="AB23" s="518">
        <v>3.857</v>
      </c>
      <c r="AC23" s="518">
        <v>3.905</v>
      </c>
      <c r="AD23" s="518">
        <v>3.935</v>
      </c>
      <c r="AE23" s="518">
        <v>4.072</v>
      </c>
      <c r="AF23" s="518"/>
      <c r="AG23" s="518">
        <v>4.152</v>
      </c>
      <c r="AH23" s="519"/>
    </row>
    <row r="24" spans="2:34" ht="30" customHeight="1" thickBot="1">
      <c r="B24" s="53"/>
      <c r="C24" s="529">
        <f t="shared" si="8"/>
        <v>12</v>
      </c>
      <c r="D24" s="530">
        <f t="shared" si="9"/>
        <v>13</v>
      </c>
      <c r="E24" s="530" t="s">
        <v>286</v>
      </c>
      <c r="F24" s="539">
        <v>85</v>
      </c>
      <c r="G24" s="80">
        <f t="shared" si="13"/>
        <v>2.41</v>
      </c>
      <c r="H24" s="531">
        <v>1.5</v>
      </c>
      <c r="I24" s="606">
        <f t="shared" si="10"/>
        <v>1.72</v>
      </c>
      <c r="J24" s="80">
        <f t="shared" si="14"/>
        <v>1.6076919388013335</v>
      </c>
      <c r="K24" s="532"/>
      <c r="L24" s="539">
        <v>10.54</v>
      </c>
      <c r="M24" s="532">
        <f t="shared" si="15"/>
        <v>5.27</v>
      </c>
      <c r="N24" s="80">
        <f t="shared" si="16"/>
        <v>15.809999999999999</v>
      </c>
      <c r="O24" s="162">
        <f t="shared" si="17"/>
        <v>0.05875410768257092</v>
      </c>
      <c r="P24" s="80">
        <f t="shared" si="18"/>
        <v>0.93</v>
      </c>
      <c r="Q24" s="164">
        <f t="shared" si="11"/>
        <v>20.400000000000002</v>
      </c>
      <c r="R24" s="60"/>
      <c r="U24" s="27">
        <v>150</v>
      </c>
      <c r="V24" s="167"/>
      <c r="W24" s="168"/>
      <c r="Y24" s="511">
        <v>4</v>
      </c>
      <c r="Z24" s="518">
        <v>4.026</v>
      </c>
      <c r="AA24" s="518">
        <v>3.826</v>
      </c>
      <c r="AB24" s="518">
        <v>3.857</v>
      </c>
      <c r="AC24" s="518">
        <v>3.905</v>
      </c>
      <c r="AD24" s="518">
        <v>3.935</v>
      </c>
      <c r="AE24" s="518">
        <v>4.072</v>
      </c>
      <c r="AF24" s="518"/>
      <c r="AG24" s="518">
        <v>4.152</v>
      </c>
      <c r="AH24" s="519"/>
    </row>
    <row r="25" spans="2:34" ht="30" customHeight="1" thickBot="1">
      <c r="B25" s="53"/>
      <c r="C25" s="529">
        <f t="shared" si="8"/>
        <v>13</v>
      </c>
      <c r="D25" s="530">
        <f t="shared" si="9"/>
        <v>14</v>
      </c>
      <c r="E25" s="530" t="s">
        <v>286</v>
      </c>
      <c r="F25" s="539">
        <v>97</v>
      </c>
      <c r="G25" s="80">
        <f t="shared" si="13"/>
        <v>2.64</v>
      </c>
      <c r="H25" s="531">
        <v>1.5</v>
      </c>
      <c r="I25" s="606">
        <f t="shared" si="10"/>
        <v>1.72</v>
      </c>
      <c r="J25" s="80">
        <f t="shared" si="14"/>
        <v>1.7611231196827886</v>
      </c>
      <c r="K25" s="532"/>
      <c r="L25" s="539">
        <v>22.85</v>
      </c>
      <c r="M25" s="532">
        <f t="shared" si="15"/>
        <v>11.425</v>
      </c>
      <c r="N25" s="80">
        <f t="shared" si="16"/>
        <v>34.275000000000006</v>
      </c>
      <c r="O25" s="162">
        <f t="shared" si="17"/>
        <v>0.06954629058532906</v>
      </c>
      <c r="P25" s="80">
        <f t="shared" si="18"/>
        <v>2.38</v>
      </c>
      <c r="Q25" s="164">
        <f t="shared" si="11"/>
        <v>22.78</v>
      </c>
      <c r="R25" s="60"/>
      <c r="U25" s="27">
        <v>150</v>
      </c>
      <c r="V25" s="167"/>
      <c r="W25" s="168"/>
      <c r="Y25" s="511">
        <v>4</v>
      </c>
      <c r="Z25" s="518">
        <v>4.026</v>
      </c>
      <c r="AA25" s="518">
        <v>3.826</v>
      </c>
      <c r="AB25" s="518">
        <v>3.857</v>
      </c>
      <c r="AC25" s="518">
        <v>3.905</v>
      </c>
      <c r="AD25" s="518">
        <v>3.935</v>
      </c>
      <c r="AE25" s="518">
        <v>4.072</v>
      </c>
      <c r="AF25" s="518"/>
      <c r="AG25" s="518">
        <v>4.152</v>
      </c>
      <c r="AH25" s="519"/>
    </row>
    <row r="26" spans="2:34" ht="30" customHeight="1" thickBot="1">
      <c r="B26" s="53"/>
      <c r="C26" s="529">
        <f t="shared" si="8"/>
        <v>14</v>
      </c>
      <c r="D26" s="530">
        <f t="shared" si="9"/>
        <v>15</v>
      </c>
      <c r="E26" s="530" t="s">
        <v>286</v>
      </c>
      <c r="F26" s="539">
        <v>118</v>
      </c>
      <c r="G26" s="80">
        <f t="shared" si="13"/>
        <v>3.02</v>
      </c>
      <c r="H26" s="531">
        <v>2</v>
      </c>
      <c r="I26" s="606">
        <f t="shared" si="10"/>
        <v>2.149</v>
      </c>
      <c r="J26" s="80">
        <f t="shared" si="14"/>
        <v>1.2905558309388776</v>
      </c>
      <c r="K26" s="532"/>
      <c r="L26" s="539">
        <v>2.48</v>
      </c>
      <c r="M26" s="532">
        <f t="shared" si="15"/>
        <v>1.24</v>
      </c>
      <c r="N26" s="80">
        <f t="shared" si="16"/>
        <v>3.7199999999999998</v>
      </c>
      <c r="O26" s="162">
        <f t="shared" si="17"/>
        <v>0.03018470455981133</v>
      </c>
      <c r="P26" s="80">
        <f t="shared" si="18"/>
        <v>0.11</v>
      </c>
      <c r="Q26" s="164">
        <f t="shared" si="11"/>
        <v>22.89</v>
      </c>
      <c r="R26" s="60"/>
      <c r="U26" s="27">
        <v>150</v>
      </c>
      <c r="V26" s="167"/>
      <c r="W26" s="168"/>
      <c r="Y26" s="511">
        <v>4</v>
      </c>
      <c r="Z26" s="518">
        <v>4.026</v>
      </c>
      <c r="AA26" s="518">
        <v>3.826</v>
      </c>
      <c r="AB26" s="518">
        <v>3.857</v>
      </c>
      <c r="AC26" s="518">
        <v>3.905</v>
      </c>
      <c r="AD26" s="518">
        <v>3.935</v>
      </c>
      <c r="AE26" s="518">
        <v>4.072</v>
      </c>
      <c r="AF26" s="518"/>
      <c r="AG26" s="518">
        <v>4.152</v>
      </c>
      <c r="AH26" s="519"/>
    </row>
    <row r="27" spans="2:34" ht="30" customHeight="1" thickBot="1">
      <c r="B27" s="53"/>
      <c r="C27" s="529">
        <f t="shared" si="8"/>
        <v>15</v>
      </c>
      <c r="D27" s="530">
        <f t="shared" si="9"/>
        <v>16</v>
      </c>
      <c r="E27" s="530" t="s">
        <v>286</v>
      </c>
      <c r="F27" s="539">
        <v>198</v>
      </c>
      <c r="G27" s="80">
        <f t="shared" si="13"/>
        <v>4.3</v>
      </c>
      <c r="H27" s="531">
        <v>2</v>
      </c>
      <c r="I27" s="606">
        <f t="shared" si="10"/>
        <v>2.149</v>
      </c>
      <c r="J27" s="80">
        <f t="shared" si="14"/>
        <v>1.8375463818003885</v>
      </c>
      <c r="K27" s="532"/>
      <c r="L27" s="539">
        <v>5.1</v>
      </c>
      <c r="M27" s="532">
        <f t="shared" si="15"/>
        <v>2.55</v>
      </c>
      <c r="N27" s="80">
        <f t="shared" si="16"/>
        <v>7.6499999999999995</v>
      </c>
      <c r="O27" s="162">
        <f t="shared" si="17"/>
        <v>0.058035098755884446</v>
      </c>
      <c r="P27" s="80">
        <f t="shared" si="18"/>
        <v>0.44</v>
      </c>
      <c r="Q27" s="164">
        <f t="shared" si="11"/>
        <v>23.330000000000002</v>
      </c>
      <c r="R27" s="60"/>
      <c r="U27" s="27">
        <v>150</v>
      </c>
      <c r="V27" s="167"/>
      <c r="W27" s="168"/>
      <c r="Y27" s="511">
        <v>4</v>
      </c>
      <c r="Z27" s="518">
        <v>4.026</v>
      </c>
      <c r="AA27" s="518">
        <v>3.826</v>
      </c>
      <c r="AB27" s="518">
        <v>3.857</v>
      </c>
      <c r="AC27" s="518">
        <v>3.905</v>
      </c>
      <c r="AD27" s="518">
        <v>3.935</v>
      </c>
      <c r="AE27" s="518">
        <v>4.072</v>
      </c>
      <c r="AF27" s="518"/>
      <c r="AG27" s="518">
        <v>4.152</v>
      </c>
      <c r="AH27" s="519"/>
    </row>
    <row r="28" spans="2:34" ht="30" customHeight="1" thickBot="1">
      <c r="B28" s="53"/>
      <c r="C28" s="529">
        <f t="shared" si="8"/>
        <v>16</v>
      </c>
      <c r="D28" s="530">
        <f t="shared" si="9"/>
        <v>17</v>
      </c>
      <c r="E28" s="530" t="s">
        <v>286</v>
      </c>
      <c r="F28" s="539">
        <v>202</v>
      </c>
      <c r="G28" s="80">
        <f t="shared" si="13"/>
        <v>4.36</v>
      </c>
      <c r="H28" s="531">
        <v>2</v>
      </c>
      <c r="I28" s="606">
        <f t="shared" si="10"/>
        <v>2.149</v>
      </c>
      <c r="J28" s="80">
        <f t="shared" si="14"/>
        <v>1.863186563872022</v>
      </c>
      <c r="K28" s="532"/>
      <c r="L28" s="539">
        <v>0.5</v>
      </c>
      <c r="M28" s="532">
        <f t="shared" si="15"/>
        <v>0.25</v>
      </c>
      <c r="N28" s="80">
        <f t="shared" si="16"/>
        <v>0.75</v>
      </c>
      <c r="O28" s="162">
        <f t="shared" si="17"/>
        <v>0.05954209209468413</v>
      </c>
      <c r="P28" s="80">
        <f t="shared" si="18"/>
        <v>0.04</v>
      </c>
      <c r="Q28" s="164">
        <f t="shared" si="11"/>
        <v>23.37</v>
      </c>
      <c r="R28" s="60"/>
      <c r="U28" s="27">
        <v>150</v>
      </c>
      <c r="V28" s="167"/>
      <c r="W28" s="168"/>
      <c r="Y28" s="511">
        <v>4</v>
      </c>
      <c r="Z28" s="518">
        <v>4.026</v>
      </c>
      <c r="AA28" s="518">
        <v>3.826</v>
      </c>
      <c r="AB28" s="518">
        <v>3.857</v>
      </c>
      <c r="AC28" s="518">
        <v>3.905</v>
      </c>
      <c r="AD28" s="518">
        <v>3.935</v>
      </c>
      <c r="AE28" s="518">
        <v>4.072</v>
      </c>
      <c r="AF28" s="518"/>
      <c r="AG28" s="518">
        <v>4.152</v>
      </c>
      <c r="AH28" s="519"/>
    </row>
    <row r="29" spans="2:34" ht="30" customHeight="1" thickBot="1">
      <c r="B29" s="53"/>
      <c r="C29" s="529">
        <f t="shared" si="8"/>
        <v>17</v>
      </c>
      <c r="D29" s="530">
        <f t="shared" si="9"/>
        <v>18</v>
      </c>
      <c r="E29" s="530" t="s">
        <v>286</v>
      </c>
      <c r="F29" s="539">
        <v>208</v>
      </c>
      <c r="G29" s="80">
        <f t="shared" si="13"/>
        <v>4.45</v>
      </c>
      <c r="H29" s="531">
        <v>2.5</v>
      </c>
      <c r="I29" s="606">
        <f t="shared" si="10"/>
        <v>2.601</v>
      </c>
      <c r="J29" s="80">
        <f t="shared" si="14"/>
        <v>1.2981413743930792</v>
      </c>
      <c r="K29" s="532"/>
      <c r="L29" s="539">
        <v>2.2</v>
      </c>
      <c r="M29" s="532">
        <f t="shared" si="15"/>
        <v>1.1</v>
      </c>
      <c r="N29" s="80">
        <f t="shared" si="16"/>
        <v>3.3000000000000003</v>
      </c>
      <c r="O29" s="162">
        <f t="shared" si="17"/>
        <v>0.02442704886861383</v>
      </c>
      <c r="P29" s="80">
        <f t="shared" si="18"/>
        <v>0.08</v>
      </c>
      <c r="Q29" s="164">
        <f t="shared" si="11"/>
        <v>23.45</v>
      </c>
      <c r="R29" s="60"/>
      <c r="U29" s="27">
        <v>150</v>
      </c>
      <c r="V29" s="167"/>
      <c r="W29" s="168"/>
      <c r="Y29" s="511">
        <v>4</v>
      </c>
      <c r="Z29" s="518">
        <v>4.026</v>
      </c>
      <c r="AA29" s="518">
        <v>3.826</v>
      </c>
      <c r="AB29" s="518">
        <v>3.857</v>
      </c>
      <c r="AC29" s="518">
        <v>3.905</v>
      </c>
      <c r="AD29" s="518">
        <v>3.935</v>
      </c>
      <c r="AE29" s="518">
        <v>4.072</v>
      </c>
      <c r="AF29" s="518"/>
      <c r="AG29" s="518">
        <v>4.152</v>
      </c>
      <c r="AH29" s="519"/>
    </row>
    <row r="30" spans="2:34" ht="30" customHeight="1" thickBot="1">
      <c r="B30" s="53"/>
      <c r="C30" s="529">
        <f t="shared" si="8"/>
        <v>18</v>
      </c>
      <c r="D30" s="530">
        <f t="shared" si="9"/>
        <v>19</v>
      </c>
      <c r="E30" s="530" t="s">
        <v>286</v>
      </c>
      <c r="F30" s="539">
        <v>268</v>
      </c>
      <c r="G30" s="80">
        <f t="shared" si="13"/>
        <v>5.3</v>
      </c>
      <c r="H30" s="531">
        <v>2.5</v>
      </c>
      <c r="I30" s="606">
        <f t="shared" si="10"/>
        <v>2.601</v>
      </c>
      <c r="J30" s="80">
        <f t="shared" si="14"/>
        <v>1.5461009627602964</v>
      </c>
      <c r="K30" s="532">
        <v>1.5</v>
      </c>
      <c r="L30" s="539">
        <v>5.9</v>
      </c>
      <c r="M30" s="532">
        <f t="shared" si="15"/>
        <v>3.7</v>
      </c>
      <c r="N30" s="80">
        <f t="shared" si="16"/>
        <v>11.100000000000001</v>
      </c>
      <c r="O30" s="162">
        <f t="shared" si="17"/>
        <v>0.0337532300725377</v>
      </c>
      <c r="P30" s="80">
        <f t="shared" si="18"/>
        <v>0.37</v>
      </c>
      <c r="Q30" s="164">
        <f t="shared" si="11"/>
        <v>25.32</v>
      </c>
      <c r="R30" s="60"/>
      <c r="U30" s="27">
        <v>150</v>
      </c>
      <c r="V30" s="167"/>
      <c r="W30" s="168"/>
      <c r="Y30" s="511">
        <v>4</v>
      </c>
      <c r="Z30" s="518">
        <v>4.026</v>
      </c>
      <c r="AA30" s="518">
        <v>3.826</v>
      </c>
      <c r="AB30" s="518">
        <v>3.857</v>
      </c>
      <c r="AC30" s="518">
        <v>3.905</v>
      </c>
      <c r="AD30" s="518">
        <v>3.935</v>
      </c>
      <c r="AE30" s="518">
        <v>4.072</v>
      </c>
      <c r="AF30" s="518"/>
      <c r="AG30" s="518">
        <v>4.152</v>
      </c>
      <c r="AH30" s="519"/>
    </row>
    <row r="31" spans="2:20" ht="30" customHeight="1">
      <c r="B31" s="53"/>
      <c r="C31" s="158"/>
      <c r="D31" s="159"/>
      <c r="E31" s="159"/>
      <c r="F31" s="78"/>
      <c r="G31" s="80"/>
      <c r="H31" s="165"/>
      <c r="I31" s="78"/>
      <c r="J31" s="80"/>
      <c r="K31" s="78"/>
      <c r="L31" s="78"/>
      <c r="M31" s="80"/>
      <c r="N31" s="80"/>
      <c r="O31" s="162"/>
      <c r="P31" s="80"/>
      <c r="Q31" s="164"/>
      <c r="R31" s="60"/>
      <c r="T31" s="169"/>
    </row>
    <row r="32" spans="2:20" ht="30" customHeight="1">
      <c r="B32" s="53"/>
      <c r="C32" s="158"/>
      <c r="D32" s="159"/>
      <c r="E32" s="159"/>
      <c r="F32" s="78"/>
      <c r="G32" s="532">
        <f>+G30</f>
        <v>5.3</v>
      </c>
      <c r="H32" s="165"/>
      <c r="I32" s="78"/>
      <c r="J32" s="80"/>
      <c r="K32" s="80"/>
      <c r="L32" s="80"/>
      <c r="M32" s="80"/>
      <c r="N32" s="161"/>
      <c r="O32" s="162"/>
      <c r="P32" s="80"/>
      <c r="Q32" s="533">
        <f>+Q30</f>
        <v>25.32</v>
      </c>
      <c r="R32" s="60"/>
      <c r="T32" s="169"/>
    </row>
    <row r="33" spans="2:18" ht="30" customHeight="1" thickBot="1">
      <c r="B33" s="53"/>
      <c r="C33" s="170"/>
      <c r="D33" s="171"/>
      <c r="E33" s="171"/>
      <c r="F33" s="480">
        <f>MAX(F13:F32)</f>
        <v>268</v>
      </c>
      <c r="G33" s="172"/>
      <c r="H33" s="173"/>
      <c r="I33" s="173"/>
      <c r="J33" s="172"/>
      <c r="K33" s="174">
        <f>SUM(K13:K32)</f>
        <v>4</v>
      </c>
      <c r="L33" s="175"/>
      <c r="M33" s="172"/>
      <c r="N33" s="176"/>
      <c r="O33" s="174"/>
      <c r="P33" s="174">
        <f>+SUM(P31)</f>
        <v>0</v>
      </c>
      <c r="Q33" s="177"/>
      <c r="R33" s="60"/>
    </row>
    <row r="34" spans="2:18" s="89" customFormat="1" ht="12" customHeight="1" thickBot="1">
      <c r="B34" s="86"/>
      <c r="C34" s="178"/>
      <c r="D34" s="178"/>
      <c r="E34" s="178"/>
      <c r="F34" s="179"/>
      <c r="G34" s="180"/>
      <c r="H34" s="181"/>
      <c r="I34" s="181"/>
      <c r="J34" s="180"/>
      <c r="K34" s="182"/>
      <c r="L34" s="182"/>
      <c r="M34" s="180"/>
      <c r="N34" s="182"/>
      <c r="O34" s="183"/>
      <c r="P34" s="180"/>
      <c r="Q34" s="180"/>
      <c r="R34" s="88"/>
    </row>
    <row r="35" spans="3:17" s="89" customFormat="1" ht="14.25">
      <c r="C35" s="184"/>
      <c r="D35" s="184"/>
      <c r="E35" s="184"/>
      <c r="F35" s="94"/>
      <c r="G35" s="95"/>
      <c r="H35" s="96"/>
      <c r="I35" s="96"/>
      <c r="J35" s="95"/>
      <c r="K35" s="185"/>
      <c r="L35" s="185"/>
      <c r="M35" s="95"/>
      <c r="N35" s="185"/>
      <c r="O35" s="98"/>
      <c r="P35" s="95"/>
      <c r="Q35" s="95"/>
    </row>
    <row r="36" spans="3:17" s="89" customFormat="1" ht="14.25" hidden="1">
      <c r="C36" s="184"/>
      <c r="D36" s="184"/>
      <c r="E36" s="184"/>
      <c r="F36" s="94"/>
      <c r="G36" s="95"/>
      <c r="H36" s="96"/>
      <c r="I36" s="96"/>
      <c r="J36" s="95"/>
      <c r="K36" s="185"/>
      <c r="L36" s="185"/>
      <c r="M36" s="95"/>
      <c r="N36" s="185"/>
      <c r="O36" s="98"/>
      <c r="P36" s="95"/>
      <c r="Q36" s="95"/>
    </row>
    <row r="37" spans="3:17" s="89" customFormat="1" ht="14.25" hidden="1">
      <c r="C37" s="184"/>
      <c r="D37" s="184"/>
      <c r="E37" s="184"/>
      <c r="F37" s="94"/>
      <c r="G37" s="95"/>
      <c r="H37" s="96"/>
      <c r="I37" s="96"/>
      <c r="J37" s="95"/>
      <c r="K37" s="185"/>
      <c r="L37" s="185"/>
      <c r="M37" s="95"/>
      <c r="N37" s="185"/>
      <c r="O37" s="98"/>
      <c r="P37" s="95"/>
      <c r="Q37" s="95"/>
    </row>
    <row r="38" spans="3:17" s="89" customFormat="1" ht="14.25" hidden="1">
      <c r="C38" s="184"/>
      <c r="D38" s="184"/>
      <c r="E38" s="184"/>
      <c r="F38" s="94"/>
      <c r="G38" s="95"/>
      <c r="H38" s="96"/>
      <c r="I38" s="96"/>
      <c r="J38" s="95"/>
      <c r="K38" s="185"/>
      <c r="L38" s="185"/>
      <c r="M38" s="95"/>
      <c r="N38" s="185"/>
      <c r="O38" s="98"/>
      <c r="P38" s="95"/>
      <c r="Q38" s="95"/>
    </row>
    <row r="39" spans="3:17" s="89" customFormat="1" ht="14.25" customHeight="1" hidden="1">
      <c r="C39" s="184"/>
      <c r="D39" s="184"/>
      <c r="E39" s="184"/>
      <c r="F39" s="94"/>
      <c r="G39" s="95"/>
      <c r="H39" s="96"/>
      <c r="I39" s="96"/>
      <c r="J39" s="95"/>
      <c r="K39" s="185"/>
      <c r="L39" s="185"/>
      <c r="M39" s="95"/>
      <c r="N39" s="185"/>
      <c r="O39" s="98"/>
      <c r="P39" s="95"/>
      <c r="Q39" s="95"/>
    </row>
    <row r="40" spans="3:17" s="89" customFormat="1" ht="14.25" hidden="1">
      <c r="C40" s="184"/>
      <c r="D40" s="184"/>
      <c r="E40" s="184"/>
      <c r="F40" s="78">
        <f>21*24</f>
        <v>504</v>
      </c>
      <c r="G40" s="80">
        <f>IF(F40&lt;1201,ROUND(F40^0.685*0.115,2),ROUND((F40-1200)*0.007+14.7,2))</f>
        <v>8.16</v>
      </c>
      <c r="H40" s="96"/>
      <c r="I40" s="96"/>
      <c r="J40" s="95"/>
      <c r="K40" s="185"/>
      <c r="L40" s="185"/>
      <c r="M40" s="95"/>
      <c r="N40" s="185"/>
      <c r="O40" s="98"/>
      <c r="P40" s="95"/>
      <c r="Q40" s="95"/>
    </row>
    <row r="41" spans="3:17" s="89" customFormat="1" ht="14.25" hidden="1">
      <c r="C41" s="184"/>
      <c r="D41" s="184"/>
      <c r="E41" s="184"/>
      <c r="F41" s="94"/>
      <c r="G41" s="95">
        <f>+G40/24</f>
        <v>0.34</v>
      </c>
      <c r="H41" s="96" t="s">
        <v>173</v>
      </c>
      <c r="I41" s="96"/>
      <c r="J41" s="95"/>
      <c r="K41" s="185"/>
      <c r="L41" s="185"/>
      <c r="M41" s="95"/>
      <c r="N41" s="185"/>
      <c r="O41" s="98"/>
      <c r="P41" s="95"/>
      <c r="Q41" s="95"/>
    </row>
    <row r="42" spans="3:17" s="89" customFormat="1" ht="14.25" hidden="1">
      <c r="C42" s="184"/>
      <c r="D42" s="184"/>
      <c r="E42" s="184"/>
      <c r="F42" s="94"/>
      <c r="G42" s="95"/>
      <c r="H42" s="96"/>
      <c r="I42" s="96"/>
      <c r="J42" s="95"/>
      <c r="K42" s="185"/>
      <c r="L42" s="185"/>
      <c r="M42" s="95"/>
      <c r="N42" s="185"/>
      <c r="O42" s="98"/>
      <c r="P42" s="95"/>
      <c r="Q42" s="95"/>
    </row>
    <row r="43" spans="3:17" s="89" customFormat="1" ht="14.25" hidden="1">
      <c r="C43" s="184"/>
      <c r="D43" s="184"/>
      <c r="E43" s="184"/>
      <c r="F43" s="78">
        <v>2</v>
      </c>
      <c r="G43" s="80">
        <f>IF(F43&lt;1201,ROUND(F43^0.685*0.115,2),ROUND((F43-1200)*0.007+14.7,2))</f>
        <v>0.18</v>
      </c>
      <c r="H43" s="96"/>
      <c r="I43" s="96"/>
      <c r="J43" s="95"/>
      <c r="K43" s="185"/>
      <c r="L43" s="185"/>
      <c r="M43" s="95"/>
      <c r="N43" s="185"/>
      <c r="O43" s="98"/>
      <c r="P43" s="95"/>
      <c r="Q43" s="95"/>
    </row>
    <row r="44" spans="3:17" s="89" customFormat="1" ht="14.25" hidden="1">
      <c r="C44" s="184"/>
      <c r="D44" s="184"/>
      <c r="E44" s="184"/>
      <c r="F44" s="94"/>
      <c r="G44" s="95">
        <f>+G43</f>
        <v>0.18</v>
      </c>
      <c r="H44" s="186" t="s">
        <v>174</v>
      </c>
      <c r="I44" s="96"/>
      <c r="J44" s="95"/>
      <c r="K44" s="185"/>
      <c r="L44" s="185"/>
      <c r="M44" s="95"/>
      <c r="N44" s="185"/>
      <c r="O44" s="98"/>
      <c r="P44" s="95"/>
      <c r="Q44" s="95"/>
    </row>
    <row r="45" spans="3:17" s="89" customFormat="1" ht="14.25" hidden="1">
      <c r="C45" s="184"/>
      <c r="D45" s="184"/>
      <c r="E45" s="184"/>
      <c r="F45" s="94"/>
      <c r="G45" s="95"/>
      <c r="H45" s="96"/>
      <c r="I45" s="96"/>
      <c r="J45" s="95"/>
      <c r="K45" s="185"/>
      <c r="L45" s="185"/>
      <c r="M45" s="95"/>
      <c r="N45" s="185"/>
      <c r="O45" s="98"/>
      <c r="P45" s="95"/>
      <c r="Q45" s="95"/>
    </row>
    <row r="46" spans="3:17" s="89" customFormat="1" ht="14.25" hidden="1">
      <c r="C46" s="184"/>
      <c r="D46" s="184"/>
      <c r="E46" s="184"/>
      <c r="F46" s="94"/>
      <c r="G46" s="95" t="s">
        <v>390</v>
      </c>
      <c r="H46" s="96"/>
      <c r="I46" s="96"/>
      <c r="J46" s="95"/>
      <c r="K46" s="185"/>
      <c r="L46" s="185"/>
      <c r="M46" s="95"/>
      <c r="N46" s="185"/>
      <c r="O46" s="98"/>
      <c r="P46" s="95"/>
      <c r="Q46" s="95"/>
    </row>
    <row r="47" spans="3:17" s="89" customFormat="1" ht="14.25" hidden="1">
      <c r="C47" s="184"/>
      <c r="D47" s="184"/>
      <c r="E47" s="184"/>
      <c r="F47" s="94" t="s">
        <v>233</v>
      </c>
      <c r="G47" s="95"/>
      <c r="H47" s="96"/>
      <c r="I47" s="96"/>
      <c r="J47" s="95"/>
      <c r="K47" s="185"/>
      <c r="L47" s="185"/>
      <c r="M47" s="95"/>
      <c r="N47" s="185"/>
      <c r="O47" s="98"/>
      <c r="P47" s="95"/>
      <c r="Q47" s="95"/>
    </row>
    <row r="48" spans="3:17" s="89" customFormat="1" ht="14.25" hidden="1">
      <c r="C48" s="184"/>
      <c r="D48" s="184"/>
      <c r="E48" s="184"/>
      <c r="F48" s="570" t="s">
        <v>384</v>
      </c>
      <c r="G48" s="95"/>
      <c r="H48" s="96"/>
      <c r="I48" s="96"/>
      <c r="J48" s="95"/>
      <c r="K48" s="185"/>
      <c r="L48" s="185"/>
      <c r="M48" s="95"/>
      <c r="N48" s="185"/>
      <c r="O48" s="98"/>
      <c r="P48" s="95"/>
      <c r="Q48" s="95"/>
    </row>
    <row r="49" spans="3:17" s="89" customFormat="1" ht="14.25" hidden="1">
      <c r="C49" s="184"/>
      <c r="D49" s="184"/>
      <c r="E49" s="184"/>
      <c r="F49" s="570" t="s">
        <v>385</v>
      </c>
      <c r="G49" s="95"/>
      <c r="H49" s="96"/>
      <c r="I49" s="96"/>
      <c r="J49" s="95"/>
      <c r="K49" s="185"/>
      <c r="L49" s="185"/>
      <c r="M49" s="95"/>
      <c r="N49" s="185"/>
      <c r="O49" s="98"/>
      <c r="P49" s="95"/>
      <c r="Q49" s="95"/>
    </row>
    <row r="50" spans="3:17" s="89" customFormat="1" ht="14.25" hidden="1">
      <c r="C50" s="184"/>
      <c r="D50" s="184"/>
      <c r="E50" s="184"/>
      <c r="F50" s="570" t="s">
        <v>386</v>
      </c>
      <c r="G50" s="95"/>
      <c r="H50" s="96"/>
      <c r="I50" s="96"/>
      <c r="J50" s="95"/>
      <c r="K50" s="185"/>
      <c r="L50" s="185"/>
      <c r="M50" s="95"/>
      <c r="N50" s="185"/>
      <c r="O50" s="98"/>
      <c r="P50" s="95"/>
      <c r="Q50" s="95"/>
    </row>
    <row r="51" spans="3:17" s="89" customFormat="1" ht="14.25" hidden="1">
      <c r="C51" s="184"/>
      <c r="D51" s="184"/>
      <c r="E51" s="184"/>
      <c r="F51" s="570" t="s">
        <v>387</v>
      </c>
      <c r="G51" s="95"/>
      <c r="H51" s="96"/>
      <c r="I51" s="96"/>
      <c r="J51" s="95"/>
      <c r="K51" s="185"/>
      <c r="L51" s="185"/>
      <c r="M51" s="95"/>
      <c r="N51" s="185"/>
      <c r="O51" s="98"/>
      <c r="P51" s="95"/>
      <c r="Q51" s="95"/>
    </row>
    <row r="52" spans="3:17" s="89" customFormat="1" ht="14.25" hidden="1">
      <c r="C52" s="184"/>
      <c r="D52" s="184"/>
      <c r="E52" s="184"/>
      <c r="F52" s="570" t="s">
        <v>388</v>
      </c>
      <c r="G52" s="95"/>
      <c r="H52" s="96"/>
      <c r="I52" s="96"/>
      <c r="J52" s="95"/>
      <c r="K52" s="185"/>
      <c r="L52" s="185"/>
      <c r="M52" s="95"/>
      <c r="N52" s="185"/>
      <c r="O52" s="98"/>
      <c r="P52" s="95"/>
      <c r="Q52" s="95"/>
    </row>
    <row r="53" spans="3:17" s="89" customFormat="1" ht="14.25" hidden="1">
      <c r="C53" s="184"/>
      <c r="D53" s="184"/>
      <c r="E53" s="184"/>
      <c r="F53" s="570" t="s">
        <v>389</v>
      </c>
      <c r="G53" s="95"/>
      <c r="H53" s="96"/>
      <c r="I53" s="96"/>
      <c r="J53" s="95"/>
      <c r="K53" s="185"/>
      <c r="L53" s="185"/>
      <c r="M53" s="95"/>
      <c r="N53" s="185"/>
      <c r="O53" s="98"/>
      <c r="P53" s="95"/>
      <c r="Q53" s="95"/>
    </row>
    <row r="54" spans="3:17" s="89" customFormat="1" ht="14.25" hidden="1">
      <c r="C54" s="184"/>
      <c r="D54" s="184"/>
      <c r="E54" s="184"/>
      <c r="F54" s="94"/>
      <c r="G54" s="95"/>
      <c r="H54" s="96"/>
      <c r="I54" s="96"/>
      <c r="J54" s="95"/>
      <c r="K54" s="185"/>
      <c r="L54" s="185"/>
      <c r="M54" s="95"/>
      <c r="N54" s="185"/>
      <c r="O54" s="98"/>
      <c r="P54" s="95"/>
      <c r="Q54" s="95"/>
    </row>
    <row r="55" spans="3:17" s="89" customFormat="1" ht="14.25" hidden="1">
      <c r="C55" s="184"/>
      <c r="D55" s="184"/>
      <c r="E55" s="184"/>
      <c r="F55" s="94"/>
      <c r="G55" s="95"/>
      <c r="H55" s="96"/>
      <c r="I55" s="96"/>
      <c r="J55" s="95"/>
      <c r="K55" s="185"/>
      <c r="L55" s="185"/>
      <c r="M55" s="95"/>
      <c r="N55" s="185"/>
      <c r="O55" s="98"/>
      <c r="P55" s="95"/>
      <c r="Q55" s="95"/>
    </row>
    <row r="56" spans="3:17" s="89" customFormat="1" ht="14.25" hidden="1">
      <c r="C56" s="184"/>
      <c r="D56" s="184"/>
      <c r="E56" s="184"/>
      <c r="F56" s="94"/>
      <c r="G56" s="95"/>
      <c r="H56" s="96"/>
      <c r="I56" s="96"/>
      <c r="J56" s="95"/>
      <c r="K56" s="185"/>
      <c r="L56" s="185"/>
      <c r="M56" s="95"/>
      <c r="N56" s="185"/>
      <c r="O56" s="98"/>
      <c r="P56" s="95"/>
      <c r="Q56" s="95"/>
    </row>
    <row r="57" spans="3:17" s="89" customFormat="1" ht="14.25" hidden="1">
      <c r="C57" s="184"/>
      <c r="D57" s="184"/>
      <c r="E57" s="184"/>
      <c r="F57" s="94"/>
      <c r="G57" s="95"/>
      <c r="H57" s="96"/>
      <c r="I57" s="96"/>
      <c r="J57" s="95"/>
      <c r="K57" s="185"/>
      <c r="L57" s="185"/>
      <c r="M57" s="95"/>
      <c r="N57" s="185"/>
      <c r="O57" s="98"/>
      <c r="P57" s="95"/>
      <c r="Q57" s="95"/>
    </row>
    <row r="58" spans="3:17" s="89" customFormat="1" ht="14.25" hidden="1">
      <c r="C58" s="184"/>
      <c r="D58" s="184"/>
      <c r="E58" s="184"/>
      <c r="F58" s="94"/>
      <c r="G58" s="95"/>
      <c r="H58" s="96"/>
      <c r="I58" s="96"/>
      <c r="J58" s="95"/>
      <c r="K58" s="185"/>
      <c r="L58" s="185"/>
      <c r="M58" s="95"/>
      <c r="N58" s="185"/>
      <c r="O58" s="98"/>
      <c r="P58" s="95"/>
      <c r="Q58" s="95"/>
    </row>
    <row r="59" spans="3:17" s="89" customFormat="1" ht="14.25" hidden="1">
      <c r="C59" s="184"/>
      <c r="D59" s="184"/>
      <c r="E59" s="184"/>
      <c r="F59" s="94"/>
      <c r="G59" s="95"/>
      <c r="H59" s="96"/>
      <c r="I59" s="96"/>
      <c r="J59" s="95"/>
      <c r="K59" s="185"/>
      <c r="L59" s="185"/>
      <c r="M59" s="95"/>
      <c r="N59" s="185"/>
      <c r="O59" s="98"/>
      <c r="P59" s="95"/>
      <c r="Q59" s="95"/>
    </row>
    <row r="60" spans="3:17" s="89" customFormat="1" ht="14.25" hidden="1">
      <c r="C60" s="184"/>
      <c r="D60" s="184"/>
      <c r="E60" s="184"/>
      <c r="F60" s="94"/>
      <c r="G60" s="95"/>
      <c r="H60" s="96"/>
      <c r="I60" s="96"/>
      <c r="J60" s="95"/>
      <c r="K60" s="185"/>
      <c r="L60" s="185"/>
      <c r="M60" s="95"/>
      <c r="N60" s="185"/>
      <c r="O60" s="98"/>
      <c r="P60" s="95"/>
      <c r="Q60" s="95"/>
    </row>
    <row r="61" spans="3:17" s="89" customFormat="1" ht="14.25" hidden="1">
      <c r="C61" s="184"/>
      <c r="D61" s="184"/>
      <c r="E61" s="184"/>
      <c r="F61" s="94"/>
      <c r="G61" s="95"/>
      <c r="H61" s="96"/>
      <c r="I61" s="96"/>
      <c r="J61" s="95"/>
      <c r="K61" s="185"/>
      <c r="L61" s="185"/>
      <c r="M61" s="95"/>
      <c r="N61" s="185"/>
      <c r="O61" s="98"/>
      <c r="P61" s="95"/>
      <c r="Q61" s="95"/>
    </row>
    <row r="62" spans="3:17" s="89" customFormat="1" ht="14.25" hidden="1">
      <c r="C62" s="184"/>
      <c r="D62" s="184"/>
      <c r="E62" s="184"/>
      <c r="F62" s="94"/>
      <c r="G62" s="95"/>
      <c r="H62" s="96"/>
      <c r="I62" s="96"/>
      <c r="J62" s="95"/>
      <c r="K62" s="185"/>
      <c r="L62" s="185"/>
      <c r="M62" s="95"/>
      <c r="N62" s="185"/>
      <c r="O62" s="98"/>
      <c r="P62" s="95"/>
      <c r="Q62" s="95"/>
    </row>
    <row r="63" spans="3:17" s="89" customFormat="1" ht="14.25" hidden="1">
      <c r="C63" s="184"/>
      <c r="D63" s="184"/>
      <c r="E63" s="184"/>
      <c r="F63" s="94"/>
      <c r="G63" s="95"/>
      <c r="H63" s="96"/>
      <c r="I63" s="96"/>
      <c r="J63" s="95"/>
      <c r="K63" s="185"/>
      <c r="L63" s="185"/>
      <c r="M63" s="95"/>
      <c r="N63" s="185"/>
      <c r="O63" s="98"/>
      <c r="P63" s="95"/>
      <c r="Q63" s="95"/>
    </row>
    <row r="64" spans="3:17" s="89" customFormat="1" ht="14.25" hidden="1">
      <c r="C64" s="184"/>
      <c r="D64" s="184"/>
      <c r="E64" s="184"/>
      <c r="F64" s="94"/>
      <c r="G64" s="95"/>
      <c r="H64" s="96"/>
      <c r="I64" s="96"/>
      <c r="J64" s="95"/>
      <c r="K64" s="185"/>
      <c r="L64" s="185"/>
      <c r="M64" s="95"/>
      <c r="N64" s="185"/>
      <c r="O64" s="98"/>
      <c r="P64" s="95"/>
      <c r="Q64" s="95"/>
    </row>
    <row r="65" spans="3:17" s="89" customFormat="1" ht="14.25" hidden="1">
      <c r="C65" s="184"/>
      <c r="D65" s="184"/>
      <c r="E65" s="184"/>
      <c r="F65" s="94"/>
      <c r="G65" s="95"/>
      <c r="H65" s="96"/>
      <c r="I65" s="96"/>
      <c r="J65" s="95"/>
      <c r="K65" s="185"/>
      <c r="L65" s="185"/>
      <c r="M65" s="95"/>
      <c r="N65" s="185"/>
      <c r="O65" s="98"/>
      <c r="P65" s="95"/>
      <c r="Q65" s="95"/>
    </row>
    <row r="66" spans="3:17" s="89" customFormat="1" ht="14.25" hidden="1">
      <c r="C66" s="184"/>
      <c r="D66" s="184"/>
      <c r="E66" s="184"/>
      <c r="F66" s="94"/>
      <c r="G66" s="95"/>
      <c r="H66" s="96"/>
      <c r="I66" s="96"/>
      <c r="J66" s="95"/>
      <c r="K66" s="185"/>
      <c r="L66" s="185"/>
      <c r="M66" s="95"/>
      <c r="N66" s="185"/>
      <c r="O66" s="98"/>
      <c r="P66" s="95"/>
      <c r="Q66" s="95"/>
    </row>
    <row r="67" spans="3:17" s="89" customFormat="1" ht="14.25" hidden="1">
      <c r="C67" s="184"/>
      <c r="D67" s="184"/>
      <c r="E67" s="184"/>
      <c r="F67" s="94"/>
      <c r="G67" s="95"/>
      <c r="H67" s="96"/>
      <c r="I67" s="96"/>
      <c r="J67" s="95"/>
      <c r="K67" s="185"/>
      <c r="L67" s="185"/>
      <c r="M67" s="95"/>
      <c r="N67" s="185"/>
      <c r="O67" s="98"/>
      <c r="P67" s="95"/>
      <c r="Q67" s="95"/>
    </row>
    <row r="68" spans="3:17" s="89" customFormat="1" ht="14.25" hidden="1">
      <c r="C68" s="184"/>
      <c r="D68" s="184"/>
      <c r="E68" s="184"/>
      <c r="F68" s="94"/>
      <c r="G68" s="95"/>
      <c r="H68" s="96"/>
      <c r="I68" s="96"/>
      <c r="J68" s="95"/>
      <c r="K68" s="185"/>
      <c r="L68" s="185"/>
      <c r="M68" s="95"/>
      <c r="N68" s="185"/>
      <c r="O68" s="98"/>
      <c r="P68" s="95"/>
      <c r="Q68" s="95"/>
    </row>
    <row r="69" spans="3:17" s="89" customFormat="1" ht="14.25">
      <c r="C69" s="184"/>
      <c r="D69" s="184"/>
      <c r="E69" s="184"/>
      <c r="F69" s="94"/>
      <c r="G69" s="95"/>
      <c r="H69" s="96"/>
      <c r="I69" s="96"/>
      <c r="J69" s="95"/>
      <c r="K69" s="185"/>
      <c r="L69" s="185"/>
      <c r="M69" s="95"/>
      <c r="N69" s="185"/>
      <c r="O69" s="98"/>
      <c r="P69" s="95"/>
      <c r="Q69" s="95"/>
    </row>
    <row r="70" spans="3:17" s="89" customFormat="1" ht="14.25">
      <c r="C70" s="184"/>
      <c r="D70" s="184"/>
      <c r="E70" s="184"/>
      <c r="F70" s="94"/>
      <c r="G70" s="95"/>
      <c r="H70" s="96"/>
      <c r="I70" s="96"/>
      <c r="J70" s="95"/>
      <c r="K70" s="185"/>
      <c r="L70" s="185"/>
      <c r="M70" s="95"/>
      <c r="N70" s="185"/>
      <c r="O70" s="98"/>
      <c r="P70" s="95"/>
      <c r="Q70" s="95"/>
    </row>
    <row r="71" spans="3:17" s="89" customFormat="1" ht="14.25">
      <c r="C71" s="184"/>
      <c r="D71" s="184"/>
      <c r="E71" s="184"/>
      <c r="F71" s="94"/>
      <c r="G71" s="95"/>
      <c r="H71" s="96"/>
      <c r="I71" s="96"/>
      <c r="J71" s="95"/>
      <c r="K71" s="185"/>
      <c r="L71" s="185"/>
      <c r="M71" s="95"/>
      <c r="N71" s="185"/>
      <c r="O71" s="98"/>
      <c r="P71" s="95"/>
      <c r="Q71" s="95"/>
    </row>
    <row r="72" spans="3:17" s="89" customFormat="1" ht="14.25">
      <c r="C72" s="184"/>
      <c r="D72" s="184"/>
      <c r="E72" s="184"/>
      <c r="F72" s="94"/>
      <c r="G72" s="95"/>
      <c r="H72" s="96"/>
      <c r="I72" s="96"/>
      <c r="J72" s="95"/>
      <c r="K72" s="185"/>
      <c r="L72" s="185"/>
      <c r="M72" s="95"/>
      <c r="N72" s="185"/>
      <c r="O72" s="98"/>
      <c r="P72" s="95"/>
      <c r="Q72" s="95"/>
    </row>
    <row r="73" spans="3:17" s="89" customFormat="1" ht="14.25">
      <c r="C73" s="184"/>
      <c r="D73" s="184"/>
      <c r="E73" s="184"/>
      <c r="F73" s="94"/>
      <c r="G73" s="95"/>
      <c r="H73" s="96"/>
      <c r="I73" s="96"/>
      <c r="J73" s="95"/>
      <c r="K73" s="185"/>
      <c r="L73" s="185"/>
      <c r="M73" s="95"/>
      <c r="N73" s="185"/>
      <c r="O73" s="98"/>
      <c r="P73" s="95"/>
      <c r="Q73" s="95"/>
    </row>
    <row r="74" ht="14.25"/>
    <row r="75" spans="3:17" s="193" customFormat="1" ht="12.75">
      <c r="C75" s="187"/>
      <c r="D75" s="187"/>
      <c r="E75" s="187"/>
      <c r="F75" s="188"/>
      <c r="G75" s="189"/>
      <c r="H75" s="190"/>
      <c r="I75" s="190"/>
      <c r="J75" s="189"/>
      <c r="K75" s="191"/>
      <c r="L75" s="191"/>
      <c r="M75" s="189"/>
      <c r="N75" s="191"/>
      <c r="O75" s="192"/>
      <c r="P75" s="189"/>
      <c r="Q75" s="189"/>
    </row>
    <row r="76" spans="3:17" s="199" customFormat="1" ht="15">
      <c r="C76" s="194"/>
      <c r="D76" s="194"/>
      <c r="E76" s="194"/>
      <c r="F76" s="139"/>
      <c r="G76" s="195"/>
      <c r="H76" s="196"/>
      <c r="I76" s="196"/>
      <c r="J76" s="195"/>
      <c r="K76" s="197"/>
      <c r="L76" s="197"/>
      <c r="M76" s="195"/>
      <c r="N76" s="197"/>
      <c r="O76" s="198"/>
      <c r="P76" s="195"/>
      <c r="Q76" s="195"/>
    </row>
    <row r="78" ht="14.25"/>
    <row r="79" ht="14.25"/>
    <row r="80" ht="14.25"/>
  </sheetData>
  <sheetProtection/>
  <mergeCells count="13">
    <mergeCell ref="AH6:AH8"/>
    <mergeCell ref="Y5:AH5"/>
    <mergeCell ref="Y6:Y8"/>
    <mergeCell ref="Z6:Z8"/>
    <mergeCell ref="AA6:AA8"/>
    <mergeCell ref="AB6:AB8"/>
    <mergeCell ref="AC6:AC8"/>
    <mergeCell ref="AD6:AD8"/>
    <mergeCell ref="AE6:AE8"/>
    <mergeCell ref="AF6:AF8"/>
    <mergeCell ref="E7:E8"/>
    <mergeCell ref="C11:D11"/>
    <mergeCell ref="AG6:AG8"/>
  </mergeCells>
  <printOptions horizontalCentered="1" verticalCentered="1"/>
  <pageMargins left="0.4724409448818898" right="0.2362204724409449" top="0.9448818897637796" bottom="0.2755905511811024" header="0.4330708661417323" footer="0.2755905511811024"/>
  <pageSetup fitToHeight="1" fitToWidth="1" horizontalDpi="600" verticalDpi="600" orientation="landscape" scale="5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2:R54"/>
  <sheetViews>
    <sheetView view="pageBreakPreview" zoomScale="70" zoomScaleNormal="70" zoomScaleSheetLayoutView="70" zoomScalePageLayoutView="0" workbookViewId="0" topLeftCell="A22">
      <selection activeCell="O54" sqref="B5:O54"/>
    </sheetView>
  </sheetViews>
  <sheetFormatPr defaultColWidth="12.7109375" defaultRowHeight="12.75"/>
  <cols>
    <col min="1" max="1" width="11.421875" style="49" customWidth="1"/>
    <col min="2" max="2" width="2.00390625" style="49" customWidth="1"/>
    <col min="3" max="3" width="5.421875" style="49" customWidth="1"/>
    <col min="4" max="4" width="10.57421875" style="49" customWidth="1"/>
    <col min="5" max="5" width="9.140625" style="49" customWidth="1"/>
    <col min="6" max="6" width="13.00390625" style="49" customWidth="1"/>
    <col min="7" max="7" width="11.8515625" style="49" customWidth="1"/>
    <col min="8" max="8" width="2.57421875" style="49" customWidth="1"/>
    <col min="9" max="9" width="11.00390625" style="49" customWidth="1"/>
    <col min="10" max="10" width="6.8515625" style="49" customWidth="1"/>
    <col min="11" max="11" width="7.140625" style="49" customWidth="1"/>
    <col min="12" max="12" width="9.421875" style="49" customWidth="1"/>
    <col min="13" max="13" width="13.8515625" style="49" customWidth="1"/>
    <col min="14" max="14" width="10.28125" style="49" customWidth="1"/>
    <col min="15" max="15" width="4.00390625" style="49" customWidth="1"/>
    <col min="16" max="34" width="0" style="49" hidden="1" customWidth="1"/>
    <col min="35" max="16384" width="12.7109375" style="49" customWidth="1"/>
  </cols>
  <sheetData>
    <row r="1" ht="15" thickBot="1"/>
    <row r="2" spans="2:15" ht="12" customHeight="1" thickBot="1">
      <c r="B2" s="50"/>
      <c r="C2" s="99"/>
      <c r="D2" s="99"/>
      <c r="E2" s="200"/>
      <c r="F2" s="101"/>
      <c r="G2" s="102"/>
      <c r="H2" s="102"/>
      <c r="I2" s="101"/>
      <c r="J2" s="103"/>
      <c r="K2" s="103"/>
      <c r="L2" s="101"/>
      <c r="M2" s="103"/>
      <c r="N2" s="104"/>
      <c r="O2" s="201"/>
    </row>
    <row r="3" spans="2:15" ht="69.75" customHeight="1" thickBot="1">
      <c r="B3" s="53"/>
      <c r="C3" s="54"/>
      <c r="D3" s="55"/>
      <c r="E3" s="57"/>
      <c r="F3" s="56"/>
      <c r="G3" s="57"/>
      <c r="H3" s="57"/>
      <c r="I3" s="55"/>
      <c r="J3" s="55"/>
      <c r="K3" s="55"/>
      <c r="L3" s="58"/>
      <c r="M3" s="57"/>
      <c r="N3" s="202"/>
      <c r="O3" s="60"/>
    </row>
    <row r="4" spans="2:15" ht="6.75" customHeight="1" thickBot="1">
      <c r="B4" s="53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0"/>
    </row>
    <row r="5" spans="2:15" ht="41.25" customHeight="1" thickBot="1">
      <c r="B5" s="53"/>
      <c r="C5" s="62" t="s">
        <v>0</v>
      </c>
      <c r="D5" s="203"/>
      <c r="E5" s="1058" t="s">
        <v>175</v>
      </c>
      <c r="F5" s="1058"/>
      <c r="G5" s="1058"/>
      <c r="H5" s="1058"/>
      <c r="I5" s="1059"/>
      <c r="J5" s="61"/>
      <c r="K5" s="65" t="s">
        <v>2</v>
      </c>
      <c r="L5" s="228">
        <v>4</v>
      </c>
      <c r="M5" s="66" t="s">
        <v>3</v>
      </c>
      <c r="N5" s="67">
        <v>12</v>
      </c>
      <c r="O5" s="60"/>
    </row>
    <row r="6" spans="2:15" ht="10.5" customHeight="1">
      <c r="B6" s="53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0"/>
    </row>
    <row r="7" spans="2:15" ht="10.5" customHeight="1">
      <c r="B7" s="53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0"/>
    </row>
    <row r="8" spans="2:17" ht="14.25">
      <c r="B8" s="53"/>
      <c r="C8" s="84" t="s">
        <v>56</v>
      </c>
      <c r="D8" s="84"/>
      <c r="E8" s="84"/>
      <c r="F8" s="84"/>
      <c r="G8" s="204">
        <f>'RUTA CRITICA PRESIÓN'!F33</f>
        <v>268</v>
      </c>
      <c r="H8" s="82"/>
      <c r="J8" s="49" t="s">
        <v>57</v>
      </c>
      <c r="L8" s="193"/>
      <c r="M8" s="80">
        <f>IF(G8&lt;1201,ROUND(G8^0.685*0.115,2),ROUND((G8-1200)*0.007+14.7,2))</f>
        <v>5.3</v>
      </c>
      <c r="N8" s="49" t="s">
        <v>58</v>
      </c>
      <c r="O8" s="60"/>
      <c r="Q8" s="49">
        <f>IF(G8&lt;1201,ROUND(G8^0.685*0.115,2),ROUND((G8-1200)*0.007+14.7,2))</f>
        <v>5.3</v>
      </c>
    </row>
    <row r="9" spans="2:15" ht="14.25" customHeight="1">
      <c r="B9" s="53"/>
      <c r="L9" s="193"/>
      <c r="M9" s="205">
        <f>M8*15.852</f>
        <v>84.01559999999999</v>
      </c>
      <c r="N9" s="49" t="s">
        <v>59</v>
      </c>
      <c r="O9" s="60"/>
    </row>
    <row r="10" spans="2:15" ht="14.25" customHeight="1">
      <c r="B10" s="53"/>
      <c r="L10" s="193"/>
      <c r="M10" s="205"/>
      <c r="O10" s="60"/>
    </row>
    <row r="11" spans="2:15" ht="21.75" customHeight="1">
      <c r="B11" s="53"/>
      <c r="C11" s="70">
        <v>1</v>
      </c>
      <c r="D11" s="77" t="s">
        <v>60</v>
      </c>
      <c r="I11" s="193"/>
      <c r="J11" s="193"/>
      <c r="K11" s="193"/>
      <c r="L11" s="80">
        <f>+'RUTA CRITICA PRESIÓN'!Q12</f>
        <v>7</v>
      </c>
      <c r="M11" s="70" t="s">
        <v>61</v>
      </c>
      <c r="N11" s="193"/>
      <c r="O11" s="60"/>
    </row>
    <row r="12" spans="2:15" ht="6.75" customHeight="1">
      <c r="B12" s="53"/>
      <c r="C12" s="70"/>
      <c r="D12" s="77"/>
      <c r="I12" s="193"/>
      <c r="J12" s="193"/>
      <c r="K12" s="193"/>
      <c r="L12" s="206"/>
      <c r="M12" s="70"/>
      <c r="N12" s="193"/>
      <c r="O12" s="60"/>
    </row>
    <row r="13" spans="2:15" ht="21.75" customHeight="1">
      <c r="B13" s="53"/>
      <c r="C13" s="70">
        <v>2</v>
      </c>
      <c r="D13" s="77" t="s">
        <v>62</v>
      </c>
      <c r="I13" s="193"/>
      <c r="J13" s="193"/>
      <c r="K13" s="193"/>
      <c r="L13" s="80">
        <f>+'RUTA CRITICA PRESIÓN'!P12</f>
        <v>14.319999999999995</v>
      </c>
      <c r="M13" s="70" t="s">
        <v>61</v>
      </c>
      <c r="N13" s="193"/>
      <c r="O13" s="60"/>
    </row>
    <row r="14" spans="2:15" ht="6.75" customHeight="1">
      <c r="B14" s="53"/>
      <c r="C14" s="70"/>
      <c r="D14" s="77"/>
      <c r="I14" s="193"/>
      <c r="J14" s="193"/>
      <c r="K14" s="193"/>
      <c r="L14" s="207"/>
      <c r="M14" s="70"/>
      <c r="N14" s="193"/>
      <c r="O14" s="60"/>
    </row>
    <row r="15" spans="2:15" ht="21.75" customHeight="1">
      <c r="B15" s="53"/>
      <c r="C15" s="70">
        <v>3</v>
      </c>
      <c r="D15" s="77" t="s">
        <v>63</v>
      </c>
      <c r="I15" s="193"/>
      <c r="J15" s="193"/>
      <c r="K15" s="193"/>
      <c r="L15" s="80">
        <f>+'RUTA CRITICA PRESIÓN'!P20</f>
        <v>1.71</v>
      </c>
      <c r="M15" s="70" t="s">
        <v>61</v>
      </c>
      <c r="N15" s="193"/>
      <c r="O15" s="60"/>
    </row>
    <row r="16" spans="2:15" ht="6.75" customHeight="1">
      <c r="B16" s="53"/>
      <c r="C16" s="70"/>
      <c r="D16" s="77"/>
      <c r="I16" s="193"/>
      <c r="J16" s="193"/>
      <c r="K16" s="193"/>
      <c r="L16" s="207"/>
      <c r="M16" s="70"/>
      <c r="N16" s="193"/>
      <c r="O16" s="60"/>
    </row>
    <row r="17" spans="2:15" ht="21.75" customHeight="1">
      <c r="B17" s="53"/>
      <c r="C17" s="70">
        <v>4</v>
      </c>
      <c r="D17" s="77" t="s">
        <v>64</v>
      </c>
      <c r="I17" s="193"/>
      <c r="J17" s="193"/>
      <c r="K17" s="193"/>
      <c r="L17" s="80">
        <f>+'RUTA CRITICA PRESIÓN'!P33</f>
        <v>0</v>
      </c>
      <c r="M17" s="70" t="s">
        <v>61</v>
      </c>
      <c r="N17" s="193"/>
      <c r="O17" s="60"/>
    </row>
    <row r="18" spans="2:15" ht="6.75" customHeight="1">
      <c r="B18" s="53"/>
      <c r="C18" s="70"/>
      <c r="D18" s="77"/>
      <c r="I18" s="193"/>
      <c r="J18" s="193"/>
      <c r="K18" s="193"/>
      <c r="L18" s="207"/>
      <c r="M18" s="70"/>
      <c r="N18" s="193"/>
      <c r="O18" s="60"/>
    </row>
    <row r="19" spans="2:15" ht="21.75" customHeight="1">
      <c r="B19" s="53"/>
      <c r="C19" s="70">
        <v>5</v>
      </c>
      <c r="D19" s="77" t="s">
        <v>65</v>
      </c>
      <c r="I19" s="193"/>
      <c r="J19" s="193"/>
      <c r="K19" s="193"/>
      <c r="L19" s="80">
        <v>4</v>
      </c>
      <c r="M19" s="70" t="s">
        <v>61</v>
      </c>
      <c r="N19" s="193"/>
      <c r="O19" s="60"/>
    </row>
    <row r="20" spans="2:15" ht="6.75" customHeight="1">
      <c r="B20" s="53"/>
      <c r="C20" s="70"/>
      <c r="D20" s="77"/>
      <c r="I20" s="193"/>
      <c r="J20" s="193"/>
      <c r="K20" s="193"/>
      <c r="L20" s="207"/>
      <c r="M20" s="70"/>
      <c r="N20" s="193"/>
      <c r="O20" s="60"/>
    </row>
    <row r="21" spans="2:15" ht="21.75" customHeight="1">
      <c r="B21" s="53"/>
      <c r="C21" s="70"/>
      <c r="D21" s="77" t="s">
        <v>66</v>
      </c>
      <c r="I21" s="193"/>
      <c r="J21" s="193"/>
      <c r="K21" s="193"/>
      <c r="L21" s="80">
        <f>'RUTA CRITICA PRESIÓN'!Q32</f>
        <v>25.32</v>
      </c>
      <c r="M21" s="70" t="s">
        <v>61</v>
      </c>
      <c r="N21" s="193"/>
      <c r="O21" s="60"/>
    </row>
    <row r="22" spans="2:15" ht="6.75" customHeight="1">
      <c r="B22" s="53"/>
      <c r="C22" s="70"/>
      <c r="D22" s="77"/>
      <c r="I22" s="193"/>
      <c r="J22" s="193"/>
      <c r="K22" s="193"/>
      <c r="L22" s="207"/>
      <c r="M22" s="70"/>
      <c r="N22" s="193"/>
      <c r="O22" s="60"/>
    </row>
    <row r="23" spans="2:15" ht="21.75" customHeight="1">
      <c r="B23" s="53"/>
      <c r="C23" s="70">
        <v>6</v>
      </c>
      <c r="D23" s="77" t="s">
        <v>67</v>
      </c>
      <c r="I23" s="193"/>
      <c r="J23" s="193"/>
      <c r="K23" s="193"/>
      <c r="L23" s="539">
        <v>1.5</v>
      </c>
      <c r="M23" s="70" t="s">
        <v>61</v>
      </c>
      <c r="N23" s="193"/>
      <c r="O23" s="60"/>
    </row>
    <row r="24" spans="2:15" ht="6.75" customHeight="1">
      <c r="B24" s="53"/>
      <c r="C24" s="70"/>
      <c r="D24" s="77"/>
      <c r="I24" s="193"/>
      <c r="J24" s="193"/>
      <c r="K24" s="193"/>
      <c r="L24" s="70"/>
      <c r="M24" s="70"/>
      <c r="N24" s="193"/>
      <c r="O24" s="60"/>
    </row>
    <row r="25" spans="2:17" ht="21.75" customHeight="1">
      <c r="B25" s="53"/>
      <c r="C25" s="70">
        <v>7</v>
      </c>
      <c r="D25" s="77" t="s">
        <v>68</v>
      </c>
      <c r="L25" s="193"/>
      <c r="O25" s="60"/>
      <c r="Q25" s="49" t="s">
        <v>176</v>
      </c>
    </row>
    <row r="26" spans="2:18" ht="19.5" customHeight="1">
      <c r="B26" s="53"/>
      <c r="C26" s="77"/>
      <c r="D26" s="73" t="s">
        <v>69</v>
      </c>
      <c r="E26" s="70"/>
      <c r="F26" s="70"/>
      <c r="G26" s="69" t="s">
        <v>70</v>
      </c>
      <c r="H26" s="69"/>
      <c r="I26" s="539">
        <v>3</v>
      </c>
      <c r="J26" s="70"/>
      <c r="K26" s="70" t="s">
        <v>61</v>
      </c>
      <c r="L26" s="193"/>
      <c r="O26" s="60"/>
      <c r="Q26" s="82" t="s">
        <v>177</v>
      </c>
      <c r="R26" s="82" t="s">
        <v>178</v>
      </c>
    </row>
    <row r="27" spans="2:15" ht="6.75" customHeight="1">
      <c r="B27" s="53"/>
      <c r="C27" s="77"/>
      <c r="D27" s="73"/>
      <c r="E27" s="70"/>
      <c r="F27" s="70"/>
      <c r="G27" s="69"/>
      <c r="H27" s="69"/>
      <c r="I27" s="206"/>
      <c r="J27" s="70"/>
      <c r="K27" s="70"/>
      <c r="L27" s="193"/>
      <c r="O27" s="60"/>
    </row>
    <row r="28" spans="2:18" ht="19.5" customHeight="1">
      <c r="B28" s="53"/>
      <c r="D28" s="73" t="s">
        <v>71</v>
      </c>
      <c r="E28" s="70"/>
      <c r="F28" s="70"/>
      <c r="G28" s="69" t="s">
        <v>72</v>
      </c>
      <c r="H28" s="69"/>
      <c r="I28" s="539">
        <f>I26*2</f>
        <v>6</v>
      </c>
      <c r="J28" s="70"/>
      <c r="K28" s="70" t="s">
        <v>61</v>
      </c>
      <c r="L28" s="193"/>
      <c r="O28" s="60"/>
      <c r="Q28" s="82">
        <v>4</v>
      </c>
      <c r="R28" s="82">
        <f>36.32+0.99+4.5+0.85</f>
        <v>42.660000000000004</v>
      </c>
    </row>
    <row r="29" spans="2:18" ht="6.75" customHeight="1">
      <c r="B29" s="53"/>
      <c r="D29" s="73"/>
      <c r="E29" s="70"/>
      <c r="F29" s="70"/>
      <c r="G29" s="69"/>
      <c r="H29" s="69"/>
      <c r="I29" s="206"/>
      <c r="J29" s="70"/>
      <c r="K29" s="70"/>
      <c r="L29" s="193"/>
      <c r="O29" s="60"/>
      <c r="Q29" s="82"/>
      <c r="R29" s="82"/>
    </row>
    <row r="30" spans="2:18" ht="19.5" customHeight="1">
      <c r="B30" s="53"/>
      <c r="D30" s="73" t="s">
        <v>73</v>
      </c>
      <c r="E30" s="70"/>
      <c r="F30" s="70"/>
      <c r="G30" s="69" t="s">
        <v>74</v>
      </c>
      <c r="H30" s="69"/>
      <c r="I30" s="539">
        <f>SUM(I26:I28)</f>
        <v>9</v>
      </c>
      <c r="J30" s="70"/>
      <c r="K30" s="70" t="s">
        <v>61</v>
      </c>
      <c r="L30" s="193"/>
      <c r="O30" s="60"/>
      <c r="Q30" s="82">
        <v>3</v>
      </c>
      <c r="R30" s="82">
        <f>27.38+0.76+3.43+0.64</f>
        <v>32.21</v>
      </c>
    </row>
    <row r="31" spans="2:18" ht="9.75" customHeight="1">
      <c r="B31" s="53"/>
      <c r="L31" s="193"/>
      <c r="O31" s="60"/>
      <c r="Q31" s="82"/>
      <c r="R31" s="82"/>
    </row>
    <row r="32" spans="2:18" ht="19.5" customHeight="1">
      <c r="B32" s="53"/>
      <c r="D32" s="208" t="s">
        <v>75</v>
      </c>
      <c r="E32" s="572">
        <v>3</v>
      </c>
      <c r="F32" s="209" t="s">
        <v>76</v>
      </c>
      <c r="G32" s="77"/>
      <c r="H32" s="77"/>
      <c r="I32" s="77"/>
      <c r="J32" s="210"/>
      <c r="K32" s="208" t="s">
        <v>77</v>
      </c>
      <c r="L32" s="159">
        <v>100</v>
      </c>
      <c r="M32" s="70" t="s">
        <v>78</v>
      </c>
      <c r="N32" s="77"/>
      <c r="O32" s="60"/>
      <c r="Q32" s="82">
        <v>6</v>
      </c>
      <c r="R32" s="82">
        <f>54.2+1.47+6.63+1.28</f>
        <v>63.580000000000005</v>
      </c>
    </row>
    <row r="33" spans="2:15" ht="7.5" customHeight="1">
      <c r="B33" s="53"/>
      <c r="D33" s="208"/>
      <c r="E33" s="151"/>
      <c r="F33" s="209"/>
      <c r="G33" s="77"/>
      <c r="H33" s="77"/>
      <c r="I33" s="77"/>
      <c r="J33" s="210"/>
      <c r="K33" s="208"/>
      <c r="L33" s="151"/>
      <c r="M33" s="77"/>
      <c r="N33" s="77"/>
      <c r="O33" s="60"/>
    </row>
    <row r="34" spans="2:17" ht="19.5" customHeight="1">
      <c r="B34" s="53"/>
      <c r="D34" s="208" t="s">
        <v>79</v>
      </c>
      <c r="E34" s="78">
        <f>M8*J51/100</f>
        <v>5.3</v>
      </c>
      <c r="F34" s="211" t="s">
        <v>80</v>
      </c>
      <c r="G34" s="77"/>
      <c r="H34" s="77"/>
      <c r="I34" s="77"/>
      <c r="J34" s="210"/>
      <c r="K34" s="69" t="s">
        <v>81</v>
      </c>
      <c r="L34" s="80">
        <f>(E34/1000)/(PI()*(E32*0.0254/2)^2)</f>
        <v>1.1621870865963246</v>
      </c>
      <c r="M34" s="70" t="s">
        <v>82</v>
      </c>
      <c r="N34" s="77"/>
      <c r="O34" s="60"/>
      <c r="Q34" s="49" t="s">
        <v>179</v>
      </c>
    </row>
    <row r="35" spans="2:15" ht="7.5" customHeight="1">
      <c r="B35" s="53"/>
      <c r="D35" s="212"/>
      <c r="E35" s="212"/>
      <c r="F35" s="77"/>
      <c r="G35" s="77"/>
      <c r="H35" s="77"/>
      <c r="I35" s="77"/>
      <c r="J35" s="77"/>
      <c r="K35" s="77"/>
      <c r="L35" s="70"/>
      <c r="M35" s="77"/>
      <c r="N35" s="77"/>
      <c r="O35" s="60"/>
    </row>
    <row r="36" spans="2:18" ht="19.5" customHeight="1">
      <c r="B36" s="53"/>
      <c r="D36" s="77"/>
      <c r="E36" s="77"/>
      <c r="F36" s="77"/>
      <c r="G36" s="77"/>
      <c r="H36" s="77"/>
      <c r="I36" s="77"/>
      <c r="J36" s="77"/>
      <c r="K36" s="208" t="s">
        <v>83</v>
      </c>
      <c r="L36" s="162">
        <f>(+E34/(280*L32*(+E32*0.0254)^2.63))^1.85</f>
        <v>0.03568749688855001</v>
      </c>
      <c r="M36" s="209" t="s">
        <v>84</v>
      </c>
      <c r="N36" s="77"/>
      <c r="O36" s="60"/>
      <c r="Q36" s="82" t="s">
        <v>177</v>
      </c>
      <c r="R36" s="82" t="s">
        <v>178</v>
      </c>
    </row>
    <row r="37" spans="2:15" ht="7.5" customHeight="1">
      <c r="B37" s="53"/>
      <c r="D37" s="77"/>
      <c r="E37" s="77"/>
      <c r="F37" s="77"/>
      <c r="G37" s="77"/>
      <c r="H37" s="77"/>
      <c r="I37" s="77"/>
      <c r="J37" s="77"/>
      <c r="K37" s="208"/>
      <c r="L37" s="213"/>
      <c r="M37" s="209"/>
      <c r="N37" s="77"/>
      <c r="O37" s="60"/>
    </row>
    <row r="38" spans="2:18" ht="19.5" customHeight="1">
      <c r="B38" s="53"/>
      <c r="C38" s="70">
        <v>8</v>
      </c>
      <c r="D38" s="77" t="s">
        <v>85</v>
      </c>
      <c r="G38" s="193"/>
      <c r="H38" s="193"/>
      <c r="I38" s="193"/>
      <c r="J38" s="193"/>
      <c r="K38" s="69" t="s">
        <v>86</v>
      </c>
      <c r="L38" s="78">
        <f>I30*L36</f>
        <v>0.3211874719969501</v>
      </c>
      <c r="M38" s="70" t="s">
        <v>87</v>
      </c>
      <c r="N38" s="193"/>
      <c r="O38" s="60"/>
      <c r="Q38" s="82">
        <v>4</v>
      </c>
      <c r="R38" s="82">
        <f>36.32+4.5+0.85</f>
        <v>41.67</v>
      </c>
    </row>
    <row r="39" spans="2:18" ht="7.5" customHeight="1">
      <c r="B39" s="53"/>
      <c r="L39" s="193"/>
      <c r="O39" s="60"/>
      <c r="Q39" s="82"/>
      <c r="R39" s="82"/>
    </row>
    <row r="40" spans="2:18" ht="19.5" customHeight="1">
      <c r="B40" s="53"/>
      <c r="D40" s="76" t="s">
        <v>88</v>
      </c>
      <c r="E40" s="68"/>
      <c r="F40" s="68"/>
      <c r="G40" s="68"/>
      <c r="H40" s="68"/>
      <c r="I40" s="68"/>
      <c r="L40" s="80">
        <f>L21+L23+L38</f>
        <v>27.14118747199695</v>
      </c>
      <c r="M40" s="70" t="s">
        <v>61</v>
      </c>
      <c r="O40" s="60"/>
      <c r="Q40" s="82">
        <v>3</v>
      </c>
      <c r="R40" s="82">
        <f>27.38+3.43+0.64</f>
        <v>31.45</v>
      </c>
    </row>
    <row r="41" spans="2:18" ht="7.5" customHeight="1">
      <c r="B41" s="53"/>
      <c r="L41" s="193"/>
      <c r="M41" s="82"/>
      <c r="O41" s="60"/>
      <c r="Q41" s="82"/>
      <c r="R41" s="82"/>
    </row>
    <row r="42" spans="2:18" ht="19.5" customHeight="1">
      <c r="B42" s="53"/>
      <c r="D42" s="214" t="s">
        <v>89</v>
      </c>
      <c r="E42" s="215"/>
      <c r="F42" s="215"/>
      <c r="G42" s="215"/>
      <c r="H42" s="215"/>
      <c r="I42" s="215"/>
      <c r="L42" s="216">
        <f>CEILING(L40,1)</f>
        <v>28</v>
      </c>
      <c r="M42" s="70" t="s">
        <v>61</v>
      </c>
      <c r="O42" s="60"/>
      <c r="Q42" s="82">
        <v>6</v>
      </c>
      <c r="R42" s="82">
        <f>54.2+6.63+1.28</f>
        <v>62.11000000000001</v>
      </c>
    </row>
    <row r="43" spans="2:15" ht="7.5" customHeight="1">
      <c r="B43" s="53"/>
      <c r="L43" s="193"/>
      <c r="O43" s="60"/>
    </row>
    <row r="44" spans="2:15" ht="7.5" customHeight="1">
      <c r="B44" s="53"/>
      <c r="L44" s="193"/>
      <c r="O44" s="60"/>
    </row>
    <row r="45" spans="2:15" ht="19.5" customHeight="1">
      <c r="B45" s="53"/>
      <c r="D45" s="217" t="s">
        <v>90</v>
      </c>
      <c r="E45" s="218" t="s">
        <v>91</v>
      </c>
      <c r="F45" s="218"/>
      <c r="I45" s="193"/>
      <c r="J45" s="193"/>
      <c r="K45" s="193"/>
      <c r="L45" s="69" t="s">
        <v>92</v>
      </c>
      <c r="M45" s="527">
        <v>60</v>
      </c>
      <c r="N45" s="70" t="s">
        <v>93</v>
      </c>
      <c r="O45" s="60"/>
    </row>
    <row r="46" spans="2:15" ht="19.5" customHeight="1">
      <c r="B46" s="53"/>
      <c r="D46" s="217"/>
      <c r="E46" s="76" t="s">
        <v>94</v>
      </c>
      <c r="F46" s="76"/>
      <c r="L46" s="193"/>
      <c r="O46" s="60"/>
    </row>
    <row r="47" spans="2:15" ht="19.5" customHeight="1">
      <c r="B47" s="53"/>
      <c r="D47" s="217"/>
      <c r="E47" s="76"/>
      <c r="F47" s="76"/>
      <c r="L47" s="193"/>
      <c r="O47" s="60"/>
    </row>
    <row r="48" spans="2:15" ht="19.5" customHeight="1">
      <c r="B48" s="53"/>
      <c r="D48" s="217" t="s">
        <v>90</v>
      </c>
      <c r="E48" s="207">
        <f>+M8</f>
        <v>5.3</v>
      </c>
      <c r="F48" s="218" t="s">
        <v>95</v>
      </c>
      <c r="G48" s="207">
        <v>0.75</v>
      </c>
      <c r="H48" s="219" t="s">
        <v>6</v>
      </c>
      <c r="I48" s="220">
        <f>M8*L42/(76*M45/100)</f>
        <v>3.254385964912281</v>
      </c>
      <c r="J48" s="221"/>
      <c r="L48" s="222" t="s">
        <v>96</v>
      </c>
      <c r="M48" s="223">
        <f>CEILING(I48,1)</f>
        <v>4</v>
      </c>
      <c r="N48" s="85" t="s">
        <v>97</v>
      </c>
      <c r="O48" s="60"/>
    </row>
    <row r="49" spans="2:15" ht="19.5" customHeight="1">
      <c r="B49" s="53"/>
      <c r="E49" s="70">
        <v>76</v>
      </c>
      <c r="F49" s="76" t="s">
        <v>98</v>
      </c>
      <c r="G49" s="70">
        <f>+M45</f>
        <v>60</v>
      </c>
      <c r="H49" s="70"/>
      <c r="L49" s="193"/>
      <c r="O49" s="60"/>
    </row>
    <row r="50" spans="2:18" ht="19.5" customHeight="1">
      <c r="B50" s="53"/>
      <c r="E50" s="70"/>
      <c r="F50" s="76"/>
      <c r="G50" s="70"/>
      <c r="H50" s="70"/>
      <c r="L50" s="193"/>
      <c r="O50" s="60"/>
      <c r="Q50" s="49" t="s">
        <v>392</v>
      </c>
      <c r="R50" s="49" t="s">
        <v>393</v>
      </c>
    </row>
    <row r="51" spans="2:18" ht="18">
      <c r="B51" s="53"/>
      <c r="D51" s="210" t="s">
        <v>99</v>
      </c>
      <c r="E51" s="224"/>
      <c r="F51" s="537">
        <v>1</v>
      </c>
      <c r="G51" s="210" t="s">
        <v>100</v>
      </c>
      <c r="H51" s="210"/>
      <c r="I51" s="210"/>
      <c r="J51" s="536">
        <v>100</v>
      </c>
      <c r="K51" s="210" t="s">
        <v>101</v>
      </c>
      <c r="L51" s="210"/>
      <c r="N51" s="567" t="s">
        <v>380</v>
      </c>
      <c r="O51" s="60"/>
      <c r="Q51" s="82">
        <f>+(J51/100)*$M$48</f>
        <v>4</v>
      </c>
      <c r="R51" s="82">
        <v>5</v>
      </c>
    </row>
    <row r="52" spans="2:18" ht="18">
      <c r="B52" s="53"/>
      <c r="D52" s="210" t="s">
        <v>99</v>
      </c>
      <c r="E52" s="224"/>
      <c r="F52" s="537">
        <v>1</v>
      </c>
      <c r="G52" s="210" t="s">
        <v>100</v>
      </c>
      <c r="H52" s="210"/>
      <c r="I52" s="210"/>
      <c r="J52" s="536">
        <v>100</v>
      </c>
      <c r="K52" s="210" t="s">
        <v>101</v>
      </c>
      <c r="L52" s="210"/>
      <c r="N52" s="567" t="s">
        <v>381</v>
      </c>
      <c r="O52" s="60"/>
      <c r="Q52" s="82">
        <f>+(J52/100)*$M$48</f>
        <v>4</v>
      </c>
      <c r="R52" s="82">
        <v>5</v>
      </c>
    </row>
    <row r="53" spans="2:15" ht="14.25">
      <c r="B53" s="53"/>
      <c r="D53" s="210"/>
      <c r="E53" s="224"/>
      <c r="F53" s="224"/>
      <c r="G53" s="224"/>
      <c r="H53" s="224"/>
      <c r="I53" s="224"/>
      <c r="J53" s="224"/>
      <c r="K53" s="224"/>
      <c r="L53" s="224"/>
      <c r="M53" s="224"/>
      <c r="O53" s="60"/>
    </row>
    <row r="54" spans="2:15" s="89" customFormat="1" ht="12" customHeight="1" thickBot="1">
      <c r="B54" s="86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8"/>
    </row>
    <row r="55" s="89" customFormat="1" ht="6" customHeight="1"/>
    <row r="56" s="89" customFormat="1" ht="8.25" customHeight="1"/>
    <row r="57" s="89" customFormat="1" ht="14.25"/>
    <row r="58" s="89" customFormat="1" ht="14.25"/>
    <row r="59" s="89" customFormat="1" ht="14.25"/>
    <row r="60" s="89" customFormat="1" ht="14.25"/>
    <row r="61" s="89" customFormat="1" ht="14.25"/>
    <row r="62" s="89" customFormat="1" ht="14.25"/>
    <row r="63" s="89" customFormat="1" ht="14.25"/>
    <row r="64" s="89" customFormat="1" ht="14.25"/>
    <row r="65" s="89" customFormat="1" ht="14.25"/>
    <row r="66" s="89" customFormat="1" ht="14.25"/>
    <row r="67" s="89" customFormat="1" ht="14.25"/>
    <row r="68" s="89" customFormat="1" ht="14.25"/>
    <row r="69" s="89" customFormat="1" ht="14.25"/>
    <row r="70" s="89" customFormat="1" ht="14.25"/>
    <row r="71" s="89" customFormat="1" ht="14.25"/>
    <row r="72" s="89" customFormat="1" ht="14.25"/>
    <row r="73" s="89" customFormat="1" ht="14.25"/>
    <row r="74" s="89" customFormat="1" ht="14.25"/>
    <row r="75" s="89" customFormat="1" ht="14.25"/>
    <row r="76" s="89" customFormat="1" ht="14.25"/>
    <row r="77" s="89" customFormat="1" ht="14.25"/>
    <row r="78" s="89" customFormat="1" ht="14.25"/>
    <row r="79" s="89" customFormat="1" ht="14.25"/>
    <row r="80" s="89" customFormat="1" ht="14.25"/>
    <row r="81" s="89" customFormat="1" ht="14.25"/>
    <row r="82" s="89" customFormat="1" ht="14.25"/>
    <row r="83" s="89" customFormat="1" ht="14.25"/>
    <row r="84" s="89" customFormat="1" ht="14.25"/>
    <row r="85" s="89" customFormat="1" ht="14.25"/>
    <row r="86" s="89" customFormat="1" ht="14.25"/>
    <row r="87" s="89" customFormat="1" ht="14.25"/>
    <row r="88" s="89" customFormat="1" ht="14.25"/>
    <row r="89" s="89" customFormat="1" ht="14.25"/>
    <row r="90" s="89" customFormat="1" ht="14.25"/>
    <row r="91" s="89" customFormat="1" ht="14.25"/>
    <row r="92" s="89" customFormat="1" ht="14.25"/>
    <row r="93" s="89" customFormat="1" ht="14.25"/>
    <row r="94" s="89" customFormat="1" ht="14.25"/>
    <row r="95" s="89" customFormat="1" ht="14.25"/>
    <row r="96" s="89" customFormat="1" ht="14.25"/>
    <row r="97" s="89" customFormat="1" ht="14.25"/>
    <row r="98" s="89" customFormat="1" ht="14.25"/>
    <row r="99" s="89" customFormat="1" ht="14.25"/>
    <row r="100" s="89" customFormat="1" ht="14.25"/>
    <row r="101" s="89" customFormat="1" ht="14.25" customHeight="1"/>
    <row r="102" s="89" customFormat="1" ht="14.25"/>
    <row r="103" s="89" customFormat="1" ht="14.25" customHeight="1"/>
    <row r="104" s="89" customFormat="1" ht="14.25" customHeight="1"/>
    <row r="105" s="89" customFormat="1" ht="14.25" customHeight="1"/>
    <row r="106" s="89" customFormat="1" ht="14.25" customHeight="1"/>
    <row r="107" s="89" customFormat="1" ht="14.25" customHeight="1"/>
    <row r="108" s="89" customFormat="1" ht="14.25"/>
    <row r="109" s="91" customFormat="1" ht="15" customHeight="1"/>
    <row r="110" s="89" customFormat="1" ht="14.25" customHeight="1"/>
    <row r="111" s="89" customFormat="1" ht="14.25" customHeight="1"/>
    <row r="112" s="89" customFormat="1" ht="14.25" customHeight="1"/>
    <row r="113" s="89" customFormat="1" ht="14.25" customHeight="1"/>
    <row r="114" s="89" customFormat="1" ht="14.25" customHeight="1"/>
    <row r="115" s="89" customFormat="1" ht="14.25" customHeight="1"/>
    <row r="116" s="89" customFormat="1" ht="14.25"/>
    <row r="117" s="89" customFormat="1" ht="14.25"/>
    <row r="118" s="89" customFormat="1" ht="14.25"/>
    <row r="119" s="89" customFormat="1" ht="14.25"/>
    <row r="120" s="89" customFormat="1" ht="14.25"/>
    <row r="121" s="89" customFormat="1" ht="14.25"/>
    <row r="122" s="89" customFormat="1" ht="14.25"/>
    <row r="123" s="89" customFormat="1" ht="14.25"/>
    <row r="124" s="89" customFormat="1" ht="14.25"/>
    <row r="125" s="89" customFormat="1" ht="14.25"/>
    <row r="126" s="89" customFormat="1" ht="14.25"/>
    <row r="127" s="89" customFormat="1" ht="14.25"/>
    <row r="128" s="89" customFormat="1" ht="14.25"/>
    <row r="129" s="89" customFormat="1" ht="14.25"/>
    <row r="130" s="89" customFormat="1" ht="14.25"/>
    <row r="131" s="89" customFormat="1" ht="14.25"/>
    <row r="132" s="89" customFormat="1" ht="14.25"/>
    <row r="133" s="89" customFormat="1" ht="14.25"/>
    <row r="134" s="89" customFormat="1" ht="14.25"/>
    <row r="135" s="89" customFormat="1" ht="14.25"/>
    <row r="136" s="89" customFormat="1" ht="14.25"/>
    <row r="137" s="89" customFormat="1" ht="14.25"/>
    <row r="138" s="89" customFormat="1" ht="14.25"/>
    <row r="139" s="89" customFormat="1" ht="14.25"/>
    <row r="140" s="89" customFormat="1" ht="14.25"/>
    <row r="141" s="89" customFormat="1" ht="14.25"/>
    <row r="142" s="89" customFormat="1" ht="14.25"/>
    <row r="143" s="89" customFormat="1" ht="14.25"/>
    <row r="144" s="89" customFormat="1" ht="14.25"/>
    <row r="145" s="89" customFormat="1" ht="14.25"/>
    <row r="146" s="89" customFormat="1" ht="14.25"/>
    <row r="147" s="89" customFormat="1" ht="14.25"/>
    <row r="148" s="89" customFormat="1" ht="14.25"/>
    <row r="149" s="89" customFormat="1" ht="14.25"/>
    <row r="151" s="193" customFormat="1" ht="12.75"/>
    <row r="152" s="199" customFormat="1" ht="15"/>
  </sheetData>
  <sheetProtection/>
  <mergeCells count="1">
    <mergeCell ref="E5:I5"/>
  </mergeCells>
  <printOptions horizontalCentered="1" verticalCentered="1"/>
  <pageMargins left="0.58" right="0.5905511811023623" top="0.4330708661417323" bottom="0.8267716535433072" header="0.2755905511811024" footer="0.6299212598425197"/>
  <pageSetup fitToHeight="1" fitToWidth="1" horizontalDpi="600" verticalDpi="600" orientation="portrait" scale="81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3:S48"/>
  <sheetViews>
    <sheetView view="pageBreakPreview" zoomScale="70" zoomScaleNormal="115" zoomScaleSheetLayoutView="70" zoomScalePageLayoutView="0" workbookViewId="0" topLeftCell="A1">
      <selection activeCell="B5" sqref="B5:M48"/>
    </sheetView>
  </sheetViews>
  <sheetFormatPr defaultColWidth="12.7109375" defaultRowHeight="12.75"/>
  <cols>
    <col min="1" max="1" width="5.00390625" style="49" customWidth="1"/>
    <col min="2" max="2" width="2.00390625" style="49" customWidth="1"/>
    <col min="3" max="3" width="12.421875" style="49" customWidth="1"/>
    <col min="4" max="4" width="9.140625" style="49" customWidth="1"/>
    <col min="5" max="5" width="8.7109375" style="49" customWidth="1"/>
    <col min="6" max="6" width="9.7109375" style="49" customWidth="1"/>
    <col min="7" max="7" width="11.00390625" style="49" customWidth="1"/>
    <col min="8" max="8" width="3.421875" style="49" customWidth="1"/>
    <col min="9" max="9" width="7.140625" style="49" customWidth="1"/>
    <col min="10" max="10" width="9.421875" style="49" customWidth="1"/>
    <col min="11" max="11" width="10.8515625" style="49" customWidth="1"/>
    <col min="12" max="12" width="8.421875" style="49" customWidth="1"/>
    <col min="13" max="13" width="3.8515625" style="49" customWidth="1"/>
    <col min="14" max="24" width="0" style="49" hidden="1" customWidth="1"/>
    <col min="25" max="16384" width="12.7109375" style="49" customWidth="1"/>
  </cols>
  <sheetData>
    <row r="2" ht="15" thickBot="1"/>
    <row r="3" spans="2:13" ht="12" customHeight="1" thickBot="1"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</row>
    <row r="4" spans="2:13" ht="69.75" customHeight="1" thickBot="1">
      <c r="B4" s="53"/>
      <c r="C4" s="54"/>
      <c r="D4" s="55"/>
      <c r="E4" s="225"/>
      <c r="F4" s="57"/>
      <c r="G4" s="57"/>
      <c r="H4" s="55"/>
      <c r="I4" s="55"/>
      <c r="J4" s="55"/>
      <c r="K4" s="58"/>
      <c r="L4" s="226"/>
      <c r="M4" s="60"/>
    </row>
    <row r="5" spans="2:13" ht="6.75" customHeight="1" thickBot="1">
      <c r="B5" s="53"/>
      <c r="C5" s="61"/>
      <c r="D5" s="61"/>
      <c r="E5" s="61"/>
      <c r="F5" s="61"/>
      <c r="G5" s="61"/>
      <c r="H5" s="61"/>
      <c r="I5" s="61"/>
      <c r="J5" s="61"/>
      <c r="K5" s="61"/>
      <c r="L5" s="61"/>
      <c r="M5" s="60"/>
    </row>
    <row r="6" spans="2:13" ht="41.25" customHeight="1" thickBot="1">
      <c r="B6" s="53"/>
      <c r="C6" s="62" t="s">
        <v>0</v>
      </c>
      <c r="D6" s="1060" t="s">
        <v>180</v>
      </c>
      <c r="E6" s="1060"/>
      <c r="F6" s="1060"/>
      <c r="G6" s="1061"/>
      <c r="H6" s="61"/>
      <c r="I6" s="227" t="s">
        <v>2</v>
      </c>
      <c r="J6" s="228">
        <v>5</v>
      </c>
      <c r="K6" s="229" t="s">
        <v>3</v>
      </c>
      <c r="L6" s="67">
        <v>12</v>
      </c>
      <c r="M6" s="60"/>
    </row>
    <row r="7" spans="2:13" ht="10.5" customHeight="1">
      <c r="B7" s="53"/>
      <c r="C7" s="61"/>
      <c r="D7" s="61"/>
      <c r="E7" s="61"/>
      <c r="F7" s="61"/>
      <c r="G7" s="61"/>
      <c r="H7" s="61"/>
      <c r="I7" s="61"/>
      <c r="J7" s="61"/>
      <c r="K7" s="61"/>
      <c r="L7" s="61"/>
      <c r="M7" s="60"/>
    </row>
    <row r="8" spans="2:13" ht="15.75">
      <c r="B8" s="53"/>
      <c r="C8" s="230" t="s">
        <v>102</v>
      </c>
      <c r="D8" s="84"/>
      <c r="E8" s="84"/>
      <c r="F8" s="84"/>
      <c r="G8" s="84"/>
      <c r="H8" s="84"/>
      <c r="I8" s="84"/>
      <c r="J8" s="84"/>
      <c r="K8" s="84"/>
      <c r="L8" s="84"/>
      <c r="M8" s="60"/>
    </row>
    <row r="9" spans="2:13" ht="15.75">
      <c r="B9" s="53"/>
      <c r="C9" s="230" t="s">
        <v>103</v>
      </c>
      <c r="D9" s="84"/>
      <c r="E9" s="84"/>
      <c r="F9" s="84"/>
      <c r="G9" s="84"/>
      <c r="H9" s="84"/>
      <c r="I9" s="84"/>
      <c r="J9" s="84"/>
      <c r="K9" s="84"/>
      <c r="L9" s="84"/>
      <c r="M9" s="60"/>
    </row>
    <row r="10" spans="2:13" ht="14.25">
      <c r="B10" s="53"/>
      <c r="M10" s="60"/>
    </row>
    <row r="11" spans="2:13" ht="15">
      <c r="B11" s="53"/>
      <c r="C11" s="231" t="s">
        <v>104</v>
      </c>
      <c r="D11" s="84"/>
      <c r="E11" s="84"/>
      <c r="F11" s="84"/>
      <c r="G11" s="84"/>
      <c r="H11" s="84"/>
      <c r="I11" s="84"/>
      <c r="J11" s="84"/>
      <c r="K11" s="84"/>
      <c r="L11" s="84"/>
      <c r="M11" s="60"/>
    </row>
    <row r="12" spans="2:13" ht="14.25">
      <c r="B12" s="53"/>
      <c r="C12" s="70"/>
      <c r="K12" s="82"/>
      <c r="M12" s="60"/>
    </row>
    <row r="13" spans="2:13" ht="14.25">
      <c r="B13" s="53"/>
      <c r="C13" s="70"/>
      <c r="K13" s="82"/>
      <c r="M13" s="60"/>
    </row>
    <row r="14" spans="2:13" ht="14.25">
      <c r="B14" s="53"/>
      <c r="C14" s="232"/>
      <c r="K14" s="82"/>
      <c r="M14" s="60"/>
    </row>
    <row r="15" spans="2:13" ht="15">
      <c r="B15" s="53"/>
      <c r="C15" s="70"/>
      <c r="D15" s="232"/>
      <c r="F15" s="233" t="s">
        <v>105</v>
      </c>
      <c r="G15" s="538">
        <v>1800</v>
      </c>
      <c r="H15" s="234"/>
      <c r="I15" s="234" t="s">
        <v>106</v>
      </c>
      <c r="J15" s="232"/>
      <c r="K15" s="82"/>
      <c r="M15" s="60"/>
    </row>
    <row r="16" spans="2:13" ht="15" thickBot="1">
      <c r="B16" s="53"/>
      <c r="K16" s="82"/>
      <c r="M16" s="60"/>
    </row>
    <row r="17" spans="2:18" ht="15.75" thickBot="1">
      <c r="B17" s="53"/>
      <c r="C17" s="235" t="s">
        <v>107</v>
      </c>
      <c r="D17" s="57"/>
      <c r="E17" s="57"/>
      <c r="F17" s="236"/>
      <c r="G17" s="57"/>
      <c r="H17" s="57"/>
      <c r="I17" s="57"/>
      <c r="J17" s="57"/>
      <c r="K17" s="57"/>
      <c r="L17" s="59"/>
      <c r="M17" s="60"/>
      <c r="O17" s="491" t="s">
        <v>321</v>
      </c>
      <c r="P17" s="492" t="s">
        <v>326</v>
      </c>
      <c r="Q17" s="492" t="s">
        <v>328</v>
      </c>
      <c r="R17" s="493" t="s">
        <v>327</v>
      </c>
    </row>
    <row r="18" spans="2:18" ht="15" thickBot="1">
      <c r="B18" s="53"/>
      <c r="C18" s="232"/>
      <c r="D18" s="84"/>
      <c r="E18" s="84"/>
      <c r="F18" s="84"/>
      <c r="G18" s="84"/>
      <c r="H18" s="84"/>
      <c r="I18" s="84"/>
      <c r="J18" s="84"/>
      <c r="K18" s="84"/>
      <c r="L18" s="84"/>
      <c r="M18" s="60"/>
      <c r="O18" s="498">
        <f>G15</f>
        <v>1800</v>
      </c>
      <c r="P18" s="495">
        <f>1013.3/(EXP(O18/(8430.15-(O18*0.09514))))</f>
        <v>814.8636981754385</v>
      </c>
      <c r="Q18" s="495">
        <f>P18*(0.01019744)</f>
        <v>8.309523670322143</v>
      </c>
      <c r="R18" s="497">
        <f>1.42*Q18</f>
        <v>11.799523611857442</v>
      </c>
    </row>
    <row r="19" spans="2:13" ht="14.25">
      <c r="B19" s="53"/>
      <c r="C19" s="232"/>
      <c r="D19" s="84"/>
      <c r="E19" s="84"/>
      <c r="H19" s="84"/>
      <c r="I19" s="84"/>
      <c r="J19" s="84"/>
      <c r="K19" s="84"/>
      <c r="L19" s="84"/>
      <c r="M19" s="60"/>
    </row>
    <row r="20" spans="2:19" ht="15">
      <c r="B20" s="53"/>
      <c r="F20" s="233" t="s">
        <v>108</v>
      </c>
      <c r="G20" s="488">
        <f>Q18</f>
        <v>8.309523670322143</v>
      </c>
      <c r="I20" s="82"/>
      <c r="M20" s="60"/>
      <c r="O20"/>
      <c r="P20"/>
      <c r="Q20" s="487" t="s">
        <v>322</v>
      </c>
      <c r="R20"/>
      <c r="S20"/>
    </row>
    <row r="21" spans="2:19" ht="14.25">
      <c r="B21" s="53"/>
      <c r="F21" s="217"/>
      <c r="I21" s="82"/>
      <c r="M21" s="60"/>
      <c r="O21"/>
      <c r="P21"/>
      <c r="Q21"/>
      <c r="R21"/>
      <c r="S21"/>
    </row>
    <row r="22" spans="2:19" ht="15" thickBot="1">
      <c r="B22" s="53"/>
      <c r="C22" s="232"/>
      <c r="F22" s="217"/>
      <c r="I22" s="82"/>
      <c r="M22" s="60"/>
      <c r="O22"/>
      <c r="P22"/>
      <c r="Q22" s="310" t="s">
        <v>323</v>
      </c>
      <c r="R22"/>
      <c r="S22"/>
    </row>
    <row r="23" spans="2:19" ht="19.5" customHeight="1" thickBot="1">
      <c r="B23" s="53"/>
      <c r="C23" s="237"/>
      <c r="D23" s="77"/>
      <c r="E23" s="77"/>
      <c r="F23" s="233" t="s">
        <v>109</v>
      </c>
      <c r="G23" s="238"/>
      <c r="I23" s="499">
        <f>'C.D.T. PRESIÓN'!L23+'C.D.T. PRESIÓN'!L38</f>
        <v>1.82118747199695</v>
      </c>
      <c r="J23" s="90" t="s">
        <v>87</v>
      </c>
      <c r="M23" s="60"/>
      <c r="O23"/>
      <c r="P23"/>
      <c r="Q23"/>
      <c r="R23"/>
      <c r="S23"/>
    </row>
    <row r="24" spans="2:19" ht="14.25">
      <c r="B24" s="53"/>
      <c r="F24" s="217"/>
      <c r="M24" s="60"/>
      <c r="O24"/>
      <c r="P24"/>
      <c r="Q24" s="310" t="s">
        <v>324</v>
      </c>
      <c r="R24"/>
      <c r="S24"/>
    </row>
    <row r="25" spans="2:19" ht="15" thickBot="1">
      <c r="B25" s="53"/>
      <c r="E25" s="184"/>
      <c r="F25" s="93"/>
      <c r="G25" s="205"/>
      <c r="H25" s="93"/>
      <c r="I25" s="184"/>
      <c r="J25" s="93"/>
      <c r="K25" s="205"/>
      <c r="M25" s="60"/>
      <c r="O25"/>
      <c r="P25"/>
      <c r="Q25"/>
      <c r="R25"/>
      <c r="S25"/>
    </row>
    <row r="26" spans="2:19" ht="15.75" thickBot="1">
      <c r="B26" s="53"/>
      <c r="C26" s="235" t="s">
        <v>110</v>
      </c>
      <c r="D26" s="57"/>
      <c r="E26" s="239"/>
      <c r="F26" s="240"/>
      <c r="G26" s="239"/>
      <c r="H26" s="239"/>
      <c r="I26" s="239"/>
      <c r="J26" s="239"/>
      <c r="K26" s="239"/>
      <c r="L26" s="59"/>
      <c r="M26" s="60"/>
      <c r="O26"/>
      <c r="P26"/>
      <c r="Q26" s="310" t="s">
        <v>325</v>
      </c>
      <c r="R26"/>
      <c r="S26"/>
    </row>
    <row r="27" spans="2:13" ht="14.25">
      <c r="B27" s="53"/>
      <c r="C27" s="76"/>
      <c r="D27" s="84"/>
      <c r="E27" s="241"/>
      <c r="F27" s="241"/>
      <c r="G27" s="241"/>
      <c r="H27" s="241"/>
      <c r="I27" s="241"/>
      <c r="J27" s="241"/>
      <c r="K27" s="241"/>
      <c r="L27" s="84"/>
      <c r="M27" s="60"/>
    </row>
    <row r="28" spans="2:13" ht="15" thickBot="1">
      <c r="B28" s="53"/>
      <c r="C28" s="232"/>
      <c r="I28" s="241"/>
      <c r="J28" s="241"/>
      <c r="K28" s="241"/>
      <c r="L28" s="84"/>
      <c r="M28" s="60"/>
    </row>
    <row r="29" spans="2:18" ht="14.25">
      <c r="B29" s="53"/>
      <c r="C29" s="232"/>
      <c r="D29" s="84"/>
      <c r="E29" s="241"/>
      <c r="F29" s="184" t="s">
        <v>336</v>
      </c>
      <c r="G29" s="563">
        <v>12</v>
      </c>
      <c r="H29" s="490" t="s">
        <v>335</v>
      </c>
      <c r="I29" s="184"/>
      <c r="J29" s="93"/>
      <c r="K29" s="93"/>
      <c r="M29" s="60"/>
      <c r="O29" s="491" t="s">
        <v>218</v>
      </c>
      <c r="P29" s="492" t="s">
        <v>326</v>
      </c>
      <c r="Q29" s="492" t="s">
        <v>328</v>
      </c>
      <c r="R29" s="493" t="s">
        <v>327</v>
      </c>
    </row>
    <row r="30" spans="2:18" ht="15.75" thickBot="1">
      <c r="B30" s="53"/>
      <c r="C30" s="232"/>
      <c r="E30" s="184"/>
      <c r="F30" s="234" t="s">
        <v>111</v>
      </c>
      <c r="G30" s="78">
        <f>Q30</f>
        <v>0.14307244163876187</v>
      </c>
      <c r="H30" s="209" t="s">
        <v>87</v>
      </c>
      <c r="I30" s="184"/>
      <c r="J30" s="93"/>
      <c r="K30" s="93"/>
      <c r="M30" s="60"/>
      <c r="O30" s="494">
        <f>G29</f>
        <v>12</v>
      </c>
      <c r="P30" s="495">
        <f>6.11*(EXP((17.27*O30)/(237.3+O30)))</f>
        <v>14.030231277532584</v>
      </c>
      <c r="Q30" s="496">
        <f>P30*(0.01019744)</f>
        <v>0.14307244163876187</v>
      </c>
      <c r="R30" s="497">
        <f>1.42*Q30</f>
        <v>0.20316286712704185</v>
      </c>
    </row>
    <row r="31" spans="2:13" ht="15">
      <c r="B31" s="53"/>
      <c r="C31" s="232"/>
      <c r="E31" s="184"/>
      <c r="F31" s="242"/>
      <c r="G31" s="205"/>
      <c r="H31" s="93"/>
      <c r="I31" s="184"/>
      <c r="J31" s="93"/>
      <c r="K31" s="93"/>
      <c r="M31" s="60"/>
    </row>
    <row r="32" spans="2:19" ht="14.25">
      <c r="B32" s="53"/>
      <c r="I32" s="217"/>
      <c r="K32" s="82"/>
      <c r="M32" s="60"/>
      <c r="O32"/>
      <c r="P32" s="489" t="s">
        <v>332</v>
      </c>
      <c r="Q32" s="487"/>
      <c r="R32"/>
      <c r="S32"/>
    </row>
    <row r="33" spans="2:19" ht="15" thickBot="1">
      <c r="B33" s="53"/>
      <c r="I33" s="217"/>
      <c r="K33" s="82"/>
      <c r="M33" s="60"/>
      <c r="O33"/>
      <c r="P33"/>
      <c r="Q33"/>
      <c r="R33"/>
      <c r="S33"/>
    </row>
    <row r="34" spans="2:19" ht="15.75" thickBot="1">
      <c r="B34" s="53"/>
      <c r="C34" s="235" t="s">
        <v>112</v>
      </c>
      <c r="D34" s="58"/>
      <c r="E34" s="58"/>
      <c r="F34" s="243"/>
      <c r="G34" s="58"/>
      <c r="H34" s="58"/>
      <c r="I34" s="58"/>
      <c r="J34" s="58"/>
      <c r="K34" s="58"/>
      <c r="L34" s="75"/>
      <c r="M34" s="60"/>
      <c r="O34"/>
      <c r="P34"/>
      <c r="Q34" s="310" t="s">
        <v>323</v>
      </c>
      <c r="R34"/>
      <c r="S34"/>
    </row>
    <row r="35" spans="2:19" ht="14.25">
      <c r="B35" s="53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60"/>
      <c r="O35"/>
      <c r="P35"/>
      <c r="Q35"/>
      <c r="R35"/>
      <c r="S35"/>
    </row>
    <row r="36" spans="2:19" ht="14.25">
      <c r="B36" s="53"/>
      <c r="C36" s="232"/>
      <c r="D36" s="76"/>
      <c r="E36" s="76"/>
      <c r="F36" s="76"/>
      <c r="G36" s="76"/>
      <c r="H36" s="76"/>
      <c r="I36" s="76"/>
      <c r="J36" s="76"/>
      <c r="K36" s="76"/>
      <c r="L36" s="76"/>
      <c r="M36" s="60"/>
      <c r="O36"/>
      <c r="P36"/>
      <c r="Q36" s="310" t="s">
        <v>333</v>
      </c>
      <c r="R36"/>
      <c r="S36"/>
    </row>
    <row r="37" spans="2:19" ht="19.5" thickBot="1">
      <c r="B37" s="53"/>
      <c r="C37" s="232"/>
      <c r="E37" s="244" t="s">
        <v>260</v>
      </c>
      <c r="F37" s="245" t="s">
        <v>6</v>
      </c>
      <c r="G37" s="80">
        <f>POWER('C.D.T. PRESIÓN'!L34,2)/(2*9.806)</f>
        <v>0.06887001959266027</v>
      </c>
      <c r="H37" s="70" t="s">
        <v>87</v>
      </c>
      <c r="K37" s="82"/>
      <c r="M37" s="60"/>
      <c r="O37"/>
      <c r="P37"/>
      <c r="Q37" s="310" t="s">
        <v>334</v>
      </c>
      <c r="R37"/>
      <c r="S37"/>
    </row>
    <row r="38" spans="2:19" ht="15">
      <c r="B38" s="53"/>
      <c r="E38" s="129" t="s">
        <v>181</v>
      </c>
      <c r="K38" s="82"/>
      <c r="M38" s="60"/>
      <c r="O38"/>
      <c r="P38"/>
      <c r="R38"/>
      <c r="S38"/>
    </row>
    <row r="39" spans="2:13" ht="15" thickBot="1">
      <c r="B39" s="53"/>
      <c r="K39" s="82"/>
      <c r="M39" s="60"/>
    </row>
    <row r="40" spans="2:13" ht="15.75" thickBot="1">
      <c r="B40" s="53"/>
      <c r="C40" s="235" t="s">
        <v>113</v>
      </c>
      <c r="D40" s="58"/>
      <c r="E40" s="58"/>
      <c r="F40" s="58"/>
      <c r="G40" s="58"/>
      <c r="H40" s="58"/>
      <c r="I40" s="58"/>
      <c r="J40" s="58"/>
      <c r="K40" s="58"/>
      <c r="L40" s="75"/>
      <c r="M40" s="60"/>
    </row>
    <row r="41" spans="2:13" ht="14.25">
      <c r="B41" s="53"/>
      <c r="C41" s="232"/>
      <c r="D41" s="76"/>
      <c r="E41" s="76"/>
      <c r="F41" s="76"/>
      <c r="G41" s="76"/>
      <c r="H41" s="76"/>
      <c r="I41" s="76"/>
      <c r="J41" s="76"/>
      <c r="K41" s="76"/>
      <c r="L41" s="76"/>
      <c r="M41" s="60"/>
    </row>
    <row r="42" spans="2:13" ht="15.75" thickBot="1">
      <c r="B42" s="53"/>
      <c r="C42" s="232"/>
      <c r="E42" s="166" t="s">
        <v>182</v>
      </c>
      <c r="F42" s="245" t="s">
        <v>6</v>
      </c>
      <c r="G42" s="80">
        <f>'C.D.T. PRESIÓN'!E32/2*0.0254</f>
        <v>0.038099999999999995</v>
      </c>
      <c r="H42" s="70" t="s">
        <v>87</v>
      </c>
      <c r="M42" s="60"/>
    </row>
    <row r="43" spans="2:13" ht="15.75">
      <c r="B43" s="53"/>
      <c r="D43" s="76"/>
      <c r="E43" s="246">
        <v>2</v>
      </c>
      <c r="J43" s="217"/>
      <c r="L43" s="82"/>
      <c r="M43" s="60"/>
    </row>
    <row r="44" spans="2:13" ht="15">
      <c r="B44" s="53"/>
      <c r="D44" s="76"/>
      <c r="E44" s="76"/>
      <c r="F44" s="247"/>
      <c r="J44" s="217"/>
      <c r="L44" s="82"/>
      <c r="M44" s="60"/>
    </row>
    <row r="45" spans="2:13" ht="19.5">
      <c r="B45" s="53"/>
      <c r="C45" s="248" t="s">
        <v>114</v>
      </c>
      <c r="D45" s="76"/>
      <c r="E45" s="76"/>
      <c r="F45" s="84"/>
      <c r="G45" s="84"/>
      <c r="H45" s="84"/>
      <c r="I45" s="84"/>
      <c r="J45" s="84"/>
      <c r="K45" s="84"/>
      <c r="L45" s="84"/>
      <c r="M45" s="60"/>
    </row>
    <row r="46" spans="2:13" ht="14.25">
      <c r="B46" s="53"/>
      <c r="D46" s="76"/>
      <c r="E46" s="76"/>
      <c r="M46" s="60"/>
    </row>
    <row r="47" spans="2:13" ht="19.5">
      <c r="B47" s="53"/>
      <c r="D47" s="224"/>
      <c r="E47" s="249" t="s">
        <v>115</v>
      </c>
      <c r="G47" s="573">
        <f>G20-I23-G30+G37+G42</f>
        <v>6.452233776279091</v>
      </c>
      <c r="H47" s="209" t="s">
        <v>87</v>
      </c>
      <c r="I47" s="210"/>
      <c r="J47" s="210"/>
      <c r="K47" s="210"/>
      <c r="M47" s="60"/>
    </row>
    <row r="48" spans="2:13" s="89" customFormat="1" ht="12" customHeight="1" thickBot="1">
      <c r="B48" s="86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8"/>
    </row>
    <row r="49" s="89" customFormat="1" ht="9" customHeight="1"/>
    <row r="50" s="89" customFormat="1" ht="9" customHeight="1"/>
    <row r="51" s="89" customFormat="1" ht="14.25"/>
    <row r="52" s="89" customFormat="1" ht="14.25"/>
    <row r="53" s="89" customFormat="1" ht="14.25"/>
    <row r="54" s="89" customFormat="1" ht="14.25"/>
    <row r="55" s="89" customFormat="1" ht="14.25"/>
    <row r="56" s="89" customFormat="1" ht="14.25"/>
    <row r="57" s="89" customFormat="1" ht="14.25"/>
    <row r="58" s="89" customFormat="1" ht="14.25"/>
    <row r="59" s="89" customFormat="1" ht="14.25"/>
    <row r="60" s="89" customFormat="1" ht="14.25"/>
    <row r="61" s="89" customFormat="1" ht="14.25"/>
    <row r="62" s="89" customFormat="1" ht="14.25"/>
    <row r="63" s="89" customFormat="1" ht="14.25"/>
    <row r="64" s="89" customFormat="1" ht="14.25"/>
    <row r="65" s="89" customFormat="1" ht="14.25"/>
    <row r="66" s="89" customFormat="1" ht="14.25"/>
    <row r="67" s="89" customFormat="1" ht="14.25"/>
    <row r="68" s="89" customFormat="1" ht="14.25"/>
    <row r="69" s="89" customFormat="1" ht="14.25"/>
    <row r="70" s="89" customFormat="1" ht="14.25"/>
    <row r="71" s="89" customFormat="1" ht="14.25"/>
    <row r="72" s="89" customFormat="1" ht="14.25"/>
    <row r="73" s="89" customFormat="1" ht="14.25"/>
    <row r="74" s="89" customFormat="1" ht="14.25"/>
    <row r="75" s="89" customFormat="1" ht="14.25"/>
    <row r="76" s="89" customFormat="1" ht="14.25"/>
    <row r="77" s="89" customFormat="1" ht="14.25"/>
    <row r="78" s="89" customFormat="1" ht="14.25"/>
    <row r="79" s="89" customFormat="1" ht="14.25"/>
    <row r="80" s="89" customFormat="1" ht="14.25"/>
    <row r="81" s="89" customFormat="1" ht="14.25"/>
    <row r="82" s="89" customFormat="1" ht="14.25"/>
    <row r="83" s="89" customFormat="1" ht="14.25"/>
    <row r="84" s="89" customFormat="1" ht="14.25"/>
    <row r="85" s="89" customFormat="1" ht="14.25"/>
    <row r="86" s="89" customFormat="1" ht="14.25"/>
    <row r="87" s="89" customFormat="1" ht="14.25"/>
    <row r="88" s="89" customFormat="1" ht="14.25"/>
    <row r="89" s="89" customFormat="1" ht="14.25"/>
    <row r="90" s="89" customFormat="1" ht="14.25"/>
    <row r="91" s="89" customFormat="1" ht="14.25"/>
    <row r="92" s="89" customFormat="1" ht="14.25"/>
    <row r="93" s="89" customFormat="1" ht="14.25"/>
    <row r="94" s="89" customFormat="1" ht="14.25"/>
    <row r="95" s="89" customFormat="1" ht="14.25"/>
    <row r="96" s="89" customFormat="1" ht="14.25"/>
    <row r="97" s="89" customFormat="1" ht="14.25" customHeight="1"/>
    <row r="98" s="89" customFormat="1" ht="14.25"/>
    <row r="99" s="89" customFormat="1" ht="14.25" customHeight="1"/>
    <row r="100" s="89" customFormat="1" ht="14.25" customHeight="1"/>
    <row r="101" s="89" customFormat="1" ht="14.25" customHeight="1"/>
    <row r="102" s="89" customFormat="1" ht="14.25" customHeight="1"/>
    <row r="103" s="89" customFormat="1" ht="14.25" customHeight="1"/>
    <row r="104" s="89" customFormat="1" ht="14.25"/>
    <row r="105" s="91" customFormat="1" ht="15" customHeight="1"/>
    <row r="106" s="89" customFormat="1" ht="14.25" customHeight="1"/>
    <row r="107" s="89" customFormat="1" ht="14.25" customHeight="1"/>
    <row r="108" s="89" customFormat="1" ht="14.25" customHeight="1"/>
    <row r="109" s="89" customFormat="1" ht="14.25" customHeight="1"/>
    <row r="110" s="89" customFormat="1" ht="14.25" customHeight="1"/>
    <row r="111" s="89" customFormat="1" ht="14.25" customHeight="1"/>
    <row r="112" s="89" customFormat="1" ht="14.25"/>
    <row r="113" s="89" customFormat="1" ht="14.25"/>
    <row r="114" s="89" customFormat="1" ht="14.25"/>
    <row r="115" s="89" customFormat="1" ht="14.25"/>
    <row r="116" s="89" customFormat="1" ht="14.25"/>
    <row r="117" s="89" customFormat="1" ht="14.25"/>
    <row r="118" s="89" customFormat="1" ht="14.25"/>
    <row r="119" s="89" customFormat="1" ht="14.25"/>
    <row r="120" s="89" customFormat="1" ht="14.25"/>
    <row r="121" s="89" customFormat="1" ht="14.25"/>
    <row r="122" s="89" customFormat="1" ht="14.25"/>
    <row r="123" s="89" customFormat="1" ht="14.25"/>
    <row r="124" s="89" customFormat="1" ht="14.25"/>
    <row r="125" s="89" customFormat="1" ht="14.25"/>
    <row r="126" s="89" customFormat="1" ht="14.25"/>
    <row r="127" s="89" customFormat="1" ht="14.25"/>
    <row r="128" s="89" customFormat="1" ht="14.25"/>
    <row r="129" s="89" customFormat="1" ht="14.25"/>
    <row r="130" s="89" customFormat="1" ht="14.25"/>
    <row r="131" s="89" customFormat="1" ht="14.25"/>
    <row r="132" s="89" customFormat="1" ht="14.25"/>
    <row r="133" s="89" customFormat="1" ht="14.25"/>
    <row r="134" s="89" customFormat="1" ht="14.25"/>
    <row r="135" s="89" customFormat="1" ht="14.25"/>
    <row r="136" s="89" customFormat="1" ht="14.25"/>
    <row r="137" s="89" customFormat="1" ht="14.25"/>
    <row r="138" s="89" customFormat="1" ht="14.25"/>
    <row r="139" s="89" customFormat="1" ht="14.25"/>
    <row r="140" s="89" customFormat="1" ht="14.25"/>
    <row r="141" s="89" customFormat="1" ht="14.25"/>
    <row r="142" s="89" customFormat="1" ht="14.25"/>
    <row r="143" s="89" customFormat="1" ht="14.25"/>
    <row r="144" s="89" customFormat="1" ht="14.25"/>
    <row r="145" s="89" customFormat="1" ht="14.25"/>
    <row r="147" s="193" customFormat="1" ht="12.75"/>
    <row r="148" s="199" customFormat="1" ht="15"/>
  </sheetData>
  <sheetProtection/>
  <mergeCells count="1">
    <mergeCell ref="D6:G6"/>
  </mergeCells>
  <printOptions horizontalCentered="1"/>
  <pageMargins left="0.42" right="0.39" top="0.57" bottom="0.52" header="0.27" footer="0.38"/>
  <pageSetup fitToHeight="1" fitToWidth="1" horizontalDpi="600" verticalDpi="600" orientation="portrait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3:P44"/>
  <sheetViews>
    <sheetView view="pageBreakPreview" zoomScale="55" zoomScaleSheetLayoutView="55" zoomScalePageLayoutView="0" workbookViewId="0" topLeftCell="A3">
      <selection activeCell="B5" sqref="B5:M44"/>
    </sheetView>
  </sheetViews>
  <sheetFormatPr defaultColWidth="12.7109375" defaultRowHeight="12.75"/>
  <cols>
    <col min="1" max="1" width="5.7109375" style="49" customWidth="1"/>
    <col min="2" max="2" width="2.00390625" style="49" customWidth="1"/>
    <col min="3" max="3" width="12.421875" style="49" customWidth="1"/>
    <col min="4" max="4" width="9.140625" style="49" customWidth="1"/>
    <col min="5" max="5" width="8.7109375" style="49" customWidth="1"/>
    <col min="6" max="6" width="9.7109375" style="49" customWidth="1"/>
    <col min="7" max="7" width="11.00390625" style="49" customWidth="1"/>
    <col min="8" max="8" width="3.421875" style="49" customWidth="1"/>
    <col min="9" max="9" width="7.140625" style="49" customWidth="1"/>
    <col min="10" max="10" width="9.421875" style="49" customWidth="1"/>
    <col min="11" max="11" width="10.8515625" style="49" customWidth="1"/>
    <col min="12" max="12" width="9.57421875" style="49" customWidth="1"/>
    <col min="13" max="13" width="2.421875" style="49" customWidth="1"/>
    <col min="14" max="29" width="0" style="49" hidden="1" customWidth="1"/>
    <col min="30" max="16384" width="12.7109375" style="49" customWidth="1"/>
  </cols>
  <sheetData>
    <row r="1" ht="14.25"/>
    <row r="2" ht="15" thickBot="1"/>
    <row r="3" spans="2:13" ht="12" customHeight="1" thickBot="1"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</row>
    <row r="4" spans="2:13" ht="69.75" customHeight="1" thickBot="1">
      <c r="B4" s="53"/>
      <c r="C4" s="54"/>
      <c r="D4" s="55"/>
      <c r="E4" s="225"/>
      <c r="F4" s="57"/>
      <c r="G4" s="57"/>
      <c r="H4" s="55"/>
      <c r="I4" s="55"/>
      <c r="J4" s="55"/>
      <c r="K4" s="58"/>
      <c r="L4" s="226"/>
      <c r="M4" s="60"/>
    </row>
    <row r="5" spans="2:13" ht="6.75" customHeight="1" thickBot="1">
      <c r="B5" s="53"/>
      <c r="C5" s="61"/>
      <c r="D5" s="61"/>
      <c r="E5" s="61"/>
      <c r="F5" s="61"/>
      <c r="G5" s="61"/>
      <c r="H5" s="61"/>
      <c r="I5" s="61"/>
      <c r="J5" s="61"/>
      <c r="K5" s="61"/>
      <c r="L5" s="61"/>
      <c r="M5" s="60"/>
    </row>
    <row r="6" spans="2:13" ht="41.25" customHeight="1" thickBot="1">
      <c r="B6" s="53"/>
      <c r="C6" s="62" t="s">
        <v>0</v>
      </c>
      <c r="D6" s="250" t="s">
        <v>183</v>
      </c>
      <c r="E6" s="63"/>
      <c r="F6" s="63"/>
      <c r="G6" s="64"/>
      <c r="H6" s="61"/>
      <c r="I6" s="227" t="s">
        <v>2</v>
      </c>
      <c r="J6" s="228">
        <v>6</v>
      </c>
      <c r="K6" s="229" t="s">
        <v>3</v>
      </c>
      <c r="L6" s="67">
        <v>12</v>
      </c>
      <c r="M6" s="60"/>
    </row>
    <row r="7" spans="2:13" ht="10.5" customHeight="1">
      <c r="B7" s="53"/>
      <c r="C7" s="61"/>
      <c r="D7" s="61"/>
      <c r="E7" s="61"/>
      <c r="F7" s="61"/>
      <c r="G7" s="61"/>
      <c r="H7" s="61"/>
      <c r="I7" s="61"/>
      <c r="J7" s="61"/>
      <c r="K7" s="61"/>
      <c r="L7" s="61"/>
      <c r="M7" s="60"/>
    </row>
    <row r="8" spans="2:13" ht="15" thickBot="1">
      <c r="B8" s="53"/>
      <c r="C8" s="74"/>
      <c r="D8" s="74"/>
      <c r="E8" s="74"/>
      <c r="F8" s="74"/>
      <c r="G8" s="74"/>
      <c r="H8" s="74"/>
      <c r="I8" s="74"/>
      <c r="J8" s="74"/>
      <c r="K8" s="74"/>
      <c r="L8" s="74"/>
      <c r="M8" s="60"/>
    </row>
    <row r="9" spans="2:13" ht="16.5" thickBot="1">
      <c r="B9" s="53"/>
      <c r="C9" s="251" t="s">
        <v>184</v>
      </c>
      <c r="D9" s="57"/>
      <c r="E9" s="57"/>
      <c r="F9" s="57"/>
      <c r="G9" s="57"/>
      <c r="H9" s="57"/>
      <c r="I9" s="57"/>
      <c r="J9" s="57"/>
      <c r="K9" s="57"/>
      <c r="L9" s="59"/>
      <c r="M9" s="60"/>
    </row>
    <row r="10" spans="2:13" ht="14.25">
      <c r="B10" s="53"/>
      <c r="M10" s="60"/>
    </row>
    <row r="11" spans="2:14" ht="19.5" customHeight="1">
      <c r="B11" s="53"/>
      <c r="C11" s="74"/>
      <c r="D11" s="252"/>
      <c r="E11" s="81" t="s">
        <v>344</v>
      </c>
      <c r="F11" s="566"/>
      <c r="G11" s="308"/>
      <c r="H11" s="74"/>
      <c r="I11" s="74"/>
      <c r="J11" s="504">
        <f>'C.D.T. PRESIÓN'!M48*'C.D.T. PRESIÓN'!J51/100</f>
        <v>4</v>
      </c>
      <c r="K11" s="209" t="s">
        <v>97</v>
      </c>
      <c r="L11" s="252"/>
      <c r="M11" s="60"/>
      <c r="N11" s="500"/>
    </row>
    <row r="12" spans="2:13" ht="7.5" customHeight="1">
      <c r="B12" s="53"/>
      <c r="C12" s="74"/>
      <c r="D12" s="252"/>
      <c r="E12" s="77"/>
      <c r="F12" s="253"/>
      <c r="G12" s="74"/>
      <c r="H12" s="74"/>
      <c r="I12" s="74"/>
      <c r="J12" s="84"/>
      <c r="K12" s="84"/>
      <c r="L12" s="252"/>
      <c r="M12" s="60"/>
    </row>
    <row r="13" spans="2:13" ht="19.5" customHeight="1">
      <c r="B13" s="53"/>
      <c r="C13" s="74"/>
      <c r="E13" s="255" t="s">
        <v>186</v>
      </c>
      <c r="J13" s="256">
        <f>'C.D.T. PRESIÓN'!E34</f>
        <v>5.3</v>
      </c>
      <c r="K13" s="209" t="s">
        <v>80</v>
      </c>
      <c r="M13" s="60"/>
    </row>
    <row r="14" spans="2:13" ht="7.5" customHeight="1">
      <c r="B14" s="53"/>
      <c r="C14" s="74"/>
      <c r="E14" s="73"/>
      <c r="J14" s="84"/>
      <c r="K14" s="209"/>
      <c r="M14" s="60"/>
    </row>
    <row r="15" spans="2:13" ht="19.5" customHeight="1">
      <c r="B15" s="53"/>
      <c r="C15" s="74"/>
      <c r="E15" s="70" t="s">
        <v>187</v>
      </c>
      <c r="F15" s="254">
        <f>'C.D.T. PRESIÓN'!L42</f>
        <v>28</v>
      </c>
      <c r="G15" s="209" t="s">
        <v>188</v>
      </c>
      <c r="H15" s="76" t="s">
        <v>6</v>
      </c>
      <c r="I15" s="76"/>
      <c r="J15" s="256">
        <f>F15*1.425</f>
        <v>39.9</v>
      </c>
      <c r="K15" s="209" t="s">
        <v>189</v>
      </c>
      <c r="M15" s="60"/>
    </row>
    <row r="16" spans="2:13" ht="19.5" customHeight="1">
      <c r="B16" s="53"/>
      <c r="C16" s="74"/>
      <c r="E16" s="70"/>
      <c r="F16" s="84"/>
      <c r="G16" s="82"/>
      <c r="H16" s="84"/>
      <c r="I16" s="84"/>
      <c r="J16" s="252"/>
      <c r="K16" s="84"/>
      <c r="M16" s="60"/>
    </row>
    <row r="17" spans="2:13" ht="14.25">
      <c r="B17" s="53"/>
      <c r="C17" s="70"/>
      <c r="E17" s="73" t="s">
        <v>190</v>
      </c>
      <c r="F17" s="257"/>
      <c r="G17" s="84"/>
      <c r="H17" s="84"/>
      <c r="I17" s="84"/>
      <c r="J17" s="84"/>
      <c r="K17" s="84"/>
      <c r="M17" s="60"/>
    </row>
    <row r="18" spans="2:13" ht="14.25">
      <c r="B18" s="53"/>
      <c r="C18" s="70"/>
      <c r="E18" s="76"/>
      <c r="F18" s="257"/>
      <c r="G18" s="84"/>
      <c r="H18" s="84"/>
      <c r="I18" s="84"/>
      <c r="J18" s="84"/>
      <c r="K18" s="84"/>
      <c r="M18" s="60"/>
    </row>
    <row r="19" spans="2:13" ht="19.5" customHeight="1">
      <c r="B19" s="53"/>
      <c r="C19" s="74"/>
      <c r="D19" s="74"/>
      <c r="F19" s="73" t="s">
        <v>191</v>
      </c>
      <c r="G19" s="74"/>
      <c r="H19" s="242" t="s">
        <v>192</v>
      </c>
      <c r="I19" s="74"/>
      <c r="J19" s="254">
        <f>FLOOR(J15,1)</f>
        <v>39</v>
      </c>
      <c r="K19" s="76" t="s">
        <v>189</v>
      </c>
      <c r="M19" s="60"/>
    </row>
    <row r="20" spans="2:13" ht="7.5" customHeight="1">
      <c r="B20" s="53"/>
      <c r="C20" s="73"/>
      <c r="D20" s="74"/>
      <c r="F20" s="73"/>
      <c r="G20" s="74"/>
      <c r="H20" s="242"/>
      <c r="I20" s="74"/>
      <c r="J20" s="74"/>
      <c r="K20" s="70"/>
      <c r="M20" s="60"/>
    </row>
    <row r="21" spans="2:13" ht="19.5" customHeight="1">
      <c r="B21" s="53"/>
      <c r="C21" s="73"/>
      <c r="D21" s="74"/>
      <c r="F21" s="73" t="s">
        <v>193</v>
      </c>
      <c r="G21" s="74"/>
      <c r="H21" s="242" t="s">
        <v>194</v>
      </c>
      <c r="I21" s="74"/>
      <c r="J21" s="254">
        <f>+J19+20</f>
        <v>59</v>
      </c>
      <c r="K21" s="76" t="s">
        <v>189</v>
      </c>
      <c r="M21" s="60"/>
    </row>
    <row r="22" spans="2:13" ht="19.5" customHeight="1">
      <c r="B22" s="53"/>
      <c r="C22" s="73"/>
      <c r="D22" s="74"/>
      <c r="F22" s="73"/>
      <c r="G22" s="74"/>
      <c r="H22" s="242"/>
      <c r="I22" s="74"/>
      <c r="J22" s="252"/>
      <c r="K22" s="76"/>
      <c r="M22" s="60"/>
    </row>
    <row r="23" spans="2:13" ht="15">
      <c r="B23" s="53"/>
      <c r="C23" s="74"/>
      <c r="D23" s="74"/>
      <c r="E23" s="73" t="s">
        <v>195</v>
      </c>
      <c r="F23" s="233"/>
      <c r="G23" s="233"/>
      <c r="H23" s="234"/>
      <c r="I23" s="234"/>
      <c r="J23" s="254">
        <f>IF(3&gt;J11,P32,IF(5&gt;J11,P33,IF(7.5&gt;J11,P34,IF(15&gt;J11,P35,IF(30&gt;J11,P36,IF(30&lt;J11,P38,"PILAS"))))))</f>
        <v>1.8</v>
      </c>
      <c r="K23" s="70" t="s">
        <v>196</v>
      </c>
      <c r="M23" s="60"/>
    </row>
    <row r="24" spans="2:13" ht="7.5" customHeight="1">
      <c r="B24" s="53"/>
      <c r="C24" s="74"/>
      <c r="D24" s="74"/>
      <c r="E24" s="73"/>
      <c r="F24" s="233"/>
      <c r="G24" s="233"/>
      <c r="H24" s="234"/>
      <c r="I24" s="234"/>
      <c r="J24" s="252"/>
      <c r="K24" s="70"/>
      <c r="M24" s="60"/>
    </row>
    <row r="25" spans="2:13" ht="15">
      <c r="B25" s="53"/>
      <c r="C25" s="74"/>
      <c r="D25" s="74"/>
      <c r="E25" s="73"/>
      <c r="F25" s="233"/>
      <c r="G25" s="233"/>
      <c r="H25" s="234"/>
      <c r="I25" s="234"/>
      <c r="J25" s="254">
        <f>+J23*60</f>
        <v>108</v>
      </c>
      <c r="K25" s="70" t="s">
        <v>197</v>
      </c>
      <c r="M25" s="60"/>
    </row>
    <row r="26" spans="2:13" ht="15" thickBot="1">
      <c r="B26" s="53"/>
      <c r="C26" s="70"/>
      <c r="K26" s="82"/>
      <c r="M26" s="60"/>
    </row>
    <row r="27" spans="2:13" ht="16.5" thickBot="1">
      <c r="B27" s="53"/>
      <c r="C27" s="258" t="s">
        <v>198</v>
      </c>
      <c r="D27" s="57"/>
      <c r="E27" s="57"/>
      <c r="F27" s="236"/>
      <c r="G27" s="57"/>
      <c r="H27" s="57"/>
      <c r="I27" s="57"/>
      <c r="J27" s="57"/>
      <c r="K27" s="57"/>
      <c r="L27" s="59"/>
      <c r="M27" s="60"/>
    </row>
    <row r="28" spans="2:13" ht="14.25">
      <c r="B28" s="53"/>
      <c r="C28" s="76"/>
      <c r="D28" s="84"/>
      <c r="E28" s="84"/>
      <c r="F28" s="84"/>
      <c r="G28" s="84"/>
      <c r="H28" s="84"/>
      <c r="I28" s="84"/>
      <c r="J28" s="84"/>
      <c r="K28" s="84"/>
      <c r="L28" s="84"/>
      <c r="M28" s="60"/>
    </row>
    <row r="29" spans="2:13" ht="15" thickBot="1">
      <c r="B29" s="53"/>
      <c r="C29" s="73" t="s">
        <v>199</v>
      </c>
      <c r="D29" s="84"/>
      <c r="E29" s="84"/>
      <c r="F29" s="84"/>
      <c r="G29" s="84"/>
      <c r="H29" s="84"/>
      <c r="I29" s="84"/>
      <c r="J29" s="84"/>
      <c r="K29" s="84"/>
      <c r="L29" s="84"/>
      <c r="M29" s="60"/>
    </row>
    <row r="30" spans="2:16" ht="18" customHeight="1" thickBot="1">
      <c r="B30" s="53"/>
      <c r="C30" s="74"/>
      <c r="D30" s="74"/>
      <c r="E30" s="74"/>
      <c r="F30" s="233" t="s">
        <v>200</v>
      </c>
      <c r="G30" s="501">
        <v>65</v>
      </c>
      <c r="H30" s="209" t="s">
        <v>93</v>
      </c>
      <c r="I30" s="209" t="s">
        <v>6</v>
      </c>
      <c r="J30" s="259">
        <f>J13*G30/100</f>
        <v>3.445</v>
      </c>
      <c r="K30" s="209" t="s">
        <v>80</v>
      </c>
      <c r="L30" s="84"/>
      <c r="M30" s="60"/>
      <c r="O30" s="260" t="s">
        <v>185</v>
      </c>
      <c r="P30" s="261" t="s">
        <v>201</v>
      </c>
    </row>
    <row r="31" spans="2:16" ht="18" customHeight="1">
      <c r="B31" s="53"/>
      <c r="C31" s="74"/>
      <c r="D31" s="74"/>
      <c r="E31" s="74"/>
      <c r="F31" s="233"/>
      <c r="G31" s="84"/>
      <c r="H31" s="262"/>
      <c r="I31" s="82"/>
      <c r="J31" s="82"/>
      <c r="K31" s="262"/>
      <c r="L31" s="84"/>
      <c r="M31" s="60"/>
      <c r="O31" s="263"/>
      <c r="P31" s="264"/>
    </row>
    <row r="32" spans="2:16" ht="15">
      <c r="B32" s="53"/>
      <c r="C32" s="73" t="s">
        <v>202</v>
      </c>
      <c r="D32" s="74"/>
      <c r="E32" s="74"/>
      <c r="F32" s="233"/>
      <c r="G32" s="84"/>
      <c r="H32" s="262"/>
      <c r="I32" s="82"/>
      <c r="J32" s="265"/>
      <c r="K32" s="262"/>
      <c r="L32" s="84"/>
      <c r="M32" s="60"/>
      <c r="O32" s="266" t="s">
        <v>203</v>
      </c>
      <c r="P32" s="267">
        <v>1.2</v>
      </c>
    </row>
    <row r="33" spans="2:16" ht="18" customHeight="1">
      <c r="B33" s="53"/>
      <c r="C33" s="74"/>
      <c r="F33" s="74"/>
      <c r="G33" s="233" t="s">
        <v>204</v>
      </c>
      <c r="I33" s="209" t="s">
        <v>6</v>
      </c>
      <c r="J33" s="268">
        <f>J30*J25/4</f>
        <v>93.015</v>
      </c>
      <c r="K33" s="209" t="s">
        <v>205</v>
      </c>
      <c r="M33" s="60"/>
      <c r="O33" s="269" t="s">
        <v>206</v>
      </c>
      <c r="P33" s="267">
        <v>1.8</v>
      </c>
    </row>
    <row r="34" spans="2:16" ht="15">
      <c r="B34" s="53"/>
      <c r="C34" s="74"/>
      <c r="F34" s="233"/>
      <c r="G34" s="234"/>
      <c r="I34" s="82"/>
      <c r="J34" s="91"/>
      <c r="K34" s="262"/>
      <c r="M34" s="60"/>
      <c r="O34" s="269" t="s">
        <v>207</v>
      </c>
      <c r="P34" s="267">
        <v>2</v>
      </c>
    </row>
    <row r="35" spans="2:16" ht="15">
      <c r="B35" s="53"/>
      <c r="C35" s="73" t="s">
        <v>208</v>
      </c>
      <c r="F35" s="233"/>
      <c r="G35" s="234"/>
      <c r="I35" s="82"/>
      <c r="J35" s="91"/>
      <c r="K35" s="262"/>
      <c r="M35" s="60"/>
      <c r="O35" s="269" t="s">
        <v>209</v>
      </c>
      <c r="P35" s="267">
        <v>3</v>
      </c>
    </row>
    <row r="36" spans="2:16" ht="18" customHeight="1">
      <c r="B36" s="53"/>
      <c r="C36" s="74"/>
      <c r="D36" s="74"/>
      <c r="E36" s="74"/>
      <c r="F36" s="217" t="s">
        <v>210</v>
      </c>
      <c r="G36" s="270" t="s">
        <v>211</v>
      </c>
      <c r="H36" s="270"/>
      <c r="I36" s="82" t="s">
        <v>6</v>
      </c>
      <c r="J36" s="268">
        <f>(J21+14.7)/(J21-J19)*J33</f>
        <v>342.760275</v>
      </c>
      <c r="K36" s="209" t="s">
        <v>205</v>
      </c>
      <c r="M36" s="60"/>
      <c r="O36" s="269" t="s">
        <v>212</v>
      </c>
      <c r="P36" s="267">
        <v>4</v>
      </c>
    </row>
    <row r="37" spans="2:16" ht="18" customHeight="1">
      <c r="B37" s="53"/>
      <c r="C37" s="74"/>
      <c r="D37" s="74"/>
      <c r="E37" s="74"/>
      <c r="G37" s="224" t="s">
        <v>213</v>
      </c>
      <c r="H37" s="76"/>
      <c r="I37" s="82"/>
      <c r="M37" s="60"/>
      <c r="O37" s="271"/>
      <c r="P37" s="267"/>
    </row>
    <row r="38" spans="2:16" ht="15.75" thickBot="1">
      <c r="B38" s="53"/>
      <c r="C38" s="74"/>
      <c r="F38" s="247"/>
      <c r="M38" s="60"/>
      <c r="O38" s="272" t="s">
        <v>214</v>
      </c>
      <c r="P38" s="273">
        <v>6</v>
      </c>
    </row>
    <row r="39" spans="2:13" ht="18" customHeight="1">
      <c r="B39" s="53"/>
      <c r="C39" s="74"/>
      <c r="D39" s="74"/>
      <c r="E39" s="274"/>
      <c r="F39" s="69" t="s">
        <v>215</v>
      </c>
      <c r="G39" s="254">
        <v>1</v>
      </c>
      <c r="H39" s="74"/>
      <c r="I39" s="211" t="s">
        <v>216</v>
      </c>
      <c r="K39" s="74"/>
      <c r="M39" s="60"/>
    </row>
    <row r="40" spans="2:13" ht="14.25">
      <c r="B40" s="53"/>
      <c r="C40" s="74"/>
      <c r="D40" s="74"/>
      <c r="E40" s="274"/>
      <c r="G40" s="262"/>
      <c r="H40" s="262"/>
      <c r="K40" s="74"/>
      <c r="M40" s="60"/>
    </row>
    <row r="41" spans="2:15" ht="18" customHeight="1">
      <c r="B41" s="53"/>
      <c r="C41" s="74"/>
      <c r="D41" s="74"/>
      <c r="E41" s="274"/>
      <c r="F41" s="73" t="s">
        <v>3</v>
      </c>
      <c r="G41" s="254">
        <v>500</v>
      </c>
      <c r="H41" s="74"/>
      <c r="I41" s="211" t="s">
        <v>217</v>
      </c>
      <c r="M41" s="60"/>
      <c r="O41" s="505" t="s">
        <v>337</v>
      </c>
    </row>
    <row r="42" spans="2:13" ht="14.25">
      <c r="B42" s="53"/>
      <c r="E42" s="184"/>
      <c r="F42" s="93"/>
      <c r="G42" s="205"/>
      <c r="H42" s="93"/>
      <c r="I42" s="184"/>
      <c r="J42" s="93"/>
      <c r="K42" s="205"/>
      <c r="M42" s="60"/>
    </row>
    <row r="43" spans="2:13" ht="14.25">
      <c r="B43" s="53"/>
      <c r="E43" s="184"/>
      <c r="F43" s="69"/>
      <c r="G43" s="76"/>
      <c r="H43" s="71"/>
      <c r="I43" s="211"/>
      <c r="J43" s="93"/>
      <c r="K43" s="205"/>
      <c r="M43" s="60"/>
    </row>
    <row r="44" spans="2:13" s="89" customFormat="1" ht="12" customHeight="1" thickBot="1">
      <c r="B44" s="86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8"/>
    </row>
    <row r="45" s="89" customFormat="1" ht="14.25"/>
    <row r="46" s="89" customFormat="1" ht="14.25"/>
    <row r="47" s="89" customFormat="1" ht="14.25"/>
    <row r="48" s="89" customFormat="1" ht="14.25"/>
    <row r="49" s="89" customFormat="1" ht="14.25"/>
    <row r="50" s="89" customFormat="1" ht="14.25"/>
    <row r="51" s="89" customFormat="1" ht="14.25"/>
    <row r="52" s="89" customFormat="1" ht="14.25"/>
    <row r="53" s="89" customFormat="1" ht="14.25"/>
    <row r="54" s="89" customFormat="1" ht="14.25"/>
    <row r="55" s="89" customFormat="1" ht="14.25"/>
    <row r="56" s="89" customFormat="1" ht="14.25"/>
    <row r="57" s="89" customFormat="1" ht="14.25"/>
    <row r="58" s="89" customFormat="1" ht="14.25"/>
    <row r="59" s="89" customFormat="1" ht="14.25"/>
    <row r="60" s="89" customFormat="1" ht="14.25"/>
    <row r="61" s="89" customFormat="1" ht="14.25"/>
    <row r="62" s="89" customFormat="1" ht="14.25"/>
    <row r="63" s="89" customFormat="1" ht="14.25"/>
    <row r="64" s="89" customFormat="1" ht="14.25"/>
    <row r="65" s="89" customFormat="1" ht="14.25"/>
    <row r="66" s="89" customFormat="1" ht="14.25"/>
    <row r="67" s="89" customFormat="1" ht="14.25"/>
    <row r="68" s="89" customFormat="1" ht="14.25"/>
    <row r="69" s="89" customFormat="1" ht="14.25"/>
    <row r="70" s="89" customFormat="1" ht="14.25"/>
    <row r="71" s="89" customFormat="1" ht="14.25"/>
    <row r="72" s="89" customFormat="1" ht="14.25"/>
    <row r="73" s="89" customFormat="1" ht="14.25"/>
    <row r="74" s="89" customFormat="1" ht="14.25"/>
    <row r="75" s="89" customFormat="1" ht="14.25"/>
    <row r="76" s="89" customFormat="1" ht="14.25"/>
    <row r="77" s="89" customFormat="1" ht="14.25"/>
    <row r="78" s="89" customFormat="1" ht="14.25"/>
    <row r="79" s="89" customFormat="1" ht="14.25"/>
    <row r="80" s="89" customFormat="1" ht="14.25"/>
    <row r="81" s="89" customFormat="1" ht="14.25"/>
    <row r="82" s="89" customFormat="1" ht="14.25"/>
    <row r="83" s="89" customFormat="1" ht="14.25"/>
    <row r="84" s="89" customFormat="1" ht="14.25"/>
    <row r="85" s="89" customFormat="1" ht="14.25"/>
    <row r="86" s="89" customFormat="1" ht="14.25"/>
    <row r="87" s="89" customFormat="1" ht="14.25"/>
    <row r="88" s="89" customFormat="1" ht="14.25"/>
    <row r="89" s="89" customFormat="1" ht="14.25"/>
    <row r="90" s="89" customFormat="1" ht="14.25"/>
    <row r="91" s="89" customFormat="1" ht="14.25"/>
    <row r="92" s="89" customFormat="1" ht="14.25"/>
    <row r="93" s="89" customFormat="1" ht="14.25" customHeight="1"/>
    <row r="94" s="89" customFormat="1" ht="14.25"/>
    <row r="95" s="89" customFormat="1" ht="14.25" customHeight="1"/>
    <row r="96" s="89" customFormat="1" ht="14.25" customHeight="1"/>
    <row r="97" s="89" customFormat="1" ht="14.25" customHeight="1"/>
    <row r="98" s="89" customFormat="1" ht="14.25" customHeight="1"/>
    <row r="99" s="89" customFormat="1" ht="14.25" customHeight="1"/>
    <row r="100" s="89" customFormat="1" ht="14.25"/>
    <row r="101" s="91" customFormat="1" ht="15" customHeight="1"/>
    <row r="102" s="89" customFormat="1" ht="14.25" customHeight="1"/>
    <row r="103" s="89" customFormat="1" ht="14.25" customHeight="1"/>
    <row r="104" s="89" customFormat="1" ht="14.25" customHeight="1"/>
    <row r="105" s="89" customFormat="1" ht="14.25" customHeight="1"/>
    <row r="106" s="89" customFormat="1" ht="14.25" customHeight="1"/>
    <row r="107" s="89" customFormat="1" ht="14.25" customHeight="1"/>
    <row r="108" s="89" customFormat="1" ht="14.25"/>
    <row r="109" s="89" customFormat="1" ht="14.25"/>
    <row r="110" s="89" customFormat="1" ht="14.25"/>
    <row r="111" s="89" customFormat="1" ht="14.25"/>
    <row r="112" s="89" customFormat="1" ht="14.25"/>
    <row r="113" s="89" customFormat="1" ht="14.25"/>
    <row r="114" s="89" customFormat="1" ht="14.25"/>
    <row r="115" s="89" customFormat="1" ht="14.25"/>
    <row r="116" s="89" customFormat="1" ht="14.25"/>
    <row r="117" s="89" customFormat="1" ht="14.25"/>
    <row r="118" s="89" customFormat="1" ht="14.25"/>
    <row r="119" s="89" customFormat="1" ht="14.25"/>
    <row r="120" s="89" customFormat="1" ht="14.25"/>
    <row r="121" s="89" customFormat="1" ht="14.25"/>
    <row r="122" s="89" customFormat="1" ht="14.25"/>
    <row r="123" s="89" customFormat="1" ht="14.25"/>
    <row r="124" s="89" customFormat="1" ht="14.25"/>
    <row r="125" s="89" customFormat="1" ht="14.25"/>
    <row r="126" s="89" customFormat="1" ht="14.25"/>
    <row r="127" s="89" customFormat="1" ht="14.25"/>
    <row r="128" s="89" customFormat="1" ht="14.25"/>
    <row r="129" s="89" customFormat="1" ht="14.25"/>
    <row r="130" s="89" customFormat="1" ht="14.25"/>
    <row r="131" s="89" customFormat="1" ht="14.25"/>
    <row r="132" s="89" customFormat="1" ht="14.25"/>
    <row r="133" s="89" customFormat="1" ht="14.25"/>
    <row r="134" s="89" customFormat="1" ht="14.25"/>
    <row r="135" s="89" customFormat="1" ht="14.25"/>
    <row r="136" s="89" customFormat="1" ht="14.25"/>
    <row r="137" s="89" customFormat="1" ht="14.25"/>
    <row r="138" s="89" customFormat="1" ht="14.25"/>
    <row r="139" s="89" customFormat="1" ht="14.25"/>
    <row r="140" s="89" customFormat="1" ht="14.25"/>
    <row r="141" s="89" customFormat="1" ht="14.25"/>
    <row r="143" s="71" customFormat="1" ht="12.75"/>
    <row r="144" s="92" customFormat="1" ht="15"/>
  </sheetData>
  <sheetProtection/>
  <printOptions horizontalCentered="1"/>
  <pageMargins left="0.46" right="0.44" top="0.64" bottom="0.72" header="0.17" footer="0.21"/>
  <pageSetup fitToHeight="1" fitToWidth="1" horizontalDpi="600" verticalDpi="600" orientation="portrait" scale="95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T59"/>
  <sheetViews>
    <sheetView view="pageBreakPreview" zoomScale="55" zoomScaleNormal="75" zoomScaleSheetLayoutView="55" zoomScalePageLayoutView="0" workbookViewId="0" topLeftCell="A19">
      <selection activeCell="F3" sqref="F3"/>
    </sheetView>
  </sheetViews>
  <sheetFormatPr defaultColWidth="12.7109375" defaultRowHeight="12.75"/>
  <cols>
    <col min="1" max="1" width="3.421875" style="366" customWidth="1"/>
    <col min="2" max="2" width="2.00390625" style="366" customWidth="1"/>
    <col min="3" max="3" width="8.28125" style="366" customWidth="1"/>
    <col min="4" max="4" width="13.00390625" style="366" customWidth="1"/>
    <col min="5" max="5" width="9.140625" style="366" customWidth="1"/>
    <col min="6" max="6" width="12.00390625" style="366" customWidth="1"/>
    <col min="7" max="7" width="5.57421875" style="366" customWidth="1"/>
    <col min="8" max="8" width="7.00390625" style="366" customWidth="1"/>
    <col min="9" max="9" width="8.140625" style="366" customWidth="1"/>
    <col min="10" max="10" width="7.00390625" style="366" customWidth="1"/>
    <col min="11" max="11" width="4.57421875" style="366" customWidth="1"/>
    <col min="12" max="12" width="9.421875" style="366" customWidth="1"/>
    <col min="13" max="13" width="10.421875" style="366" customWidth="1"/>
    <col min="14" max="14" width="10.8515625" style="366" customWidth="1"/>
    <col min="15" max="15" width="12.421875" style="366" customWidth="1"/>
    <col min="16" max="16" width="2.421875" style="366" customWidth="1"/>
    <col min="17" max="17" width="3.57421875" style="366" customWidth="1"/>
    <col min="18" max="18" width="12.7109375" style="366" customWidth="1"/>
    <col min="19" max="21" width="12.8515625" style="366" bestFit="1" customWidth="1"/>
    <col min="22" max="16384" width="12.7109375" style="366" customWidth="1"/>
  </cols>
  <sheetData>
    <row r="1" spans="1:17" ht="15.75" thickBot="1">
      <c r="A1" s="375"/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7"/>
    </row>
    <row r="2" spans="1:17" ht="12" customHeight="1" thickBot="1">
      <c r="A2" s="378"/>
      <c r="B2" s="379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1"/>
      <c r="Q2" s="382"/>
    </row>
    <row r="3" spans="1:17" ht="69.75" customHeight="1" thickBot="1">
      <c r="A3" s="378"/>
      <c r="B3" s="383"/>
      <c r="C3" s="384"/>
      <c r="D3" s="385"/>
      <c r="E3" s="386"/>
      <c r="F3" s="387"/>
      <c r="G3" s="387"/>
      <c r="H3" s="387"/>
      <c r="I3" s="387"/>
      <c r="J3" s="385"/>
      <c r="K3" s="385"/>
      <c r="L3" s="385"/>
      <c r="M3" s="386"/>
      <c r="N3" s="386"/>
      <c r="O3" s="388"/>
      <c r="P3" s="389"/>
      <c r="Q3" s="382"/>
    </row>
    <row r="4" spans="1:17" ht="6.75" customHeight="1" thickBot="1">
      <c r="A4" s="378"/>
      <c r="B4" s="383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89"/>
      <c r="Q4" s="382"/>
    </row>
    <row r="5" spans="1:17" ht="34.5" customHeight="1" thickBot="1">
      <c r="A5" s="378"/>
      <c r="B5" s="383"/>
      <c r="C5" s="391" t="s">
        <v>261</v>
      </c>
      <c r="D5" s="392"/>
      <c r="E5" s="393"/>
      <c r="F5" s="394"/>
      <c r="G5" s="394"/>
      <c r="H5" s="394"/>
      <c r="I5" s="394"/>
      <c r="J5" s="395"/>
      <c r="K5" s="390"/>
      <c r="L5" s="396" t="s">
        <v>262</v>
      </c>
      <c r="M5" s="506">
        <v>7</v>
      </c>
      <c r="N5" s="397" t="s">
        <v>3</v>
      </c>
      <c r="O5" s="398">
        <v>13</v>
      </c>
      <c r="P5" s="389"/>
      <c r="Q5" s="382"/>
    </row>
    <row r="6" spans="1:17" ht="10.5" customHeight="1">
      <c r="A6" s="378"/>
      <c r="B6" s="383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89"/>
      <c r="Q6" s="382"/>
    </row>
    <row r="7" spans="1:17" ht="10.5" customHeight="1">
      <c r="A7" s="378"/>
      <c r="B7" s="383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89"/>
      <c r="Q7" s="382"/>
    </row>
    <row r="8" spans="1:17" ht="16.5" thickBot="1">
      <c r="A8" s="378"/>
      <c r="B8" s="399"/>
      <c r="C8" s="400" t="s">
        <v>263</v>
      </c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2"/>
      <c r="Q8" s="382"/>
    </row>
    <row r="9" spans="1:17" ht="16.5" thickBot="1">
      <c r="A9" s="378"/>
      <c r="B9" s="399"/>
      <c r="C9" s="403" t="s">
        <v>264</v>
      </c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5"/>
      <c r="P9" s="402"/>
      <c r="Q9" s="382"/>
    </row>
    <row r="10" spans="1:17" ht="19.5" customHeight="1">
      <c r="A10" s="378"/>
      <c r="B10" s="399"/>
      <c r="C10" s="406"/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2"/>
      <c r="Q10" s="382"/>
    </row>
    <row r="11" spans="1:17" ht="19.5" customHeight="1">
      <c r="A11" s="378"/>
      <c r="B11" s="399"/>
      <c r="C11" s="408"/>
      <c r="D11" s="407"/>
      <c r="E11" s="407"/>
      <c r="F11" s="409"/>
      <c r="G11" s="410"/>
      <c r="H11" s="407"/>
      <c r="I11" s="407"/>
      <c r="J11" s="408"/>
      <c r="K11" s="407"/>
      <c r="L11" s="407"/>
      <c r="M11" s="411"/>
      <c r="N11" s="408"/>
      <c r="O11" s="407"/>
      <c r="P11" s="402"/>
      <c r="Q11" s="382"/>
    </row>
    <row r="12" spans="1:17" ht="19.5" customHeight="1">
      <c r="A12" s="378"/>
      <c r="B12" s="399"/>
      <c r="C12" s="406" t="s">
        <v>272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2"/>
      <c r="Q12" s="382"/>
    </row>
    <row r="13" spans="1:17" ht="19.5" customHeight="1">
      <c r="A13" s="378"/>
      <c r="B13" s="399"/>
      <c r="C13" s="408"/>
      <c r="D13" s="407"/>
      <c r="E13" s="407"/>
      <c r="F13" s="409" t="s">
        <v>273</v>
      </c>
      <c r="G13" s="410"/>
      <c r="H13" s="407"/>
      <c r="I13" s="407"/>
      <c r="J13" s="408"/>
      <c r="K13" s="407"/>
      <c r="L13" s="554">
        <v>3</v>
      </c>
      <c r="M13" s="414" t="s">
        <v>274</v>
      </c>
      <c r="N13" s="408"/>
      <c r="O13" s="407"/>
      <c r="P13" s="402"/>
      <c r="Q13" s="382"/>
    </row>
    <row r="14" spans="1:17" ht="19.5" customHeight="1">
      <c r="A14" s="378"/>
      <c r="B14" s="399"/>
      <c r="C14" s="407"/>
      <c r="D14" s="407"/>
      <c r="E14" s="407"/>
      <c r="F14" s="409" t="s">
        <v>270</v>
      </c>
      <c r="G14" s="410"/>
      <c r="H14" s="406"/>
      <c r="I14" s="406"/>
      <c r="J14" s="408"/>
      <c r="K14" s="407"/>
      <c r="L14" s="415">
        <f>IF(L13&lt;38,L13^0.3686*0.7401,IF(L13&lt;235,L13^0.4193*0.6215,IF(L13&lt;932,L13*0.0092+4.2493,L13*0.0069+6.7345)))</f>
        <v>1.10957662408762</v>
      </c>
      <c r="M14" s="414" t="s">
        <v>80</v>
      </c>
      <c r="N14" s="408"/>
      <c r="O14" s="407"/>
      <c r="P14" s="402"/>
      <c r="Q14" s="382"/>
    </row>
    <row r="15" spans="1:17" ht="19.5" customHeight="1">
      <c r="A15" s="378"/>
      <c r="B15" s="399"/>
      <c r="C15" s="407"/>
      <c r="D15" s="407"/>
      <c r="E15" s="407"/>
      <c r="F15" s="410"/>
      <c r="G15" s="410"/>
      <c r="H15" s="406"/>
      <c r="I15" s="406"/>
      <c r="J15" s="408"/>
      <c r="K15" s="407"/>
      <c r="L15" s="407"/>
      <c r="M15" s="414" t="s">
        <v>271</v>
      </c>
      <c r="N15" s="502">
        <f>L14</f>
        <v>1.10957662408762</v>
      </c>
      <c r="O15" s="414" t="s">
        <v>80</v>
      </c>
      <c r="P15" s="402"/>
      <c r="Q15" s="382"/>
    </row>
    <row r="16" spans="1:17" ht="19.5" customHeight="1">
      <c r="A16" s="378"/>
      <c r="B16" s="399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2"/>
      <c r="Q16" s="382"/>
    </row>
    <row r="17" spans="1:17" ht="19.5" customHeight="1">
      <c r="A17" s="378"/>
      <c r="B17" s="399"/>
      <c r="C17" s="406" t="s">
        <v>277</v>
      </c>
      <c r="D17" s="407"/>
      <c r="E17" s="407"/>
      <c r="F17" s="407"/>
      <c r="G17" s="407"/>
      <c r="H17" s="407"/>
      <c r="I17" s="408" t="s">
        <v>364</v>
      </c>
      <c r="J17" s="407"/>
      <c r="K17" s="407"/>
      <c r="L17" s="407"/>
      <c r="M17" s="407"/>
      <c r="N17" s="407"/>
      <c r="O17" s="407"/>
      <c r="P17" s="402"/>
      <c r="Q17" s="382"/>
    </row>
    <row r="18" spans="1:17" ht="19.5" customHeight="1">
      <c r="A18" s="378"/>
      <c r="B18" s="399"/>
      <c r="C18" s="407"/>
      <c r="D18" s="407"/>
      <c r="E18" s="407"/>
      <c r="F18" s="407"/>
      <c r="G18" s="407"/>
      <c r="H18" s="407"/>
      <c r="I18" s="407"/>
      <c r="J18" s="407"/>
      <c r="K18" s="407"/>
      <c r="L18" s="407"/>
      <c r="M18" s="407"/>
      <c r="N18" s="406"/>
      <c r="O18" s="406"/>
      <c r="P18" s="402"/>
      <c r="Q18" s="382"/>
    </row>
    <row r="19" spans="1:17" ht="19.5" customHeight="1">
      <c r="A19" s="378"/>
      <c r="B19" s="399"/>
      <c r="C19" s="408"/>
      <c r="D19" s="408"/>
      <c r="E19" s="408"/>
      <c r="F19" s="409" t="s">
        <v>361</v>
      </c>
      <c r="G19" s="408"/>
      <c r="H19" s="408"/>
      <c r="I19" s="408"/>
      <c r="J19" s="408"/>
      <c r="K19" s="408"/>
      <c r="L19" s="555">
        <f>2.54*3</f>
        <v>7.62</v>
      </c>
      <c r="M19" s="408" t="s">
        <v>363</v>
      </c>
      <c r="N19" s="408"/>
      <c r="O19" s="408"/>
      <c r="P19" s="402"/>
      <c r="Q19" s="382"/>
    </row>
    <row r="20" spans="1:19" ht="19.5" customHeight="1">
      <c r="A20" s="378"/>
      <c r="B20" s="399"/>
      <c r="C20" s="407"/>
      <c r="D20" s="407"/>
      <c r="E20" s="407"/>
      <c r="F20" s="409" t="s">
        <v>362</v>
      </c>
      <c r="G20" s="407"/>
      <c r="H20" s="407"/>
      <c r="I20" s="407"/>
      <c r="J20" s="407"/>
      <c r="K20" s="407"/>
      <c r="L20" s="556">
        <v>1.8</v>
      </c>
      <c r="M20" s="407" t="s">
        <v>87</v>
      </c>
      <c r="N20" s="407"/>
      <c r="O20" s="407"/>
      <c r="P20" s="402"/>
      <c r="Q20" s="382"/>
      <c r="S20" s="366">
        <f>2*2.54</f>
        <v>5.08</v>
      </c>
    </row>
    <row r="21" spans="1:17" ht="19.5" customHeight="1">
      <c r="A21" s="378"/>
      <c r="B21" s="399"/>
      <c r="C21" s="408"/>
      <c r="D21" s="407"/>
      <c r="E21" s="407"/>
      <c r="F21" s="409"/>
      <c r="G21" s="410"/>
      <c r="H21" s="406"/>
      <c r="I21" s="406"/>
      <c r="J21" s="407"/>
      <c r="K21" s="407"/>
      <c r="L21" s="407"/>
      <c r="M21" s="414" t="s">
        <v>275</v>
      </c>
      <c r="N21" s="502">
        <f>0.0226*POWER(L19,2)*POWER(L20,0.5)</f>
        <v>1.760575420610338</v>
      </c>
      <c r="O21" s="414" t="s">
        <v>80</v>
      </c>
      <c r="P21" s="402"/>
      <c r="Q21" s="382"/>
    </row>
    <row r="22" spans="1:17" ht="19.5" customHeight="1">
      <c r="A22" s="378"/>
      <c r="B22" s="399"/>
      <c r="C22" s="406"/>
      <c r="D22" s="407"/>
      <c r="E22" s="407"/>
      <c r="F22" s="409"/>
      <c r="G22" s="410"/>
      <c r="H22" s="406"/>
      <c r="I22" s="406"/>
      <c r="J22" s="408"/>
      <c r="K22" s="407"/>
      <c r="L22" s="406"/>
      <c r="M22" s="406"/>
      <c r="N22" s="406"/>
      <c r="O22" s="406"/>
      <c r="P22" s="402"/>
      <c r="Q22" s="382"/>
    </row>
    <row r="23" spans="1:17" ht="19.5" customHeight="1">
      <c r="A23" s="378"/>
      <c r="B23" s="399"/>
      <c r="C23" s="406"/>
      <c r="D23" s="407"/>
      <c r="E23" s="407"/>
      <c r="F23" s="409"/>
      <c r="G23" s="410"/>
      <c r="H23" s="406"/>
      <c r="I23" s="406"/>
      <c r="J23" s="408"/>
      <c r="K23" s="407"/>
      <c r="L23" s="502"/>
      <c r="M23" s="411"/>
      <c r="N23" s="407"/>
      <c r="O23" s="407"/>
      <c r="P23" s="402"/>
      <c r="Q23" s="382"/>
    </row>
    <row r="24" spans="1:17" ht="19.5" customHeight="1">
      <c r="A24" s="378"/>
      <c r="B24" s="399"/>
      <c r="C24" s="406"/>
      <c r="D24" s="406"/>
      <c r="E24" s="406"/>
      <c r="F24" s="406"/>
      <c r="G24" s="406"/>
      <c r="H24" s="406"/>
      <c r="I24" s="406"/>
      <c r="J24" s="406"/>
      <c r="K24" s="406"/>
      <c r="L24" s="407"/>
      <c r="M24" s="418" t="s">
        <v>339</v>
      </c>
      <c r="N24" s="412">
        <f>SUM(N15:N21)</f>
        <v>2.870152044697958</v>
      </c>
      <c r="O24" s="414" t="s">
        <v>80</v>
      </c>
      <c r="P24" s="402"/>
      <c r="Q24" s="382"/>
    </row>
    <row r="25" spans="1:17" ht="19.5" customHeight="1">
      <c r="A25" s="378"/>
      <c r="B25" s="399"/>
      <c r="C25" s="406"/>
      <c r="D25" s="406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2"/>
      <c r="Q25" s="382"/>
    </row>
    <row r="26" spans="1:17" ht="19.5" customHeight="1">
      <c r="A26" s="378"/>
      <c r="B26" s="399"/>
      <c r="C26" s="407"/>
      <c r="D26" s="407"/>
      <c r="E26" s="407"/>
      <c r="F26" s="407"/>
      <c r="G26" s="407"/>
      <c r="H26" s="407"/>
      <c r="I26" s="407"/>
      <c r="J26" s="407"/>
      <c r="K26" s="407"/>
      <c r="L26" s="407"/>
      <c r="M26" s="414"/>
      <c r="N26" s="406"/>
      <c r="O26" s="414"/>
      <c r="P26" s="402"/>
      <c r="Q26" s="382"/>
    </row>
    <row r="27" spans="1:17" ht="19.5" customHeight="1" thickBot="1">
      <c r="A27" s="378"/>
      <c r="B27" s="399"/>
      <c r="C27" s="407"/>
      <c r="D27" s="407"/>
      <c r="E27" s="407"/>
      <c r="F27" s="407"/>
      <c r="G27" s="407"/>
      <c r="H27" s="407"/>
      <c r="I27" s="407"/>
      <c r="J27" s="408"/>
      <c r="K27" s="407"/>
      <c r="L27" s="407"/>
      <c r="M27" s="418"/>
      <c r="N27" s="407"/>
      <c r="O27" s="414"/>
      <c r="P27" s="402"/>
      <c r="Q27" s="382"/>
    </row>
    <row r="28" spans="1:17" ht="16.5" thickBot="1">
      <c r="A28" s="378"/>
      <c r="B28" s="399"/>
      <c r="C28" s="403" t="s">
        <v>278</v>
      </c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5"/>
      <c r="P28" s="402"/>
      <c r="Q28" s="382"/>
    </row>
    <row r="29" spans="1:17" ht="19.5" customHeight="1">
      <c r="A29" s="378"/>
      <c r="B29" s="399"/>
      <c r="C29" s="408"/>
      <c r="D29" s="407"/>
      <c r="E29" s="407"/>
      <c r="F29" s="406"/>
      <c r="G29" s="406"/>
      <c r="H29" s="407"/>
      <c r="I29" s="407"/>
      <c r="J29" s="407"/>
      <c r="K29" s="407"/>
      <c r="L29" s="407"/>
      <c r="M29" s="407"/>
      <c r="N29" s="407"/>
      <c r="O29" s="407"/>
      <c r="P29" s="402"/>
      <c r="Q29" s="382"/>
    </row>
    <row r="30" spans="1:17" ht="19.5" customHeight="1">
      <c r="A30" s="378"/>
      <c r="B30" s="399"/>
      <c r="C30" s="408"/>
      <c r="D30" s="409" t="s">
        <v>279</v>
      </c>
      <c r="E30" s="407"/>
      <c r="F30" s="409"/>
      <c r="G30" s="410"/>
      <c r="H30" s="407"/>
      <c r="I30" s="407"/>
      <c r="J30" s="407"/>
      <c r="K30" s="407"/>
      <c r="L30" s="557">
        <v>4.3</v>
      </c>
      <c r="M30" s="407" t="s">
        <v>280</v>
      </c>
      <c r="N30" s="407"/>
      <c r="O30" s="407"/>
      <c r="P30" s="402"/>
      <c r="Q30" s="382"/>
    </row>
    <row r="31" spans="1:17" ht="19.5" customHeight="1">
      <c r="A31" s="378"/>
      <c r="B31" s="399"/>
      <c r="C31" s="408"/>
      <c r="D31" s="419" t="s">
        <v>69</v>
      </c>
      <c r="E31" s="408"/>
      <c r="F31" s="420"/>
      <c r="G31" s="407"/>
      <c r="H31" s="407"/>
      <c r="I31" s="407"/>
      <c r="J31" s="421"/>
      <c r="K31" s="407"/>
      <c r="L31" s="558">
        <v>18</v>
      </c>
      <c r="M31" s="407" t="s">
        <v>280</v>
      </c>
      <c r="N31" s="407"/>
      <c r="O31" s="407"/>
      <c r="P31" s="402"/>
      <c r="Q31" s="382"/>
    </row>
    <row r="32" spans="1:17" ht="19.5" customHeight="1">
      <c r="A32" s="378"/>
      <c r="B32" s="399"/>
      <c r="C32" s="408"/>
      <c r="D32" s="419" t="s">
        <v>71</v>
      </c>
      <c r="E32" s="408"/>
      <c r="F32" s="420"/>
      <c r="G32" s="407"/>
      <c r="H32" s="407"/>
      <c r="I32" s="407"/>
      <c r="J32" s="421"/>
      <c r="K32" s="407"/>
      <c r="L32" s="558">
        <f>+L31*1.2</f>
        <v>21.599999999999998</v>
      </c>
      <c r="M32" s="407" t="s">
        <v>280</v>
      </c>
      <c r="N32" s="407"/>
      <c r="O32" s="407"/>
      <c r="P32" s="402"/>
      <c r="Q32" s="382"/>
    </row>
    <row r="33" spans="1:17" ht="19.5" customHeight="1">
      <c r="A33" s="378"/>
      <c r="B33" s="399"/>
      <c r="C33" s="408"/>
      <c r="D33" s="419" t="s">
        <v>281</v>
      </c>
      <c r="E33" s="408"/>
      <c r="F33" s="420"/>
      <c r="G33" s="407"/>
      <c r="H33" s="407"/>
      <c r="I33" s="407"/>
      <c r="J33" s="421"/>
      <c r="K33" s="407"/>
      <c r="L33" s="422">
        <f>L31+L32</f>
        <v>39.599999999999994</v>
      </c>
      <c r="M33" s="407" t="s">
        <v>280</v>
      </c>
      <c r="N33" s="407"/>
      <c r="O33" s="407"/>
      <c r="P33" s="402"/>
      <c r="Q33" s="382"/>
    </row>
    <row r="34" spans="1:17" ht="19.5" customHeight="1">
      <c r="A34" s="378"/>
      <c r="B34" s="399"/>
      <c r="C34" s="407"/>
      <c r="D34" s="407"/>
      <c r="E34" s="407"/>
      <c r="F34" s="407"/>
      <c r="G34" s="407"/>
      <c r="H34" s="407"/>
      <c r="I34" s="407"/>
      <c r="J34" s="407"/>
      <c r="K34" s="407"/>
      <c r="L34" s="407"/>
      <c r="M34" s="407"/>
      <c r="N34" s="407"/>
      <c r="O34" s="407"/>
      <c r="P34" s="402"/>
      <c r="Q34" s="382"/>
    </row>
    <row r="35" spans="1:17" ht="19.5" customHeight="1">
      <c r="A35" s="378"/>
      <c r="B35" s="399"/>
      <c r="C35" s="408"/>
      <c r="D35" s="423" t="s">
        <v>282</v>
      </c>
      <c r="E35" s="424">
        <f>N24</f>
        <v>2.870152044697958</v>
      </c>
      <c r="F35" s="425" t="s">
        <v>283</v>
      </c>
      <c r="G35" s="410"/>
      <c r="H35" s="426" t="s">
        <v>284</v>
      </c>
      <c r="I35" s="557">
        <v>3</v>
      </c>
      <c r="J35" s="425" t="s">
        <v>166</v>
      </c>
      <c r="K35" s="407"/>
      <c r="L35" s="427" t="s">
        <v>285</v>
      </c>
      <c r="M35" s="559">
        <v>150</v>
      </c>
      <c r="N35" s="560"/>
      <c r="O35" s="407"/>
      <c r="P35" s="402"/>
      <c r="Q35" s="382"/>
    </row>
    <row r="36" spans="1:17" ht="19.5" customHeight="1">
      <c r="A36" s="378"/>
      <c r="B36" s="399"/>
      <c r="C36" s="408"/>
      <c r="D36" s="418"/>
      <c r="E36" s="428"/>
      <c r="F36" s="410"/>
      <c r="G36" s="410"/>
      <c r="H36" s="429"/>
      <c r="I36" s="429"/>
      <c r="J36" s="408"/>
      <c r="K36" s="407"/>
      <c r="L36" s="430"/>
      <c r="M36" s="418" t="s">
        <v>81</v>
      </c>
      <c r="N36" s="431">
        <f>(E35/1000)/(PI()*(I35*0.0254/2)^2)</f>
        <v>0.6293686118709442</v>
      </c>
      <c r="O36" s="410" t="s">
        <v>287</v>
      </c>
      <c r="P36" s="402"/>
      <c r="Q36" s="382"/>
    </row>
    <row r="37" spans="1:17" ht="19.5" customHeight="1">
      <c r="A37" s="378"/>
      <c r="B37" s="399"/>
      <c r="C37" s="408"/>
      <c r="D37" s="408"/>
      <c r="E37" s="408"/>
      <c r="F37" s="408"/>
      <c r="G37" s="408"/>
      <c r="H37" s="429"/>
      <c r="I37" s="429"/>
      <c r="J37" s="408"/>
      <c r="K37" s="407"/>
      <c r="L37" s="430"/>
      <c r="M37" s="418" t="s">
        <v>288</v>
      </c>
      <c r="N37" s="432">
        <f>(+E35/(280*M35*(+I35*0.0254)^2.63))^1.85</f>
        <v>0.005419521853157316</v>
      </c>
      <c r="O37" s="410" t="s">
        <v>289</v>
      </c>
      <c r="P37" s="402"/>
      <c r="Q37" s="382"/>
    </row>
    <row r="38" spans="1:17" ht="19.5" customHeight="1">
      <c r="A38" s="378"/>
      <c r="B38" s="399"/>
      <c r="C38" s="408"/>
      <c r="D38" s="408"/>
      <c r="E38" s="407"/>
      <c r="F38" s="406"/>
      <c r="G38" s="406"/>
      <c r="H38" s="407"/>
      <c r="I38" s="407"/>
      <c r="J38" s="418" t="s">
        <v>290</v>
      </c>
      <c r="K38" s="407"/>
      <c r="L38" s="407"/>
      <c r="M38" s="433" t="s">
        <v>291</v>
      </c>
      <c r="N38" s="434">
        <f>N37*L33</f>
        <v>0.21461306538502967</v>
      </c>
      <c r="O38" s="410" t="s">
        <v>292</v>
      </c>
      <c r="P38" s="402"/>
      <c r="Q38" s="382"/>
    </row>
    <row r="39" spans="1:17" ht="19.5" customHeight="1">
      <c r="A39" s="378"/>
      <c r="B39" s="399"/>
      <c r="C39" s="408"/>
      <c r="D39" s="407"/>
      <c r="E39" s="407"/>
      <c r="F39" s="406"/>
      <c r="G39" s="406"/>
      <c r="H39" s="407"/>
      <c r="I39" s="407"/>
      <c r="J39" s="406" t="s">
        <v>293</v>
      </c>
      <c r="K39" s="407"/>
      <c r="L39" s="407"/>
      <c r="M39" s="433" t="s">
        <v>294</v>
      </c>
      <c r="N39" s="435">
        <f>L30+N38</f>
        <v>4.51461306538503</v>
      </c>
      <c r="O39" s="410" t="s">
        <v>292</v>
      </c>
      <c r="P39" s="402"/>
      <c r="Q39" s="382"/>
    </row>
    <row r="40" spans="1:17" ht="19.5" customHeight="1" thickBot="1">
      <c r="A40" s="378"/>
      <c r="B40" s="399"/>
      <c r="C40" s="407"/>
      <c r="D40" s="407"/>
      <c r="E40" s="407"/>
      <c r="F40" s="407"/>
      <c r="G40" s="407"/>
      <c r="H40" s="407"/>
      <c r="I40" s="407"/>
      <c r="J40" s="407"/>
      <c r="K40" s="407"/>
      <c r="L40" s="407"/>
      <c r="M40" s="407"/>
      <c r="N40" s="407"/>
      <c r="O40" s="407"/>
      <c r="P40" s="402"/>
      <c r="Q40" s="382"/>
    </row>
    <row r="41" spans="1:17" ht="16.5" thickBot="1">
      <c r="A41" s="378"/>
      <c r="B41" s="399"/>
      <c r="C41" s="403" t="s">
        <v>295</v>
      </c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7"/>
      <c r="P41" s="402"/>
      <c r="Q41" s="382"/>
    </row>
    <row r="42" spans="1:17" ht="19.5" customHeight="1">
      <c r="A42" s="378"/>
      <c r="B42" s="399"/>
      <c r="C42" s="438"/>
      <c r="D42" s="439"/>
      <c r="E42" s="439"/>
      <c r="F42" s="439"/>
      <c r="G42" s="439"/>
      <c r="H42" s="439"/>
      <c r="I42" s="439"/>
      <c r="J42" s="439"/>
      <c r="K42" s="439"/>
      <c r="L42" s="439"/>
      <c r="M42" s="439"/>
      <c r="N42" s="439"/>
      <c r="O42" s="439"/>
      <c r="P42" s="402"/>
      <c r="Q42" s="382"/>
    </row>
    <row r="43" spans="1:17" ht="19.5" customHeight="1">
      <c r="A43" s="378"/>
      <c r="B43" s="399"/>
      <c r="C43" s="440" t="s">
        <v>296</v>
      </c>
      <c r="D43" s="441" t="s">
        <v>91</v>
      </c>
      <c r="E43" s="442" t="s">
        <v>6</v>
      </c>
      <c r="F43" s="443">
        <f>+N24</f>
        <v>2.870152044697958</v>
      </c>
      <c r="G43" s="443" t="s">
        <v>98</v>
      </c>
      <c r="H43" s="444">
        <v>1</v>
      </c>
      <c r="I43" s="443" t="s">
        <v>98</v>
      </c>
      <c r="J43" s="443">
        <f>+N39</f>
        <v>4.51461306538503</v>
      </c>
      <c r="K43" s="408" t="s">
        <v>6</v>
      </c>
      <c r="L43" s="445">
        <f>(+N24*1*N39)/(76*+I44/100)</f>
        <v>0.2623001198509101</v>
      </c>
      <c r="M43" s="418" t="s">
        <v>297</v>
      </c>
      <c r="N43" s="446">
        <f>+ROUNDUP(L43,0)</f>
        <v>1</v>
      </c>
      <c r="O43" s="406" t="s">
        <v>97</v>
      </c>
      <c r="P43" s="402"/>
      <c r="Q43" s="382"/>
    </row>
    <row r="44" spans="1:17" ht="19.5" customHeight="1">
      <c r="A44" s="378"/>
      <c r="B44" s="399"/>
      <c r="C44" s="408"/>
      <c r="D44" s="447" t="s">
        <v>298</v>
      </c>
      <c r="E44" s="407"/>
      <c r="F44" s="448"/>
      <c r="G44" s="449">
        <v>76</v>
      </c>
      <c r="H44" s="449" t="s">
        <v>98</v>
      </c>
      <c r="I44" s="561">
        <v>65</v>
      </c>
      <c r="J44" s="450"/>
      <c r="K44" s="407"/>
      <c r="L44" s="407"/>
      <c r="M44" s="408"/>
      <c r="N44" s="408"/>
      <c r="O44" s="408"/>
      <c r="P44" s="402"/>
      <c r="Q44" s="382"/>
    </row>
    <row r="45" spans="1:17" ht="19.5" customHeight="1" thickBot="1">
      <c r="A45" s="378"/>
      <c r="B45" s="399"/>
      <c r="C45" s="408"/>
      <c r="D45" s="408"/>
      <c r="E45" s="451"/>
      <c r="F45" s="451"/>
      <c r="G45" s="451"/>
      <c r="H45" s="452"/>
      <c r="I45" s="452"/>
      <c r="J45" s="407"/>
      <c r="K45" s="407"/>
      <c r="L45" s="407"/>
      <c r="M45" s="408"/>
      <c r="N45" s="408"/>
      <c r="O45" s="408"/>
      <c r="P45" s="402"/>
      <c r="Q45" s="382"/>
    </row>
    <row r="46" spans="1:17" ht="16.5" thickBot="1">
      <c r="A46" s="378"/>
      <c r="B46" s="399"/>
      <c r="C46" s="403" t="s">
        <v>299</v>
      </c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7"/>
      <c r="P46" s="402"/>
      <c r="Q46" s="382"/>
    </row>
    <row r="47" spans="1:17" ht="19.5" customHeight="1">
      <c r="A47" s="378"/>
      <c r="B47" s="399"/>
      <c r="C47" s="438"/>
      <c r="D47" s="439"/>
      <c r="E47" s="439"/>
      <c r="F47" s="439"/>
      <c r="G47" s="439"/>
      <c r="H47" s="439"/>
      <c r="I47" s="439"/>
      <c r="J47" s="439"/>
      <c r="K47" s="439"/>
      <c r="L47" s="439"/>
      <c r="M47" s="439"/>
      <c r="N47" s="439"/>
      <c r="O47" s="439"/>
      <c r="P47" s="402"/>
      <c r="Q47" s="382"/>
    </row>
    <row r="48" spans="1:17" ht="19.5" customHeight="1">
      <c r="A48" s="378"/>
      <c r="B48" s="399"/>
      <c r="C48" s="453" t="s">
        <v>300</v>
      </c>
      <c r="D48" s="430"/>
      <c r="E48" s="430"/>
      <c r="F48" s="407"/>
      <c r="G48" s="407"/>
      <c r="H48" s="454"/>
      <c r="I48" s="407"/>
      <c r="J48" s="421" t="s">
        <v>301</v>
      </c>
      <c r="K48" s="559">
        <v>5</v>
      </c>
      <c r="L48" s="414" t="s">
        <v>196</v>
      </c>
      <c r="M48" s="414" t="s">
        <v>6</v>
      </c>
      <c r="N48" s="414">
        <f>+K48*60</f>
        <v>300</v>
      </c>
      <c r="O48" s="414" t="s">
        <v>197</v>
      </c>
      <c r="P48" s="402"/>
      <c r="Q48" s="382"/>
    </row>
    <row r="49" spans="1:17" ht="19.5" customHeight="1">
      <c r="A49" s="378"/>
      <c r="B49" s="399"/>
      <c r="C49" s="455" t="s">
        <v>302</v>
      </c>
      <c r="D49" s="444">
        <f>+E35</f>
        <v>2.870152044697958</v>
      </c>
      <c r="E49" s="455" t="s">
        <v>98</v>
      </c>
      <c r="F49" s="456">
        <f>+N48</f>
        <v>300</v>
      </c>
      <c r="G49" s="457" t="s">
        <v>6</v>
      </c>
      <c r="H49" s="457">
        <f>+D49*F49</f>
        <v>861.0456134093873</v>
      </c>
      <c r="I49" s="414" t="s">
        <v>205</v>
      </c>
      <c r="J49" s="408"/>
      <c r="K49" s="407"/>
      <c r="L49" s="408"/>
      <c r="M49" s="418" t="s">
        <v>303</v>
      </c>
      <c r="N49" s="414">
        <f>+ROUNDUP(H49/1000,1)</f>
        <v>0.9</v>
      </c>
      <c r="O49" s="410" t="s">
        <v>11</v>
      </c>
      <c r="P49" s="402"/>
      <c r="Q49" s="382"/>
    </row>
    <row r="50" spans="1:17" ht="19.5" customHeight="1">
      <c r="A50" s="378"/>
      <c r="B50" s="399"/>
      <c r="C50" s="455"/>
      <c r="D50" s="450"/>
      <c r="E50" s="455"/>
      <c r="F50" s="458"/>
      <c r="G50" s="457"/>
      <c r="H50" s="457"/>
      <c r="I50" s="414"/>
      <c r="J50" s="408"/>
      <c r="K50" s="407"/>
      <c r="L50" s="408"/>
      <c r="M50" s="418" t="s">
        <v>304</v>
      </c>
      <c r="N50" s="414" t="s">
        <v>305</v>
      </c>
      <c r="O50" s="410"/>
      <c r="P50" s="402"/>
      <c r="Q50" s="382"/>
    </row>
    <row r="51" spans="1:17" ht="19.5" customHeight="1">
      <c r="A51" s="378"/>
      <c r="B51" s="399"/>
      <c r="C51" s="455"/>
      <c r="D51" s="450"/>
      <c r="E51" s="455"/>
      <c r="F51" s="458"/>
      <c r="G51" s="457"/>
      <c r="H51" s="457"/>
      <c r="I51" s="414"/>
      <c r="J51" s="408"/>
      <c r="K51" s="407"/>
      <c r="L51" s="408"/>
      <c r="M51" s="418" t="s">
        <v>306</v>
      </c>
      <c r="N51" s="414">
        <v>1</v>
      </c>
      <c r="O51" s="410" t="s">
        <v>87</v>
      </c>
      <c r="P51" s="402"/>
      <c r="Q51" s="382"/>
    </row>
    <row r="52" spans="1:17" ht="19.5" customHeight="1">
      <c r="A52" s="378"/>
      <c r="B52" s="399"/>
      <c r="C52" s="455"/>
      <c r="D52" s="450"/>
      <c r="E52" s="455"/>
      <c r="F52" s="458"/>
      <c r="G52" s="457"/>
      <c r="H52" s="457"/>
      <c r="I52" s="414"/>
      <c r="J52" s="408"/>
      <c r="K52" s="407"/>
      <c r="L52" s="408"/>
      <c r="M52" s="418" t="s">
        <v>307</v>
      </c>
      <c r="N52" s="414">
        <v>1</v>
      </c>
      <c r="O52" s="410" t="s">
        <v>87</v>
      </c>
      <c r="P52" s="402"/>
      <c r="Q52" s="382"/>
    </row>
    <row r="53" spans="1:17" ht="19.5" customHeight="1">
      <c r="A53" s="378"/>
      <c r="B53" s="399"/>
      <c r="C53" s="455"/>
      <c r="D53" s="450"/>
      <c r="E53" s="455"/>
      <c r="F53" s="458"/>
      <c r="G53" s="457"/>
      <c r="H53" s="457"/>
      <c r="I53" s="414"/>
      <c r="J53" s="408"/>
      <c r="K53" s="407"/>
      <c r="L53" s="408"/>
      <c r="M53" s="418" t="s">
        <v>308</v>
      </c>
      <c r="N53" s="414">
        <v>1</v>
      </c>
      <c r="O53" s="410" t="s">
        <v>162</v>
      </c>
      <c r="P53" s="402"/>
      <c r="Q53" s="382"/>
    </row>
    <row r="54" spans="1:20" ht="19.5" customHeight="1">
      <c r="A54" s="378"/>
      <c r="B54" s="399"/>
      <c r="C54" s="408"/>
      <c r="D54" s="459"/>
      <c r="E54" s="442"/>
      <c r="F54" s="408"/>
      <c r="G54" s="408"/>
      <c r="H54" s="406"/>
      <c r="I54" s="406"/>
      <c r="J54" s="408"/>
      <c r="K54" s="407"/>
      <c r="L54" s="408"/>
      <c r="M54" s="418" t="s">
        <v>340</v>
      </c>
      <c r="N54" s="414">
        <v>1</v>
      </c>
      <c r="O54" s="410" t="s">
        <v>87</v>
      </c>
      <c r="P54" s="402"/>
      <c r="T54" s="568"/>
    </row>
    <row r="55" spans="1:17" ht="5.25" customHeight="1" thickBot="1">
      <c r="A55" s="378"/>
      <c r="B55" s="399"/>
      <c r="C55" s="460"/>
      <c r="D55" s="460"/>
      <c r="E55" s="460"/>
      <c r="F55" s="460"/>
      <c r="G55" s="460"/>
      <c r="H55" s="460"/>
      <c r="I55" s="460"/>
      <c r="J55" s="460"/>
      <c r="K55" s="460"/>
      <c r="L55" s="460"/>
      <c r="M55" s="460"/>
      <c r="N55" s="460"/>
      <c r="O55" s="460"/>
      <c r="P55" s="402"/>
      <c r="Q55" s="382"/>
    </row>
    <row r="56" spans="1:17" s="49" customFormat="1" ht="19.5" customHeight="1" thickBot="1">
      <c r="A56" s="53"/>
      <c r="B56" s="53"/>
      <c r="C56" s="460"/>
      <c r="D56" s="460" t="s">
        <v>99</v>
      </c>
      <c r="E56" s="224"/>
      <c r="F56" s="562">
        <v>2</v>
      </c>
      <c r="G56" s="461" t="s">
        <v>100</v>
      </c>
      <c r="H56" s="210"/>
      <c r="I56" s="210"/>
      <c r="J56" s="1062">
        <v>100</v>
      </c>
      <c r="K56" s="1063"/>
      <c r="L56" s="461" t="s">
        <v>101</v>
      </c>
      <c r="M56" s="210"/>
      <c r="O56" s="460"/>
      <c r="P56" s="60"/>
      <c r="Q56" s="60"/>
    </row>
    <row r="57" spans="1:17" s="467" customFormat="1" ht="12" customHeight="1" thickBot="1">
      <c r="A57" s="462"/>
      <c r="B57" s="463"/>
      <c r="C57" s="464"/>
      <c r="D57" s="464"/>
      <c r="E57" s="464"/>
      <c r="F57" s="464"/>
      <c r="G57" s="464"/>
      <c r="H57" s="464"/>
      <c r="I57" s="464"/>
      <c r="J57" s="464"/>
      <c r="K57" s="464"/>
      <c r="L57" s="464"/>
      <c r="M57" s="464"/>
      <c r="N57" s="464"/>
      <c r="O57" s="464"/>
      <c r="P57" s="465"/>
      <c r="Q57" s="466"/>
    </row>
    <row r="58" spans="1:17" s="467" customFormat="1" ht="15">
      <c r="A58" s="462"/>
      <c r="Q58" s="466"/>
    </row>
    <row r="59" spans="1:17" s="467" customFormat="1" ht="15.75" thickBot="1">
      <c r="A59" s="468"/>
      <c r="B59" s="469"/>
      <c r="C59" s="469"/>
      <c r="D59" s="469"/>
      <c r="E59" s="469"/>
      <c r="F59" s="469"/>
      <c r="G59" s="469"/>
      <c r="H59" s="469"/>
      <c r="I59" s="469"/>
      <c r="J59" s="469"/>
      <c r="K59" s="469"/>
      <c r="L59" s="469"/>
      <c r="M59" s="469"/>
      <c r="N59" s="469"/>
      <c r="O59" s="469"/>
      <c r="P59" s="469"/>
      <c r="Q59" s="470"/>
    </row>
    <row r="60" s="467" customFormat="1" ht="15"/>
    <row r="61" s="467" customFormat="1" ht="15"/>
    <row r="62" s="467" customFormat="1" ht="15"/>
    <row r="63" s="467" customFormat="1" ht="15"/>
    <row r="64" s="467" customFormat="1" ht="15"/>
    <row r="65" s="467" customFormat="1" ht="15"/>
    <row r="66" s="467" customFormat="1" ht="15"/>
    <row r="67" s="467" customFormat="1" ht="15"/>
    <row r="68" s="467" customFormat="1" ht="15"/>
    <row r="69" s="467" customFormat="1" ht="15"/>
    <row r="70" s="467" customFormat="1" ht="15"/>
    <row r="71" s="467" customFormat="1" ht="15"/>
    <row r="72" s="467" customFormat="1" ht="15"/>
    <row r="73" s="467" customFormat="1" ht="15"/>
    <row r="74" s="467" customFormat="1" ht="15"/>
    <row r="75" s="467" customFormat="1" ht="15"/>
    <row r="76" s="467" customFormat="1" ht="15"/>
    <row r="77" s="467" customFormat="1" ht="15"/>
    <row r="78" s="467" customFormat="1" ht="15"/>
    <row r="79" s="467" customFormat="1" ht="15"/>
    <row r="80" s="467" customFormat="1" ht="15"/>
    <row r="81" s="467" customFormat="1" ht="15"/>
    <row r="82" s="467" customFormat="1" ht="15"/>
    <row r="83" s="467" customFormat="1" ht="15"/>
    <row r="84" s="467" customFormat="1" ht="15"/>
    <row r="85" s="467" customFormat="1" ht="15"/>
    <row r="86" s="467" customFormat="1" ht="15"/>
    <row r="87" s="467" customFormat="1" ht="15"/>
    <row r="88" s="467" customFormat="1" ht="15"/>
    <row r="89" s="467" customFormat="1" ht="15"/>
    <row r="90" s="467" customFormat="1" ht="15"/>
    <row r="91" s="467" customFormat="1" ht="15"/>
    <row r="92" s="467" customFormat="1" ht="15"/>
    <row r="93" s="467" customFormat="1" ht="15"/>
    <row r="94" s="467" customFormat="1" ht="15"/>
    <row r="95" s="467" customFormat="1" ht="15"/>
    <row r="96" s="467" customFormat="1" ht="15"/>
    <row r="97" s="467" customFormat="1" ht="15"/>
    <row r="98" s="467" customFormat="1" ht="15"/>
    <row r="99" s="467" customFormat="1" ht="15"/>
    <row r="100" s="467" customFormat="1" ht="15"/>
    <row r="101" s="467" customFormat="1" ht="15"/>
    <row r="102" s="467" customFormat="1" ht="15"/>
    <row r="103" s="467" customFormat="1" ht="15"/>
    <row r="104" s="467" customFormat="1" ht="15"/>
    <row r="105" s="467" customFormat="1" ht="15"/>
    <row r="106" s="467" customFormat="1" ht="14.25" customHeight="1"/>
    <row r="107" s="467" customFormat="1" ht="15"/>
    <row r="108" s="467" customFormat="1" ht="14.25" customHeight="1"/>
    <row r="109" s="467" customFormat="1" ht="14.25" customHeight="1"/>
    <row r="110" s="467" customFormat="1" ht="14.25" customHeight="1"/>
    <row r="111" s="467" customFormat="1" ht="14.25" customHeight="1"/>
    <row r="112" s="467" customFormat="1" ht="14.25" customHeight="1"/>
    <row r="113" s="467" customFormat="1" ht="15"/>
    <row r="114" s="471" customFormat="1" ht="15" customHeight="1"/>
    <row r="115" s="467" customFormat="1" ht="14.25" customHeight="1"/>
    <row r="116" s="467" customFormat="1" ht="14.25" customHeight="1"/>
    <row r="117" s="467" customFormat="1" ht="14.25" customHeight="1"/>
    <row r="118" s="467" customFormat="1" ht="14.25" customHeight="1"/>
    <row r="119" s="467" customFormat="1" ht="14.25" customHeight="1"/>
    <row r="120" s="467" customFormat="1" ht="14.25" customHeight="1"/>
    <row r="121" s="467" customFormat="1" ht="15"/>
    <row r="122" s="467" customFormat="1" ht="15"/>
    <row r="123" s="467" customFormat="1" ht="15"/>
    <row r="124" s="467" customFormat="1" ht="15"/>
    <row r="125" s="467" customFormat="1" ht="15"/>
    <row r="126" s="467" customFormat="1" ht="15"/>
    <row r="127" s="467" customFormat="1" ht="15"/>
    <row r="128" s="467" customFormat="1" ht="15"/>
    <row r="129" s="467" customFormat="1" ht="15"/>
    <row r="130" s="467" customFormat="1" ht="15"/>
    <row r="131" s="467" customFormat="1" ht="15"/>
    <row r="132" s="467" customFormat="1" ht="15"/>
    <row r="133" s="467" customFormat="1" ht="15"/>
    <row r="134" s="467" customFormat="1" ht="15"/>
    <row r="135" s="467" customFormat="1" ht="15"/>
    <row r="136" s="467" customFormat="1" ht="15"/>
    <row r="137" s="467" customFormat="1" ht="15"/>
    <row r="138" s="467" customFormat="1" ht="15"/>
    <row r="139" s="467" customFormat="1" ht="15"/>
    <row r="140" s="467" customFormat="1" ht="15"/>
    <row r="141" s="467" customFormat="1" ht="15"/>
    <row r="142" s="467" customFormat="1" ht="15"/>
    <row r="143" s="467" customFormat="1" ht="15"/>
    <row r="144" s="467" customFormat="1" ht="15"/>
    <row r="145" s="467" customFormat="1" ht="15"/>
    <row r="146" s="467" customFormat="1" ht="15"/>
    <row r="147" s="467" customFormat="1" ht="15"/>
    <row r="148" s="467" customFormat="1" ht="15"/>
    <row r="149" s="467" customFormat="1" ht="15"/>
    <row r="150" s="467" customFormat="1" ht="15"/>
    <row r="151" s="467" customFormat="1" ht="15"/>
    <row r="152" s="467" customFormat="1" ht="15"/>
    <row r="153" s="467" customFormat="1" ht="15"/>
    <row r="154" s="467" customFormat="1" ht="15"/>
    <row r="156" s="472" customFormat="1" ht="12.75"/>
    <row r="157" s="473" customFormat="1" ht="15"/>
  </sheetData>
  <sheetProtection/>
  <mergeCells count="1">
    <mergeCell ref="J56:K56"/>
  </mergeCells>
  <printOptions horizontalCentered="1" verticalCentered="1"/>
  <pageMargins left="0.5905511811023623" right="0.7874015748031497" top="0.7480314960629921" bottom="0.2755905511811024" header="0" footer="0"/>
  <pageSetup horizontalDpi="600" verticalDpi="600" orientation="portrait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Q63"/>
  <sheetViews>
    <sheetView view="pageBreakPreview" zoomScale="55" zoomScaleNormal="75" zoomScaleSheetLayoutView="55" zoomScalePageLayoutView="0" workbookViewId="0" topLeftCell="A10">
      <selection activeCell="S11" sqref="S11"/>
    </sheetView>
  </sheetViews>
  <sheetFormatPr defaultColWidth="12.7109375" defaultRowHeight="12.75"/>
  <cols>
    <col min="1" max="1" width="3.421875" style="366" customWidth="1"/>
    <col min="2" max="2" width="2.00390625" style="366" customWidth="1"/>
    <col min="3" max="3" width="8.28125" style="366" customWidth="1"/>
    <col min="4" max="4" width="13.00390625" style="366" customWidth="1"/>
    <col min="5" max="5" width="9.140625" style="366" customWidth="1"/>
    <col min="6" max="6" width="12.00390625" style="366" customWidth="1"/>
    <col min="7" max="7" width="5.57421875" style="366" customWidth="1"/>
    <col min="8" max="8" width="7.00390625" style="366" customWidth="1"/>
    <col min="9" max="9" width="8.140625" style="366" customWidth="1"/>
    <col min="10" max="10" width="7.00390625" style="366" customWidth="1"/>
    <col min="11" max="11" width="4.57421875" style="366" customWidth="1"/>
    <col min="12" max="12" width="9.421875" style="366" customWidth="1"/>
    <col min="13" max="13" width="10.421875" style="366" customWidth="1"/>
    <col min="14" max="14" width="10.8515625" style="366" customWidth="1"/>
    <col min="15" max="15" width="12.421875" style="366" customWidth="1"/>
    <col min="16" max="16" width="2.421875" style="366" customWidth="1"/>
    <col min="17" max="17" width="3.57421875" style="366" customWidth="1"/>
    <col min="18" max="16384" width="12.7109375" style="366" customWidth="1"/>
  </cols>
  <sheetData>
    <row r="1" spans="1:17" ht="15.75" thickBot="1">
      <c r="A1" s="375"/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7"/>
    </row>
    <row r="2" spans="1:17" ht="12" customHeight="1" thickBot="1">
      <c r="A2" s="378"/>
      <c r="B2" s="379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1"/>
      <c r="Q2" s="382"/>
    </row>
    <row r="3" spans="1:17" ht="69.75" customHeight="1" thickBot="1">
      <c r="A3" s="378"/>
      <c r="B3" s="383"/>
      <c r="C3" s="384"/>
      <c r="D3" s="385"/>
      <c r="E3" s="386"/>
      <c r="F3" s="387"/>
      <c r="G3" s="387"/>
      <c r="H3" s="387"/>
      <c r="I3" s="387"/>
      <c r="J3" s="385"/>
      <c r="K3" s="385"/>
      <c r="L3" s="385"/>
      <c r="M3" s="386"/>
      <c r="N3" s="386"/>
      <c r="O3" s="388"/>
      <c r="P3" s="389"/>
      <c r="Q3" s="382"/>
    </row>
    <row r="4" spans="1:17" ht="6.75" customHeight="1" thickBot="1">
      <c r="A4" s="378"/>
      <c r="B4" s="383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89"/>
      <c r="Q4" s="382"/>
    </row>
    <row r="5" spans="1:17" ht="34.5" customHeight="1" thickBot="1">
      <c r="A5" s="378"/>
      <c r="B5" s="383"/>
      <c r="C5" s="391" t="s">
        <v>261</v>
      </c>
      <c r="D5" s="392"/>
      <c r="E5" s="393"/>
      <c r="F5" s="394"/>
      <c r="G5" s="394"/>
      <c r="H5" s="394"/>
      <c r="I5" s="394"/>
      <c r="J5" s="395"/>
      <c r="K5" s="390"/>
      <c r="L5" s="396" t="s">
        <v>262</v>
      </c>
      <c r="M5" s="506">
        <v>8</v>
      </c>
      <c r="N5" s="397" t="s">
        <v>3</v>
      </c>
      <c r="O5" s="398">
        <v>13</v>
      </c>
      <c r="P5" s="389"/>
      <c r="Q5" s="382"/>
    </row>
    <row r="6" spans="1:17" ht="10.5" customHeight="1">
      <c r="A6" s="378"/>
      <c r="B6" s="383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89"/>
      <c r="Q6" s="382"/>
    </row>
    <row r="7" spans="1:17" ht="10.5" customHeight="1">
      <c r="A7" s="378"/>
      <c r="B7" s="383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89"/>
      <c r="Q7" s="382"/>
    </row>
    <row r="8" spans="1:17" ht="16.5" thickBot="1">
      <c r="A8" s="378"/>
      <c r="B8" s="399"/>
      <c r="C8" s="400" t="s">
        <v>338</v>
      </c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2"/>
      <c r="Q8" s="382"/>
    </row>
    <row r="9" spans="1:17" ht="16.5" thickBot="1">
      <c r="A9" s="378"/>
      <c r="B9" s="399"/>
      <c r="C9" s="403" t="s">
        <v>264</v>
      </c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5"/>
      <c r="P9" s="402"/>
      <c r="Q9" s="382"/>
    </row>
    <row r="10" spans="1:17" ht="19.5" customHeight="1">
      <c r="A10" s="378"/>
      <c r="B10" s="399"/>
      <c r="C10" s="406" t="s">
        <v>265</v>
      </c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2"/>
      <c r="Q10" s="382"/>
    </row>
    <row r="11" spans="1:17" ht="19.5" customHeight="1">
      <c r="A11" s="378"/>
      <c r="B11" s="399"/>
      <c r="C11" s="408"/>
      <c r="D11" s="407"/>
      <c r="E11" s="407"/>
      <c r="F11" s="409" t="s">
        <v>266</v>
      </c>
      <c r="G11" s="410"/>
      <c r="H11" s="407"/>
      <c r="I11" s="407"/>
      <c r="J11" s="408"/>
      <c r="K11" s="407"/>
      <c r="L11" s="554">
        <v>80</v>
      </c>
      <c r="M11" s="411" t="s">
        <v>162</v>
      </c>
      <c r="N11" s="408"/>
      <c r="O11" s="407"/>
      <c r="P11" s="402"/>
      <c r="Q11" s="382"/>
    </row>
    <row r="12" spans="1:17" ht="19.5" customHeight="1">
      <c r="A12" s="378"/>
      <c r="B12" s="399"/>
      <c r="C12" s="407"/>
      <c r="D12" s="407"/>
      <c r="E12" s="407"/>
      <c r="F12" s="409" t="s">
        <v>267</v>
      </c>
      <c r="G12" s="410"/>
      <c r="H12" s="406"/>
      <c r="I12" s="406"/>
      <c r="J12" s="408"/>
      <c r="K12" s="407"/>
      <c r="L12" s="412">
        <v>1</v>
      </c>
      <c r="M12" s="411"/>
      <c r="N12" s="408"/>
      <c r="O12" s="407"/>
      <c r="P12" s="402"/>
      <c r="Q12" s="382"/>
    </row>
    <row r="13" spans="1:17" ht="19.5" customHeight="1">
      <c r="A13" s="378"/>
      <c r="B13" s="399"/>
      <c r="C13" s="407"/>
      <c r="D13" s="407"/>
      <c r="E13" s="407"/>
      <c r="F13" s="409" t="s">
        <v>268</v>
      </c>
      <c r="G13" s="410"/>
      <c r="H13" s="406"/>
      <c r="I13" s="406"/>
      <c r="J13" s="408"/>
      <c r="K13" s="407"/>
      <c r="L13" s="413">
        <v>100</v>
      </c>
      <c r="M13" s="411" t="s">
        <v>269</v>
      </c>
      <c r="N13" s="408"/>
      <c r="O13" s="407"/>
      <c r="P13" s="402"/>
      <c r="Q13" s="382"/>
    </row>
    <row r="14" spans="1:17" ht="19.5" customHeight="1">
      <c r="A14" s="378"/>
      <c r="B14" s="399"/>
      <c r="C14" s="407"/>
      <c r="D14" s="407"/>
      <c r="E14" s="407"/>
      <c r="F14" s="409" t="s">
        <v>270</v>
      </c>
      <c r="G14" s="410"/>
      <c r="H14" s="406"/>
      <c r="I14" s="406"/>
      <c r="J14" s="408"/>
      <c r="K14" s="407"/>
      <c r="L14" s="412">
        <f>L11*L12*L13/3600</f>
        <v>2.2222222222222223</v>
      </c>
      <c r="M14" s="411" t="s">
        <v>80</v>
      </c>
      <c r="N14" s="408"/>
      <c r="O14" s="407"/>
      <c r="P14" s="402"/>
      <c r="Q14" s="382"/>
    </row>
    <row r="15" spans="1:17" ht="19.5" customHeight="1">
      <c r="A15" s="378"/>
      <c r="B15" s="399"/>
      <c r="C15" s="407"/>
      <c r="D15" s="407"/>
      <c r="E15" s="407"/>
      <c r="F15" s="410"/>
      <c r="G15" s="410"/>
      <c r="H15" s="406"/>
      <c r="I15" s="406"/>
      <c r="J15" s="408"/>
      <c r="K15" s="407"/>
      <c r="L15" s="407"/>
      <c r="M15" s="414" t="s">
        <v>271</v>
      </c>
      <c r="N15" s="428">
        <f>L14</f>
        <v>2.2222222222222223</v>
      </c>
      <c r="O15" s="414" t="s">
        <v>80</v>
      </c>
      <c r="P15" s="402"/>
      <c r="Q15" s="382"/>
    </row>
    <row r="16" spans="1:17" ht="19.5" customHeight="1">
      <c r="A16" s="378"/>
      <c r="B16" s="399"/>
      <c r="C16" s="408"/>
      <c r="D16" s="407"/>
      <c r="E16" s="407"/>
      <c r="F16" s="409"/>
      <c r="G16" s="410"/>
      <c r="H16" s="407"/>
      <c r="I16" s="407"/>
      <c r="J16" s="408"/>
      <c r="K16" s="407"/>
      <c r="L16" s="407"/>
      <c r="M16" s="414"/>
      <c r="N16" s="408"/>
      <c r="O16" s="407"/>
      <c r="P16" s="402"/>
      <c r="Q16" s="382"/>
    </row>
    <row r="17" spans="1:17" ht="19.5" customHeight="1">
      <c r="A17" s="378"/>
      <c r="B17" s="399"/>
      <c r="C17" s="475" t="s">
        <v>341</v>
      </c>
      <c r="D17" s="276"/>
      <c r="E17" s="276"/>
      <c r="F17" s="276"/>
      <c r="G17" s="407"/>
      <c r="H17" s="407"/>
      <c r="I17" s="407"/>
      <c r="J17" s="407"/>
      <c r="K17" s="407"/>
      <c r="L17" s="407"/>
      <c r="M17" s="407"/>
      <c r="N17" s="407"/>
      <c r="O17" s="407"/>
      <c r="P17" s="402"/>
      <c r="Q17" s="382"/>
    </row>
    <row r="18" spans="1:17" ht="19.5" customHeight="1">
      <c r="A18" s="378"/>
      <c r="B18" s="399"/>
      <c r="C18" s="408"/>
      <c r="D18" s="407"/>
      <c r="E18" s="407"/>
      <c r="F18" s="409" t="s">
        <v>276</v>
      </c>
      <c r="G18" s="410"/>
      <c r="H18" s="406"/>
      <c r="I18" s="406"/>
      <c r="J18" s="407"/>
      <c r="K18" s="407"/>
      <c r="L18" s="554">
        <v>220</v>
      </c>
      <c r="M18" s="414" t="s">
        <v>162</v>
      </c>
      <c r="N18" s="407"/>
      <c r="O18" s="407"/>
      <c r="P18" s="402"/>
      <c r="Q18" s="382"/>
    </row>
    <row r="19" spans="1:17" ht="19.5" customHeight="1">
      <c r="A19" s="378"/>
      <c r="B19" s="399"/>
      <c r="C19" s="406"/>
      <c r="D19" s="407"/>
      <c r="E19" s="407"/>
      <c r="F19" s="409" t="s">
        <v>310</v>
      </c>
      <c r="G19" s="410"/>
      <c r="H19" s="406"/>
      <c r="I19" s="406"/>
      <c r="J19" s="408"/>
      <c r="K19" s="407"/>
      <c r="L19" s="474">
        <v>0.0019</v>
      </c>
      <c r="M19" s="411" t="s">
        <v>311</v>
      </c>
      <c r="N19" s="407"/>
      <c r="O19" s="407"/>
      <c r="P19" s="402"/>
      <c r="Q19" s="382"/>
    </row>
    <row r="20" spans="1:17" ht="19.5" customHeight="1">
      <c r="A20" s="378"/>
      <c r="B20" s="399"/>
      <c r="C20" s="406"/>
      <c r="D20" s="407"/>
      <c r="E20" s="407"/>
      <c r="F20" s="409" t="s">
        <v>270</v>
      </c>
      <c r="G20" s="410"/>
      <c r="H20" s="406"/>
      <c r="I20" s="406"/>
      <c r="J20" s="408"/>
      <c r="K20" s="407"/>
      <c r="L20" s="416">
        <f>L18*0.001</f>
        <v>0.22</v>
      </c>
      <c r="M20" s="411" t="s">
        <v>80</v>
      </c>
      <c r="N20" s="407"/>
      <c r="O20" s="407"/>
      <c r="P20" s="402"/>
      <c r="Q20" s="382"/>
    </row>
    <row r="21" spans="1:17" ht="19.5" customHeight="1">
      <c r="A21" s="378"/>
      <c r="B21" s="399"/>
      <c r="C21" s="407"/>
      <c r="D21" s="407"/>
      <c r="E21" s="407"/>
      <c r="F21" s="407"/>
      <c r="G21" s="407"/>
      <c r="H21" s="407"/>
      <c r="I21" s="407"/>
      <c r="J21" s="407"/>
      <c r="K21" s="407"/>
      <c r="L21" s="407"/>
      <c r="M21" s="414" t="s">
        <v>275</v>
      </c>
      <c r="N21" s="428">
        <f>L20</f>
        <v>0.22</v>
      </c>
      <c r="O21" s="414" t="s">
        <v>80</v>
      </c>
      <c r="P21" s="402"/>
      <c r="Q21" s="382"/>
    </row>
    <row r="22" spans="1:17" ht="19.5" customHeight="1">
      <c r="A22" s="378"/>
      <c r="B22" s="399"/>
      <c r="C22" s="407"/>
      <c r="D22" s="407"/>
      <c r="E22" s="407"/>
      <c r="F22" s="407"/>
      <c r="G22" s="407"/>
      <c r="H22" s="407"/>
      <c r="I22" s="407"/>
      <c r="J22" s="407"/>
      <c r="K22" s="407"/>
      <c r="L22" s="407"/>
      <c r="M22" s="407"/>
      <c r="N22" s="407"/>
      <c r="O22" s="407"/>
      <c r="P22" s="402"/>
      <c r="Q22" s="382"/>
    </row>
    <row r="23" spans="1:17" ht="19.5" customHeight="1">
      <c r="A23" s="378"/>
      <c r="B23" s="399"/>
      <c r="C23" s="406" t="s">
        <v>343</v>
      </c>
      <c r="D23" s="407"/>
      <c r="E23" s="407"/>
      <c r="F23" s="407"/>
      <c r="G23" s="407"/>
      <c r="H23" s="407"/>
      <c r="I23" s="408" t="s">
        <v>364</v>
      </c>
      <c r="J23" s="407"/>
      <c r="K23" s="407"/>
      <c r="L23" s="407"/>
      <c r="M23" s="407"/>
      <c r="N23" s="407"/>
      <c r="O23" s="407"/>
      <c r="P23" s="402"/>
      <c r="Q23" s="382"/>
    </row>
    <row r="24" spans="1:17" ht="19.5" customHeight="1">
      <c r="A24" s="378"/>
      <c r="B24" s="399"/>
      <c r="C24" s="407"/>
      <c r="D24" s="407"/>
      <c r="E24" s="407"/>
      <c r="F24" s="407"/>
      <c r="G24" s="407"/>
      <c r="H24" s="407"/>
      <c r="I24" s="407"/>
      <c r="J24" s="407"/>
      <c r="K24" s="407"/>
      <c r="L24" s="407"/>
      <c r="M24" s="407"/>
      <c r="N24" s="406"/>
      <c r="O24" s="406"/>
      <c r="P24" s="402"/>
      <c r="Q24" s="382"/>
    </row>
    <row r="25" spans="1:17" ht="19.5" customHeight="1">
      <c r="A25" s="378"/>
      <c r="B25" s="399"/>
      <c r="C25" s="408"/>
      <c r="D25" s="408"/>
      <c r="E25" s="408"/>
      <c r="F25" s="409" t="s">
        <v>361</v>
      </c>
      <c r="G25" s="408"/>
      <c r="H25" s="408"/>
      <c r="I25" s="408"/>
      <c r="J25" s="408"/>
      <c r="K25" s="408"/>
      <c r="L25" s="555"/>
      <c r="M25" s="408" t="s">
        <v>363</v>
      </c>
      <c r="N25" s="408"/>
      <c r="O25" s="408"/>
      <c r="P25" s="402"/>
      <c r="Q25" s="382"/>
    </row>
    <row r="26" spans="1:17" ht="19.5" customHeight="1">
      <c r="A26" s="378"/>
      <c r="B26" s="399"/>
      <c r="C26" s="407"/>
      <c r="D26" s="407"/>
      <c r="E26" s="407"/>
      <c r="F26" s="409" t="s">
        <v>362</v>
      </c>
      <c r="G26" s="407"/>
      <c r="H26" s="407"/>
      <c r="I26" s="407"/>
      <c r="J26" s="407"/>
      <c r="K26" s="407"/>
      <c r="L26" s="556"/>
      <c r="M26" s="407" t="s">
        <v>87</v>
      </c>
      <c r="N26" s="407"/>
      <c r="O26" s="407"/>
      <c r="P26" s="402"/>
      <c r="Q26" s="382"/>
    </row>
    <row r="27" spans="1:17" ht="19.5" customHeight="1">
      <c r="A27" s="378"/>
      <c r="B27" s="399"/>
      <c r="C27" s="406"/>
      <c r="D27" s="407"/>
      <c r="E27" s="407"/>
      <c r="F27" s="409" t="s">
        <v>270</v>
      </c>
      <c r="G27" s="410"/>
      <c r="H27" s="406"/>
      <c r="I27" s="406"/>
      <c r="J27" s="408"/>
      <c r="K27" s="407"/>
      <c r="L27" s="416">
        <f>0.0226*POWER(L25,2)*POWER(L26,0.5)</f>
        <v>0</v>
      </c>
      <c r="M27" s="411" t="s">
        <v>80</v>
      </c>
      <c r="N27" s="407"/>
      <c r="O27" s="407"/>
      <c r="P27" s="402"/>
      <c r="Q27" s="382"/>
    </row>
    <row r="28" spans="1:17" ht="19.5" customHeight="1">
      <c r="A28" s="378"/>
      <c r="B28" s="399"/>
      <c r="C28" s="408"/>
      <c r="D28" s="407"/>
      <c r="E28" s="407"/>
      <c r="F28" s="409"/>
      <c r="G28" s="410"/>
      <c r="H28" s="406"/>
      <c r="I28" s="406"/>
      <c r="J28" s="407"/>
      <c r="K28" s="407"/>
      <c r="L28" s="407"/>
      <c r="M28" s="414" t="s">
        <v>275</v>
      </c>
      <c r="N28" s="502">
        <f>L27</f>
        <v>0</v>
      </c>
      <c r="O28" s="414" t="s">
        <v>80</v>
      </c>
      <c r="P28" s="402"/>
      <c r="Q28" s="382"/>
    </row>
    <row r="29" spans="1:17" ht="19.5" customHeight="1">
      <c r="A29" s="378"/>
      <c r="B29" s="399"/>
      <c r="C29" s="407"/>
      <c r="D29" s="407"/>
      <c r="E29" s="407"/>
      <c r="F29" s="407"/>
      <c r="G29" s="407"/>
      <c r="H29" s="407"/>
      <c r="I29" s="407"/>
      <c r="J29" s="407"/>
      <c r="K29" s="407"/>
      <c r="L29" s="407"/>
      <c r="M29" s="414"/>
      <c r="N29" s="417"/>
      <c r="O29" s="414"/>
      <c r="P29" s="402"/>
      <c r="Q29" s="382"/>
    </row>
    <row r="30" spans="1:17" ht="19.5" customHeight="1">
      <c r="A30" s="378"/>
      <c r="B30" s="399"/>
      <c r="C30" s="407"/>
      <c r="D30" s="407"/>
      <c r="E30" s="407"/>
      <c r="F30" s="407"/>
      <c r="G30" s="407"/>
      <c r="H30" s="407"/>
      <c r="I30" s="407"/>
      <c r="J30" s="408"/>
      <c r="K30" s="407"/>
      <c r="L30" s="407"/>
      <c r="M30" s="418" t="s">
        <v>342</v>
      </c>
      <c r="N30" s="412">
        <f>SUM(N15:N28)</f>
        <v>2.4422222222222225</v>
      </c>
      <c r="O30" s="414" t="s">
        <v>80</v>
      </c>
      <c r="P30" s="402"/>
      <c r="Q30" s="382"/>
    </row>
    <row r="31" spans="1:17" ht="19.5" customHeight="1" thickBot="1">
      <c r="A31" s="378"/>
      <c r="B31" s="399"/>
      <c r="C31" s="407"/>
      <c r="D31" s="407"/>
      <c r="E31" s="407"/>
      <c r="F31" s="407"/>
      <c r="G31" s="407"/>
      <c r="H31" s="407"/>
      <c r="I31" s="407"/>
      <c r="J31" s="408"/>
      <c r="K31" s="407"/>
      <c r="L31" s="407"/>
      <c r="M31" s="418"/>
      <c r="N31" s="407"/>
      <c r="O31" s="414"/>
      <c r="P31" s="402"/>
      <c r="Q31" s="382"/>
    </row>
    <row r="32" spans="1:17" ht="16.5" thickBot="1">
      <c r="A32" s="378"/>
      <c r="B32" s="399"/>
      <c r="C32" s="403" t="s">
        <v>278</v>
      </c>
      <c r="D32" s="404"/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5"/>
      <c r="P32" s="402"/>
      <c r="Q32" s="382"/>
    </row>
    <row r="33" spans="1:17" ht="19.5" customHeight="1">
      <c r="A33" s="378"/>
      <c r="B33" s="399"/>
      <c r="C33" s="408"/>
      <c r="D33" s="407"/>
      <c r="E33" s="407"/>
      <c r="F33" s="406"/>
      <c r="G33" s="406"/>
      <c r="H33" s="407"/>
      <c r="I33" s="407"/>
      <c r="J33" s="407"/>
      <c r="K33" s="407"/>
      <c r="L33" s="407"/>
      <c r="M33" s="407"/>
      <c r="N33" s="407"/>
      <c r="O33" s="407"/>
      <c r="P33" s="402"/>
      <c r="Q33" s="382"/>
    </row>
    <row r="34" spans="1:17" ht="19.5" customHeight="1">
      <c r="A34" s="378"/>
      <c r="B34" s="399"/>
      <c r="C34" s="408"/>
      <c r="D34" s="409" t="s">
        <v>279</v>
      </c>
      <c r="E34" s="407"/>
      <c r="F34" s="409"/>
      <c r="G34" s="410"/>
      <c r="H34" s="407"/>
      <c r="I34" s="407"/>
      <c r="J34" s="407"/>
      <c r="K34" s="407"/>
      <c r="L34" s="557">
        <v>4.3</v>
      </c>
      <c r="M34" s="407" t="s">
        <v>280</v>
      </c>
      <c r="N34" s="407"/>
      <c r="O34" s="407"/>
      <c r="P34" s="402"/>
      <c r="Q34" s="382"/>
    </row>
    <row r="35" spans="1:17" ht="19.5" customHeight="1">
      <c r="A35" s="378"/>
      <c r="B35" s="399"/>
      <c r="C35" s="408"/>
      <c r="D35" s="419" t="s">
        <v>69</v>
      </c>
      <c r="E35" s="408"/>
      <c r="F35" s="420"/>
      <c r="G35" s="407"/>
      <c r="H35" s="407"/>
      <c r="I35" s="407"/>
      <c r="J35" s="421"/>
      <c r="K35" s="407"/>
      <c r="L35" s="558">
        <v>15</v>
      </c>
      <c r="M35" s="407" t="s">
        <v>280</v>
      </c>
      <c r="N35" s="407"/>
      <c r="O35" s="407"/>
      <c r="P35" s="402"/>
      <c r="Q35" s="382"/>
    </row>
    <row r="36" spans="1:17" ht="19.5" customHeight="1">
      <c r="A36" s="378"/>
      <c r="B36" s="399"/>
      <c r="C36" s="408"/>
      <c r="D36" s="419" t="s">
        <v>71</v>
      </c>
      <c r="E36" s="408"/>
      <c r="F36" s="420"/>
      <c r="G36" s="407"/>
      <c r="H36" s="407"/>
      <c r="I36" s="407"/>
      <c r="J36" s="421"/>
      <c r="K36" s="407"/>
      <c r="L36" s="558">
        <f>+L35*1.2</f>
        <v>18</v>
      </c>
      <c r="M36" s="407" t="s">
        <v>280</v>
      </c>
      <c r="N36" s="407"/>
      <c r="O36" s="407"/>
      <c r="P36" s="402"/>
      <c r="Q36" s="382"/>
    </row>
    <row r="37" spans="1:17" ht="19.5" customHeight="1">
      <c r="A37" s="378"/>
      <c r="B37" s="399"/>
      <c r="C37" s="408"/>
      <c r="D37" s="419" t="s">
        <v>281</v>
      </c>
      <c r="E37" s="408"/>
      <c r="F37" s="420"/>
      <c r="G37" s="407"/>
      <c r="H37" s="407"/>
      <c r="I37" s="407"/>
      <c r="J37" s="421"/>
      <c r="K37" s="407"/>
      <c r="L37" s="422">
        <f>L35+L36</f>
        <v>33</v>
      </c>
      <c r="M37" s="407" t="s">
        <v>280</v>
      </c>
      <c r="N37" s="407"/>
      <c r="O37" s="407"/>
      <c r="P37" s="402"/>
      <c r="Q37" s="382"/>
    </row>
    <row r="38" spans="1:17" ht="19.5" customHeight="1">
      <c r="A38" s="378"/>
      <c r="B38" s="399"/>
      <c r="C38" s="407"/>
      <c r="D38" s="407"/>
      <c r="E38" s="407"/>
      <c r="F38" s="407"/>
      <c r="G38" s="407"/>
      <c r="H38" s="407"/>
      <c r="I38" s="407"/>
      <c r="J38" s="407"/>
      <c r="K38" s="407"/>
      <c r="L38" s="407"/>
      <c r="M38" s="407"/>
      <c r="N38" s="407"/>
      <c r="O38" s="407"/>
      <c r="P38" s="402"/>
      <c r="Q38" s="382"/>
    </row>
    <row r="39" spans="1:17" ht="19.5" customHeight="1">
      <c r="A39" s="378"/>
      <c r="B39" s="399"/>
      <c r="C39" s="408"/>
      <c r="D39" s="423" t="s">
        <v>282</v>
      </c>
      <c r="E39" s="424">
        <f>N30</f>
        <v>2.4422222222222225</v>
      </c>
      <c r="F39" s="425" t="s">
        <v>283</v>
      </c>
      <c r="G39" s="410"/>
      <c r="H39" s="426" t="s">
        <v>284</v>
      </c>
      <c r="I39" s="557">
        <v>3</v>
      </c>
      <c r="J39" s="425" t="s">
        <v>166</v>
      </c>
      <c r="K39" s="407"/>
      <c r="L39" s="427" t="s">
        <v>285</v>
      </c>
      <c r="M39" s="559">
        <v>150</v>
      </c>
      <c r="N39" s="560"/>
      <c r="O39" s="407"/>
      <c r="P39" s="402"/>
      <c r="Q39" s="382"/>
    </row>
    <row r="40" spans="1:17" ht="19.5" customHeight="1">
      <c r="A40" s="378"/>
      <c r="B40" s="399"/>
      <c r="C40" s="408"/>
      <c r="D40" s="418"/>
      <c r="E40" s="428"/>
      <c r="F40" s="410"/>
      <c r="G40" s="410"/>
      <c r="H40" s="429"/>
      <c r="I40" s="429"/>
      <c r="J40" s="408"/>
      <c r="K40" s="407"/>
      <c r="L40" s="430"/>
      <c r="M40" s="418" t="s">
        <v>81</v>
      </c>
      <c r="N40" s="431">
        <f>(E39/1000)/(PI()*(I39*0.0254/2)^2)</f>
        <v>0.535531911182122</v>
      </c>
      <c r="O40" s="410" t="s">
        <v>287</v>
      </c>
      <c r="P40" s="402"/>
      <c r="Q40" s="382"/>
    </row>
    <row r="41" spans="1:17" ht="19.5" customHeight="1">
      <c r="A41" s="378"/>
      <c r="B41" s="399"/>
      <c r="C41" s="408"/>
      <c r="D41" s="408"/>
      <c r="E41" s="408"/>
      <c r="F41" s="408"/>
      <c r="G41" s="408"/>
      <c r="H41" s="429"/>
      <c r="I41" s="429"/>
      <c r="J41" s="408"/>
      <c r="K41" s="407"/>
      <c r="L41" s="430"/>
      <c r="M41" s="418" t="s">
        <v>288</v>
      </c>
      <c r="N41" s="432">
        <f>(+E39/(280*M39*(+I39*0.0254)^2.63))^1.85</f>
        <v>0.004020124288660842</v>
      </c>
      <c r="O41" s="410" t="s">
        <v>289</v>
      </c>
      <c r="P41" s="402"/>
      <c r="Q41" s="382"/>
    </row>
    <row r="42" spans="1:17" ht="19.5" customHeight="1">
      <c r="A42" s="378"/>
      <c r="B42" s="399"/>
      <c r="C42" s="408"/>
      <c r="D42" s="408"/>
      <c r="E42" s="407"/>
      <c r="F42" s="406"/>
      <c r="G42" s="406"/>
      <c r="H42" s="407"/>
      <c r="I42" s="407"/>
      <c r="J42" s="418" t="s">
        <v>290</v>
      </c>
      <c r="K42" s="407"/>
      <c r="L42" s="407"/>
      <c r="M42" s="433" t="s">
        <v>291</v>
      </c>
      <c r="N42" s="434">
        <f>N41*L37</f>
        <v>0.13266410152580776</v>
      </c>
      <c r="O42" s="410" t="s">
        <v>292</v>
      </c>
      <c r="P42" s="402"/>
      <c r="Q42" s="382"/>
    </row>
    <row r="43" spans="1:17" ht="19.5" customHeight="1">
      <c r="A43" s="378"/>
      <c r="B43" s="399"/>
      <c r="C43" s="408"/>
      <c r="D43" s="407"/>
      <c r="E43" s="407"/>
      <c r="F43" s="406"/>
      <c r="G43" s="406"/>
      <c r="H43" s="407"/>
      <c r="I43" s="407"/>
      <c r="J43" s="406" t="s">
        <v>293</v>
      </c>
      <c r="K43" s="407"/>
      <c r="L43" s="407"/>
      <c r="M43" s="433" t="s">
        <v>294</v>
      </c>
      <c r="N43" s="435">
        <f>L34+N42</f>
        <v>4.432664101525807</v>
      </c>
      <c r="O43" s="410" t="s">
        <v>292</v>
      </c>
      <c r="P43" s="402"/>
      <c r="Q43" s="382"/>
    </row>
    <row r="44" spans="1:17" ht="19.5" customHeight="1" thickBot="1">
      <c r="A44" s="378"/>
      <c r="B44" s="399"/>
      <c r="C44" s="407"/>
      <c r="D44" s="407"/>
      <c r="E44" s="407"/>
      <c r="F44" s="407"/>
      <c r="G44" s="407"/>
      <c r="H44" s="407"/>
      <c r="I44" s="407"/>
      <c r="J44" s="407"/>
      <c r="K44" s="407"/>
      <c r="L44" s="407"/>
      <c r="M44" s="407"/>
      <c r="N44" s="407"/>
      <c r="O44" s="407"/>
      <c r="P44" s="402"/>
      <c r="Q44" s="382"/>
    </row>
    <row r="45" spans="1:17" ht="16.5" thickBot="1">
      <c r="A45" s="378"/>
      <c r="B45" s="399"/>
      <c r="C45" s="403" t="s">
        <v>295</v>
      </c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  <c r="O45" s="437"/>
      <c r="P45" s="402"/>
      <c r="Q45" s="382"/>
    </row>
    <row r="46" spans="1:17" ht="19.5" customHeight="1">
      <c r="A46" s="378"/>
      <c r="B46" s="399"/>
      <c r="C46" s="438"/>
      <c r="D46" s="439"/>
      <c r="E46" s="439"/>
      <c r="F46" s="439"/>
      <c r="G46" s="439"/>
      <c r="H46" s="439"/>
      <c r="I46" s="439"/>
      <c r="J46" s="439"/>
      <c r="K46" s="439"/>
      <c r="L46" s="439"/>
      <c r="M46" s="439"/>
      <c r="N46" s="439"/>
      <c r="O46" s="439"/>
      <c r="P46" s="402"/>
      <c r="Q46" s="382"/>
    </row>
    <row r="47" spans="1:17" ht="19.5" customHeight="1">
      <c r="A47" s="378"/>
      <c r="B47" s="399"/>
      <c r="C47" s="440" t="s">
        <v>296</v>
      </c>
      <c r="D47" s="441" t="s">
        <v>91</v>
      </c>
      <c r="E47" s="442" t="s">
        <v>6</v>
      </c>
      <c r="F47" s="443">
        <f>+N30</f>
        <v>2.4422222222222225</v>
      </c>
      <c r="G47" s="443" t="s">
        <v>98</v>
      </c>
      <c r="H47" s="444">
        <v>1</v>
      </c>
      <c r="I47" s="443" t="s">
        <v>98</v>
      </c>
      <c r="J47" s="443">
        <f>+N43</f>
        <v>4.432664101525807</v>
      </c>
      <c r="K47" s="408" t="s">
        <v>6</v>
      </c>
      <c r="L47" s="445">
        <f>(+N30*1*N43)/(76*+I48/100)</f>
        <v>0.2191407038945957</v>
      </c>
      <c r="M47" s="418" t="s">
        <v>297</v>
      </c>
      <c r="N47" s="446">
        <f>+ROUNDUP(L47,0)</f>
        <v>1</v>
      </c>
      <c r="O47" s="406" t="s">
        <v>97</v>
      </c>
      <c r="P47" s="402"/>
      <c r="Q47" s="382"/>
    </row>
    <row r="48" spans="1:17" ht="19.5" customHeight="1">
      <c r="A48" s="378"/>
      <c r="B48" s="399"/>
      <c r="C48" s="408"/>
      <c r="D48" s="447" t="s">
        <v>298</v>
      </c>
      <c r="E48" s="407"/>
      <c r="F48" s="448"/>
      <c r="G48" s="449">
        <v>76</v>
      </c>
      <c r="H48" s="449" t="s">
        <v>98</v>
      </c>
      <c r="I48" s="561">
        <v>65</v>
      </c>
      <c r="J48" s="450"/>
      <c r="K48" s="407"/>
      <c r="L48" s="407"/>
      <c r="M48" s="408"/>
      <c r="N48" s="408"/>
      <c r="O48" s="408"/>
      <c r="P48" s="402"/>
      <c r="Q48" s="382"/>
    </row>
    <row r="49" spans="1:17" ht="19.5" customHeight="1" thickBot="1">
      <c r="A49" s="378"/>
      <c r="B49" s="399"/>
      <c r="C49" s="408"/>
      <c r="D49" s="408"/>
      <c r="E49" s="451"/>
      <c r="F49" s="451"/>
      <c r="G49" s="451"/>
      <c r="H49" s="452"/>
      <c r="I49" s="452"/>
      <c r="J49" s="407"/>
      <c r="K49" s="407"/>
      <c r="L49" s="407"/>
      <c r="M49" s="408"/>
      <c r="N49" s="408"/>
      <c r="O49" s="408"/>
      <c r="P49" s="402"/>
      <c r="Q49" s="382"/>
    </row>
    <row r="50" spans="1:17" ht="16.5" thickBot="1">
      <c r="A50" s="378"/>
      <c r="B50" s="399"/>
      <c r="C50" s="403" t="s">
        <v>299</v>
      </c>
      <c r="D50" s="436"/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O50" s="437"/>
      <c r="P50" s="402"/>
      <c r="Q50" s="382"/>
    </row>
    <row r="51" spans="1:17" ht="19.5" customHeight="1">
      <c r="A51" s="378"/>
      <c r="B51" s="399"/>
      <c r="C51" s="438"/>
      <c r="D51" s="439"/>
      <c r="E51" s="439"/>
      <c r="F51" s="439"/>
      <c r="G51" s="439"/>
      <c r="H51" s="439"/>
      <c r="I51" s="439"/>
      <c r="J51" s="439"/>
      <c r="K51" s="439"/>
      <c r="L51" s="439"/>
      <c r="M51" s="439"/>
      <c r="N51" s="439"/>
      <c r="O51" s="439"/>
      <c r="P51" s="402"/>
      <c r="Q51" s="382"/>
    </row>
    <row r="52" spans="1:17" ht="19.5" customHeight="1">
      <c r="A52" s="378"/>
      <c r="B52" s="399"/>
      <c r="C52" s="453" t="s">
        <v>300</v>
      </c>
      <c r="D52" s="430"/>
      <c r="E52" s="430"/>
      <c r="F52" s="407"/>
      <c r="G52" s="407"/>
      <c r="H52" s="454"/>
      <c r="I52" s="407"/>
      <c r="J52" s="421" t="s">
        <v>301</v>
      </c>
      <c r="K52" s="559">
        <v>7</v>
      </c>
      <c r="L52" s="414" t="s">
        <v>196</v>
      </c>
      <c r="M52" s="414" t="s">
        <v>6</v>
      </c>
      <c r="N52" s="414">
        <f>+K52*60</f>
        <v>420</v>
      </c>
      <c r="O52" s="414" t="s">
        <v>197</v>
      </c>
      <c r="P52" s="402"/>
      <c r="Q52" s="382"/>
    </row>
    <row r="53" spans="1:17" ht="19.5" customHeight="1">
      <c r="A53" s="378"/>
      <c r="B53" s="399"/>
      <c r="C53" s="455" t="s">
        <v>302</v>
      </c>
      <c r="D53" s="444">
        <f>+E39</f>
        <v>2.4422222222222225</v>
      </c>
      <c r="E53" s="455" t="s">
        <v>98</v>
      </c>
      <c r="F53" s="456">
        <f>+N52</f>
        <v>420</v>
      </c>
      <c r="G53" s="457" t="s">
        <v>6</v>
      </c>
      <c r="H53" s="457">
        <f>+D53*F53</f>
        <v>1025.7333333333333</v>
      </c>
      <c r="I53" s="414" t="s">
        <v>205</v>
      </c>
      <c r="J53" s="408"/>
      <c r="K53" s="407"/>
      <c r="L53" s="408"/>
      <c r="M53" s="418" t="s">
        <v>303</v>
      </c>
      <c r="N53" s="503">
        <f>+ROUNDUP(H53/1000,1)</f>
        <v>1.1</v>
      </c>
      <c r="O53" s="410" t="s">
        <v>11</v>
      </c>
      <c r="P53" s="402"/>
      <c r="Q53" s="382"/>
    </row>
    <row r="54" spans="1:17" ht="19.5" customHeight="1">
      <c r="A54" s="378"/>
      <c r="B54" s="399"/>
      <c r="C54" s="455"/>
      <c r="D54" s="450"/>
      <c r="E54" s="455"/>
      <c r="F54" s="458"/>
      <c r="G54" s="457"/>
      <c r="H54" s="457"/>
      <c r="I54" s="414"/>
      <c r="J54" s="408"/>
      <c r="K54" s="407"/>
      <c r="L54" s="408"/>
      <c r="M54" s="418" t="s">
        <v>304</v>
      </c>
      <c r="N54" s="414" t="s">
        <v>305</v>
      </c>
      <c r="O54" s="410"/>
      <c r="P54" s="402"/>
      <c r="Q54" s="382"/>
    </row>
    <row r="55" spans="1:17" ht="19.5" customHeight="1">
      <c r="A55" s="378"/>
      <c r="B55" s="399"/>
      <c r="C55" s="455"/>
      <c r="D55" s="450"/>
      <c r="E55" s="455"/>
      <c r="F55" s="458"/>
      <c r="G55" s="457"/>
      <c r="H55" s="457"/>
      <c r="I55" s="414"/>
      <c r="J55" s="408"/>
      <c r="K55" s="407"/>
      <c r="L55" s="408"/>
      <c r="M55" s="418" t="s">
        <v>306</v>
      </c>
      <c r="N55" s="414">
        <v>1</v>
      </c>
      <c r="O55" s="410" t="s">
        <v>87</v>
      </c>
      <c r="P55" s="402"/>
      <c r="Q55" s="382"/>
    </row>
    <row r="56" spans="1:17" ht="19.5" customHeight="1">
      <c r="A56" s="378"/>
      <c r="B56" s="399"/>
      <c r="C56" s="455"/>
      <c r="D56" s="450"/>
      <c r="E56" s="455"/>
      <c r="F56" s="458"/>
      <c r="G56" s="457"/>
      <c r="H56" s="457"/>
      <c r="I56" s="414"/>
      <c r="J56" s="408"/>
      <c r="K56" s="407"/>
      <c r="L56" s="408"/>
      <c r="M56" s="418" t="s">
        <v>307</v>
      </c>
      <c r="N56" s="414">
        <v>1</v>
      </c>
      <c r="O56" s="410" t="s">
        <v>87</v>
      </c>
      <c r="P56" s="402"/>
      <c r="Q56" s="382"/>
    </row>
    <row r="57" spans="1:17" ht="19.5" customHeight="1">
      <c r="A57" s="378"/>
      <c r="B57" s="399"/>
      <c r="C57" s="455"/>
      <c r="D57" s="450"/>
      <c r="E57" s="455"/>
      <c r="F57" s="458"/>
      <c r="G57" s="457"/>
      <c r="H57" s="457"/>
      <c r="I57" s="414"/>
      <c r="J57" s="408"/>
      <c r="K57" s="407"/>
      <c r="L57" s="408"/>
      <c r="M57" s="418" t="s">
        <v>308</v>
      </c>
      <c r="N57" s="414">
        <v>1</v>
      </c>
      <c r="O57" s="410" t="s">
        <v>162</v>
      </c>
      <c r="P57" s="402"/>
      <c r="Q57" s="382"/>
    </row>
    <row r="58" spans="1:17" ht="19.5" customHeight="1">
      <c r="A58" s="378"/>
      <c r="B58" s="399"/>
      <c r="C58" s="408"/>
      <c r="D58" s="459"/>
      <c r="E58" s="442"/>
      <c r="F58" s="408"/>
      <c r="G58" s="408"/>
      <c r="H58" s="406"/>
      <c r="I58" s="406"/>
      <c r="J58" s="408"/>
      <c r="K58" s="407"/>
      <c r="L58" s="408"/>
      <c r="M58" s="418" t="s">
        <v>309</v>
      </c>
      <c r="N58" s="414">
        <v>1.1</v>
      </c>
      <c r="O58" s="410" t="s">
        <v>87</v>
      </c>
      <c r="P58" s="402"/>
      <c r="Q58" s="382"/>
    </row>
    <row r="59" spans="1:17" ht="5.25" customHeight="1" thickBot="1">
      <c r="A59" s="378"/>
      <c r="B59" s="399"/>
      <c r="C59" s="460"/>
      <c r="D59" s="460"/>
      <c r="E59" s="460"/>
      <c r="F59" s="460"/>
      <c r="G59" s="460"/>
      <c r="H59" s="460"/>
      <c r="I59" s="460"/>
      <c r="J59" s="460"/>
      <c r="K59" s="460"/>
      <c r="L59" s="460"/>
      <c r="M59" s="460"/>
      <c r="N59" s="460"/>
      <c r="O59" s="460"/>
      <c r="P59" s="402"/>
      <c r="Q59" s="382"/>
    </row>
    <row r="60" spans="1:17" s="49" customFormat="1" ht="19.5" customHeight="1" thickBot="1">
      <c r="A60" s="53"/>
      <c r="B60" s="53"/>
      <c r="C60" s="460"/>
      <c r="D60" s="460" t="s">
        <v>99</v>
      </c>
      <c r="E60" s="224"/>
      <c r="F60" s="562">
        <v>2</v>
      </c>
      <c r="G60" s="461" t="s">
        <v>100</v>
      </c>
      <c r="H60" s="210"/>
      <c r="I60" s="210"/>
      <c r="J60" s="1062">
        <v>100</v>
      </c>
      <c r="K60" s="1063"/>
      <c r="L60" s="461" t="s">
        <v>101</v>
      </c>
      <c r="M60" s="210"/>
      <c r="O60" s="460"/>
      <c r="P60" s="60"/>
      <c r="Q60" s="60"/>
    </row>
    <row r="61" spans="1:17" s="467" customFormat="1" ht="12" customHeight="1" thickBot="1">
      <c r="A61" s="462"/>
      <c r="B61" s="463"/>
      <c r="C61" s="464"/>
      <c r="D61" s="464"/>
      <c r="E61" s="464"/>
      <c r="F61" s="464"/>
      <c r="G61" s="464"/>
      <c r="H61" s="464"/>
      <c r="I61" s="464"/>
      <c r="J61" s="464"/>
      <c r="K61" s="464"/>
      <c r="L61" s="464"/>
      <c r="M61" s="464"/>
      <c r="N61" s="464"/>
      <c r="O61" s="464"/>
      <c r="P61" s="465"/>
      <c r="Q61" s="466"/>
    </row>
    <row r="62" spans="1:17" s="467" customFormat="1" ht="15">
      <c r="A62" s="462"/>
      <c r="Q62" s="466"/>
    </row>
    <row r="63" spans="1:17" s="467" customFormat="1" ht="15.75" thickBot="1">
      <c r="A63" s="468"/>
      <c r="B63" s="469"/>
      <c r="C63" s="469"/>
      <c r="D63" s="469"/>
      <c r="E63" s="469"/>
      <c r="F63" s="469"/>
      <c r="G63" s="469"/>
      <c r="H63" s="469"/>
      <c r="I63" s="469"/>
      <c r="J63" s="469"/>
      <c r="K63" s="469"/>
      <c r="L63" s="469"/>
      <c r="M63" s="469"/>
      <c r="N63" s="469"/>
      <c r="O63" s="469"/>
      <c r="P63" s="469"/>
      <c r="Q63" s="470"/>
    </row>
    <row r="64" s="467" customFormat="1" ht="15"/>
    <row r="65" s="467" customFormat="1" ht="15"/>
    <row r="66" s="467" customFormat="1" ht="15"/>
    <row r="67" s="467" customFormat="1" ht="15"/>
    <row r="68" s="467" customFormat="1" ht="15"/>
    <row r="69" s="467" customFormat="1" ht="15"/>
    <row r="70" s="467" customFormat="1" ht="15"/>
    <row r="71" s="467" customFormat="1" ht="15"/>
    <row r="72" s="467" customFormat="1" ht="15"/>
    <row r="73" s="467" customFormat="1" ht="15"/>
    <row r="74" s="467" customFormat="1" ht="15"/>
    <row r="75" s="467" customFormat="1" ht="15"/>
    <row r="76" s="467" customFormat="1" ht="15"/>
    <row r="77" s="467" customFormat="1" ht="15"/>
    <row r="78" s="467" customFormat="1" ht="15"/>
    <row r="79" s="467" customFormat="1" ht="15"/>
    <row r="80" s="467" customFormat="1" ht="15"/>
    <row r="81" s="467" customFormat="1" ht="15"/>
    <row r="82" s="467" customFormat="1" ht="15"/>
    <row r="83" s="467" customFormat="1" ht="15"/>
    <row r="84" s="467" customFormat="1" ht="15"/>
    <row r="85" s="467" customFormat="1" ht="15"/>
    <row r="86" s="467" customFormat="1" ht="15"/>
    <row r="87" s="467" customFormat="1" ht="15"/>
    <row r="88" s="467" customFormat="1" ht="15"/>
    <row r="89" s="467" customFormat="1" ht="15"/>
    <row r="90" s="467" customFormat="1" ht="15"/>
    <row r="91" s="467" customFormat="1" ht="15"/>
    <row r="92" s="467" customFormat="1" ht="15"/>
    <row r="93" s="467" customFormat="1" ht="15"/>
    <row r="94" s="467" customFormat="1" ht="15"/>
    <row r="95" s="467" customFormat="1" ht="15"/>
    <row r="96" s="467" customFormat="1" ht="15"/>
    <row r="97" s="467" customFormat="1" ht="15"/>
    <row r="98" s="467" customFormat="1" ht="15"/>
    <row r="99" s="467" customFormat="1" ht="15"/>
    <row r="100" s="467" customFormat="1" ht="15"/>
    <row r="101" s="467" customFormat="1" ht="15"/>
    <row r="102" s="467" customFormat="1" ht="15"/>
    <row r="103" s="467" customFormat="1" ht="15"/>
    <row r="104" s="467" customFormat="1" ht="15"/>
    <row r="105" s="467" customFormat="1" ht="15"/>
    <row r="106" s="467" customFormat="1" ht="15"/>
    <row r="107" s="467" customFormat="1" ht="15"/>
    <row r="108" s="467" customFormat="1" ht="15"/>
    <row r="109" s="467" customFormat="1" ht="15"/>
    <row r="110" s="467" customFormat="1" ht="14.25" customHeight="1"/>
    <row r="111" s="467" customFormat="1" ht="15"/>
    <row r="112" s="467" customFormat="1" ht="14.25" customHeight="1"/>
    <row r="113" s="467" customFormat="1" ht="14.25" customHeight="1"/>
    <row r="114" s="467" customFormat="1" ht="14.25" customHeight="1"/>
    <row r="115" s="467" customFormat="1" ht="14.25" customHeight="1"/>
    <row r="116" s="467" customFormat="1" ht="14.25" customHeight="1"/>
    <row r="117" s="467" customFormat="1" ht="15"/>
    <row r="118" s="471" customFormat="1" ht="15" customHeight="1"/>
    <row r="119" s="467" customFormat="1" ht="14.25" customHeight="1"/>
    <row r="120" s="467" customFormat="1" ht="14.25" customHeight="1"/>
    <row r="121" s="467" customFormat="1" ht="14.25" customHeight="1"/>
    <row r="122" s="467" customFormat="1" ht="14.25" customHeight="1"/>
    <row r="123" s="467" customFormat="1" ht="14.25" customHeight="1"/>
    <row r="124" s="467" customFormat="1" ht="14.25" customHeight="1"/>
    <row r="125" s="467" customFormat="1" ht="15"/>
    <row r="126" s="467" customFormat="1" ht="15"/>
    <row r="127" s="467" customFormat="1" ht="15"/>
    <row r="128" s="467" customFormat="1" ht="15"/>
    <row r="129" s="467" customFormat="1" ht="15"/>
    <row r="130" s="467" customFormat="1" ht="15"/>
    <row r="131" s="467" customFormat="1" ht="15"/>
    <row r="132" s="467" customFormat="1" ht="15"/>
    <row r="133" s="467" customFormat="1" ht="15"/>
    <row r="134" s="467" customFormat="1" ht="15"/>
    <row r="135" s="467" customFormat="1" ht="15"/>
    <row r="136" s="467" customFormat="1" ht="15"/>
    <row r="137" s="467" customFormat="1" ht="15"/>
    <row r="138" s="467" customFormat="1" ht="15"/>
    <row r="139" s="467" customFormat="1" ht="15"/>
    <row r="140" s="467" customFormat="1" ht="15"/>
    <row r="141" s="467" customFormat="1" ht="15"/>
    <row r="142" s="467" customFormat="1" ht="15"/>
    <row r="143" s="467" customFormat="1" ht="15"/>
    <row r="144" s="467" customFormat="1" ht="15"/>
    <row r="145" s="467" customFormat="1" ht="15"/>
    <row r="146" s="467" customFormat="1" ht="15"/>
    <row r="147" s="467" customFormat="1" ht="15"/>
    <row r="148" s="467" customFormat="1" ht="15"/>
    <row r="149" s="467" customFormat="1" ht="15"/>
    <row r="150" s="467" customFormat="1" ht="15"/>
    <row r="151" s="467" customFormat="1" ht="15"/>
    <row r="152" s="467" customFormat="1" ht="15"/>
    <row r="153" s="467" customFormat="1" ht="15"/>
    <row r="154" s="467" customFormat="1" ht="15"/>
    <row r="155" s="467" customFormat="1" ht="15"/>
    <row r="156" s="467" customFormat="1" ht="15"/>
    <row r="157" s="467" customFormat="1" ht="15"/>
    <row r="158" s="467" customFormat="1" ht="15"/>
    <row r="160" s="472" customFormat="1" ht="12.75"/>
    <row r="161" s="473" customFormat="1" ht="15"/>
  </sheetData>
  <sheetProtection/>
  <mergeCells count="1">
    <mergeCell ref="J60:K60"/>
  </mergeCells>
  <printOptions horizontalCentered="1" verticalCentered="1"/>
  <pageMargins left="0.5905511811023623" right="0.7874015748031497" top="0.7480314960629921" bottom="0.2755905511811024" header="0" footer="0"/>
  <pageSetup horizontalDpi="600" verticalDpi="600" orientation="portrait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21"/>
  <sheetViews>
    <sheetView zoomScale="55" zoomScaleNormal="55" zoomScalePageLayoutView="0" workbookViewId="0" topLeftCell="A1">
      <selection activeCell="N16" sqref="N16:N17"/>
    </sheetView>
  </sheetViews>
  <sheetFormatPr defaultColWidth="12.7109375" defaultRowHeight="12.75"/>
  <cols>
    <col min="1" max="1" width="2.00390625" style="49" customWidth="1"/>
    <col min="2" max="2" width="12.7109375" style="49" customWidth="1"/>
    <col min="3" max="3" width="13.8515625" style="49" customWidth="1"/>
    <col min="4" max="5" width="13.00390625" style="49" customWidth="1"/>
    <col min="6" max="6" width="12.28125" style="49" customWidth="1"/>
    <col min="7" max="7" width="12.00390625" style="49" customWidth="1"/>
    <col min="8" max="8" width="12.140625" style="49" customWidth="1"/>
    <col min="9" max="9" width="12.421875" style="49" customWidth="1"/>
    <col min="10" max="10" width="2.421875" style="49" customWidth="1"/>
    <col min="11" max="16384" width="12.7109375" style="49" customWidth="1"/>
  </cols>
  <sheetData>
    <row r="1" ht="14.25"/>
    <row r="2" spans="1:10" ht="15" thickBot="1">
      <c r="A2" s="277"/>
      <c r="B2" s="277"/>
      <c r="C2" s="277"/>
      <c r="D2" s="277"/>
      <c r="E2" s="277"/>
      <c r="F2" s="277"/>
      <c r="G2" s="277"/>
      <c r="H2" s="277"/>
      <c r="I2" s="277"/>
      <c r="J2" s="277"/>
    </row>
    <row r="3" spans="1:10" ht="12" customHeight="1" thickBot="1">
      <c r="A3" s="50"/>
      <c r="B3" s="51"/>
      <c r="C3" s="51"/>
      <c r="D3" s="51"/>
      <c r="E3" s="51"/>
      <c r="F3" s="51"/>
      <c r="G3" s="51"/>
      <c r="H3" s="51"/>
      <c r="I3" s="51"/>
      <c r="J3" s="52"/>
    </row>
    <row r="4" spans="1:17" ht="69.75" customHeight="1" thickBot="1">
      <c r="A4" s="53"/>
      <c r="B4" s="54"/>
      <c r="C4" s="55"/>
      <c r="D4" s="56"/>
      <c r="E4" s="57"/>
      <c r="F4" s="57"/>
      <c r="G4" s="55"/>
      <c r="H4" s="58"/>
      <c r="I4" s="278"/>
      <c r="J4" s="60"/>
      <c r="L4" s="84"/>
      <c r="P4" s="76"/>
      <c r="Q4" s="279"/>
    </row>
    <row r="5" spans="1:10" ht="6.75" customHeight="1" thickBot="1">
      <c r="A5" s="53"/>
      <c r="C5" s="61"/>
      <c r="D5" s="61"/>
      <c r="E5" s="61"/>
      <c r="F5" s="61"/>
      <c r="G5" s="61"/>
      <c r="H5" s="61"/>
      <c r="I5" s="61"/>
      <c r="J5" s="60"/>
    </row>
    <row r="6" spans="1:10" ht="24.75" thickBot="1">
      <c r="A6" s="53"/>
      <c r="B6" s="62" t="s">
        <v>0</v>
      </c>
      <c r="C6" s="371" t="s">
        <v>220</v>
      </c>
      <c r="D6" s="373" t="s">
        <v>221</v>
      </c>
      <c r="E6" s="372"/>
      <c r="F6" s="477" t="s">
        <v>2</v>
      </c>
      <c r="G6" s="507">
        <v>9</v>
      </c>
      <c r="H6" s="478" t="s">
        <v>3</v>
      </c>
      <c r="I6" s="508">
        <v>13</v>
      </c>
      <c r="J6" s="60"/>
    </row>
    <row r="7" spans="1:10" ht="10.5" customHeight="1" thickBot="1">
      <c r="A7" s="53"/>
      <c r="C7" s="61"/>
      <c r="D7" s="61"/>
      <c r="E7" s="61"/>
      <c r="F7" s="61"/>
      <c r="G7" s="61"/>
      <c r="H7" s="61"/>
      <c r="I7" s="61"/>
      <c r="J7" s="60"/>
    </row>
    <row r="8" spans="1:10" ht="16.5" customHeight="1" thickBot="1">
      <c r="A8" s="53"/>
      <c r="B8" s="280" t="s">
        <v>222</v>
      </c>
      <c r="C8" s="281" t="s">
        <v>219</v>
      </c>
      <c r="D8" s="282"/>
      <c r="E8" s="283" t="s">
        <v>36</v>
      </c>
      <c r="F8" s="283" t="s">
        <v>172</v>
      </c>
      <c r="G8" s="283" t="s">
        <v>172</v>
      </c>
      <c r="H8" s="283" t="s">
        <v>172</v>
      </c>
      <c r="I8" s="284" t="s">
        <v>223</v>
      </c>
      <c r="J8" s="60"/>
    </row>
    <row r="9" spans="1:10" ht="28.5" customHeight="1" thickBot="1">
      <c r="A9" s="53"/>
      <c r="B9" s="285" t="s">
        <v>224</v>
      </c>
      <c r="C9" s="286" t="s">
        <v>225</v>
      </c>
      <c r="D9" s="287" t="s">
        <v>226</v>
      </c>
      <c r="E9" s="285" t="s">
        <v>227</v>
      </c>
      <c r="F9" s="285" t="s">
        <v>359</v>
      </c>
      <c r="G9" s="285" t="s">
        <v>228</v>
      </c>
      <c r="H9" s="285" t="s">
        <v>229</v>
      </c>
      <c r="I9" s="288" t="s">
        <v>54</v>
      </c>
      <c r="J9" s="60"/>
    </row>
    <row r="10" spans="1:10" ht="10.5" customHeight="1" thickBot="1">
      <c r="A10" s="53"/>
      <c r="B10" s="71"/>
      <c r="C10" s="289"/>
      <c r="D10" s="289"/>
      <c r="E10" s="290"/>
      <c r="F10" s="290"/>
      <c r="G10" s="290"/>
      <c r="H10" s="290"/>
      <c r="I10" s="290"/>
      <c r="J10" s="60"/>
    </row>
    <row r="11" spans="1:17" ht="30" customHeight="1">
      <c r="A11" s="53"/>
      <c r="B11" s="553" t="s">
        <v>230</v>
      </c>
      <c r="C11" s="540">
        <v>66</v>
      </c>
      <c r="D11" s="540">
        <f>+C11*1</f>
        <v>66</v>
      </c>
      <c r="E11" s="291">
        <f>IF(D11&lt;38,D11^0.3686*0.7401,IF(D11&lt;235,D11^0.4193*0.6215,IF(D11&lt;932,D11*0.0092+4.2493,D11*0.0069+6.7345)))</f>
        <v>3.6006085228424483</v>
      </c>
      <c r="F11" s="520">
        <f>(E11/(1.754*((7/24)^(5/3))))^(3/8)</f>
        <v>2.8286265902661416</v>
      </c>
      <c r="G11" s="540">
        <v>4</v>
      </c>
      <c r="H11" s="540">
        <v>2</v>
      </c>
      <c r="I11" s="548">
        <v>18</v>
      </c>
      <c r="J11" s="60"/>
      <c r="L11" s="209"/>
      <c r="M11" s="292"/>
      <c r="N11" s="74"/>
      <c r="O11" s="293"/>
      <c r="P11" s="294"/>
      <c r="Q11" s="74"/>
    </row>
    <row r="12" spans="1:17" ht="30" customHeight="1">
      <c r="A12" s="53"/>
      <c r="B12" s="546" t="s">
        <v>232</v>
      </c>
      <c r="C12" s="527">
        <v>90</v>
      </c>
      <c r="D12" s="527">
        <f>+C12*1</f>
        <v>90</v>
      </c>
      <c r="E12" s="80">
        <f>IF(D12&lt;38,D12^0.3686*0.7401,IF(D12&lt;235,D12^0.4193*0.6215,IF(D12&lt;932,D12*0.0092+4.2493,D12*0.0069+6.7345)))</f>
        <v>4.100671852455198</v>
      </c>
      <c r="F12" s="521">
        <f>(E12/(1.754*((7/24)^(5/3))))^(3/8)</f>
        <v>2.969992048693472</v>
      </c>
      <c r="G12" s="527">
        <v>4</v>
      </c>
      <c r="H12" s="527">
        <v>2</v>
      </c>
      <c r="I12" s="550">
        <v>18</v>
      </c>
      <c r="J12" s="60"/>
      <c r="L12" s="209"/>
      <c r="M12" s="292"/>
      <c r="N12"/>
      <c r="O12" s="293"/>
      <c r="P12" s="294"/>
      <c r="Q12" s="74"/>
    </row>
    <row r="13" spans="1:17" ht="30" customHeight="1">
      <c r="A13" s="53"/>
      <c r="B13" s="546"/>
      <c r="C13" s="527"/>
      <c r="D13" s="527"/>
      <c r="E13" s="80"/>
      <c r="F13" s="521"/>
      <c r="G13" s="527"/>
      <c r="H13" s="527"/>
      <c r="I13" s="550"/>
      <c r="J13" s="60"/>
      <c r="L13" s="209"/>
      <c r="M13" s="292"/>
      <c r="N13"/>
      <c r="O13" s="293"/>
      <c r="P13" s="294"/>
      <c r="Q13" s="74"/>
    </row>
    <row r="14" spans="1:17" ht="30" customHeight="1">
      <c r="A14" s="53"/>
      <c r="B14" s="546"/>
      <c r="C14" s="527"/>
      <c r="D14" s="527"/>
      <c r="E14" s="80"/>
      <c r="F14" s="521"/>
      <c r="G14" s="527"/>
      <c r="H14" s="527"/>
      <c r="I14" s="550"/>
      <c r="J14" s="60"/>
      <c r="L14" s="209"/>
      <c r="M14" s="292"/>
      <c r="N14"/>
      <c r="O14" s="293"/>
      <c r="P14" s="294"/>
      <c r="Q14" s="74"/>
    </row>
    <row r="15" spans="1:17" ht="30" customHeight="1">
      <c r="A15" s="53"/>
      <c r="B15" s="546"/>
      <c r="C15" s="527"/>
      <c r="D15" s="527"/>
      <c r="E15" s="80"/>
      <c r="F15" s="521"/>
      <c r="G15" s="527"/>
      <c r="H15" s="527"/>
      <c r="I15" s="550"/>
      <c r="J15" s="60"/>
      <c r="L15" s="209"/>
      <c r="M15" s="292"/>
      <c r="N15"/>
      <c r="O15" s="293"/>
      <c r="P15" s="294"/>
      <c r="Q15" s="74"/>
    </row>
    <row r="16" spans="1:17" ht="30" customHeight="1">
      <c r="A16" s="53"/>
      <c r="B16" s="546"/>
      <c r="C16" s="527"/>
      <c r="D16" s="527"/>
      <c r="E16" s="80"/>
      <c r="F16" s="521"/>
      <c r="G16" s="527"/>
      <c r="H16" s="527"/>
      <c r="I16" s="550"/>
      <c r="J16" s="60"/>
      <c r="L16" s="209"/>
      <c r="M16" s="292"/>
      <c r="N16"/>
      <c r="O16" s="293"/>
      <c r="P16" s="294"/>
      <c r="Q16" s="74"/>
    </row>
    <row r="17" spans="1:17" ht="30" customHeight="1">
      <c r="A17" s="53"/>
      <c r="B17" s="546"/>
      <c r="C17" s="527"/>
      <c r="D17" s="527"/>
      <c r="E17" s="80"/>
      <c r="F17" s="521"/>
      <c r="G17" s="527"/>
      <c r="H17" s="527"/>
      <c r="I17" s="550"/>
      <c r="J17" s="60"/>
      <c r="L17" s="209"/>
      <c r="M17" s="292"/>
      <c r="N17"/>
      <c r="O17" s="293"/>
      <c r="P17" s="294"/>
      <c r="Q17" s="74"/>
    </row>
    <row r="18" spans="1:17" ht="30" customHeight="1">
      <c r="A18" s="53"/>
      <c r="B18" s="546"/>
      <c r="C18" s="527"/>
      <c r="D18" s="527"/>
      <c r="E18" s="80"/>
      <c r="F18" s="521"/>
      <c r="G18" s="527"/>
      <c r="H18" s="527"/>
      <c r="I18" s="550"/>
      <c r="J18" s="60"/>
      <c r="L18" s="209"/>
      <c r="M18" s="292"/>
      <c r="N18"/>
      <c r="O18" s="293"/>
      <c r="P18" s="294"/>
      <c r="Q18" s="74"/>
    </row>
    <row r="19" spans="1:10" ht="30" customHeight="1">
      <c r="A19" s="53"/>
      <c r="B19" s="295"/>
      <c r="C19" s="296"/>
      <c r="D19" s="72"/>
      <c r="E19" s="296"/>
      <c r="F19" s="296"/>
      <c r="G19" s="296"/>
      <c r="H19" s="296"/>
      <c r="I19" s="297"/>
      <c r="J19" s="60"/>
    </row>
    <row r="20" spans="1:10" ht="30" customHeight="1" thickBot="1">
      <c r="A20" s="53"/>
      <c r="B20" s="298"/>
      <c r="C20" s="299"/>
      <c r="D20" s="299"/>
      <c r="E20" s="299"/>
      <c r="F20" s="299"/>
      <c r="G20" s="299"/>
      <c r="H20" s="299"/>
      <c r="I20" s="300"/>
      <c r="J20" s="60"/>
    </row>
    <row r="21" spans="1:10" s="89" customFormat="1" ht="12" customHeight="1" thickBot="1">
      <c r="A21" s="86"/>
      <c r="B21" s="87"/>
      <c r="C21" s="87"/>
      <c r="D21" s="87"/>
      <c r="E21" s="87"/>
      <c r="F21" s="87"/>
      <c r="G21" s="87"/>
      <c r="H21" s="87"/>
      <c r="I21" s="87"/>
      <c r="J21" s="88"/>
    </row>
    <row r="22" s="89" customFormat="1" ht="12" customHeight="1"/>
    <row r="23" s="89" customFormat="1" ht="12" customHeight="1"/>
    <row r="24" s="89" customFormat="1" ht="14.25"/>
    <row r="25" s="89" customFormat="1" ht="14.25"/>
    <row r="26" s="89" customFormat="1" ht="14.25"/>
    <row r="27" s="89" customFormat="1" ht="14.25"/>
    <row r="28" s="89" customFormat="1" ht="14.25"/>
    <row r="29" s="89" customFormat="1" ht="14.25"/>
    <row r="30" s="89" customFormat="1" ht="14.25"/>
    <row r="31" s="89" customFormat="1" ht="14.25"/>
    <row r="32" s="89" customFormat="1" ht="14.25"/>
    <row r="33" s="89" customFormat="1" ht="14.25"/>
    <row r="34" s="89" customFormat="1" ht="14.25"/>
    <row r="35" s="89" customFormat="1" ht="14.25"/>
    <row r="36" s="89" customFormat="1" ht="14.25"/>
    <row r="37" s="89" customFormat="1" ht="14.25"/>
    <row r="38" s="89" customFormat="1" ht="14.25"/>
    <row r="39" s="89" customFormat="1" ht="14.25"/>
    <row r="40" s="89" customFormat="1" ht="14.25"/>
    <row r="41" s="89" customFormat="1" ht="14.25"/>
    <row r="42" s="89" customFormat="1" ht="14.25"/>
    <row r="43" s="89" customFormat="1" ht="14.25"/>
    <row r="44" s="89" customFormat="1" ht="14.25"/>
    <row r="45" s="89" customFormat="1" ht="14.25"/>
    <row r="46" s="89" customFormat="1" ht="14.25"/>
    <row r="47" s="89" customFormat="1" ht="14.25"/>
    <row r="48" s="89" customFormat="1" ht="14.25"/>
    <row r="49" s="89" customFormat="1" ht="14.25"/>
    <row r="50" s="89" customFormat="1" ht="14.25"/>
    <row r="51" s="89" customFormat="1" ht="14.25"/>
    <row r="52" s="89" customFormat="1" ht="14.25"/>
    <row r="53" s="89" customFormat="1" ht="14.25"/>
    <row r="54" s="89" customFormat="1" ht="14.25"/>
    <row r="55" s="89" customFormat="1" ht="14.25"/>
    <row r="56" s="89" customFormat="1" ht="14.25"/>
    <row r="57" s="89" customFormat="1" ht="14.25"/>
    <row r="58" s="89" customFormat="1" ht="14.25"/>
    <row r="59" s="89" customFormat="1" ht="14.25"/>
    <row r="60" s="89" customFormat="1" ht="14.25"/>
    <row r="61" s="89" customFormat="1" ht="14.25"/>
    <row r="62" s="89" customFormat="1" ht="14.25"/>
    <row r="63" s="89" customFormat="1" ht="14.25"/>
    <row r="64" s="89" customFormat="1" ht="14.25"/>
    <row r="65" s="89" customFormat="1" ht="14.25"/>
    <row r="66" s="89" customFormat="1" ht="14.25"/>
    <row r="67" s="89" customFormat="1" ht="14.25"/>
    <row r="68" s="89" customFormat="1" ht="14.25"/>
    <row r="69" s="89" customFormat="1" ht="14.25"/>
    <row r="70" s="89" customFormat="1" ht="14.25"/>
    <row r="71" s="89" customFormat="1" ht="14.25"/>
    <row r="72" s="89" customFormat="1" ht="14.25" customHeight="1"/>
    <row r="73" s="89" customFormat="1" ht="14.25"/>
    <row r="74" s="89" customFormat="1" ht="14.25" customHeight="1"/>
    <row r="75" s="89" customFormat="1" ht="14.25" customHeight="1"/>
    <row r="76" s="89" customFormat="1" ht="14.25" customHeight="1"/>
    <row r="77" s="89" customFormat="1" ht="14.25" customHeight="1"/>
    <row r="78" s="89" customFormat="1" ht="14.25" customHeight="1"/>
    <row r="79" s="89" customFormat="1" ht="14.25"/>
    <row r="80" s="91" customFormat="1" ht="15" customHeight="1"/>
    <row r="81" s="89" customFormat="1" ht="14.25" customHeight="1"/>
    <row r="82" s="89" customFormat="1" ht="14.25" customHeight="1"/>
    <row r="83" s="89" customFormat="1" ht="14.25" customHeight="1"/>
    <row r="84" s="89" customFormat="1" ht="14.25" customHeight="1"/>
    <row r="85" s="89" customFormat="1" ht="14.25" customHeight="1"/>
    <row r="86" s="89" customFormat="1" ht="14.25" customHeight="1"/>
    <row r="87" s="89" customFormat="1" ht="14.25"/>
    <row r="88" s="89" customFormat="1" ht="14.25"/>
    <row r="89" s="89" customFormat="1" ht="14.25"/>
    <row r="90" s="89" customFormat="1" ht="14.25"/>
    <row r="91" s="89" customFormat="1" ht="14.25"/>
    <row r="92" s="89" customFormat="1" ht="14.25"/>
    <row r="93" s="89" customFormat="1" ht="14.25"/>
    <row r="94" s="89" customFormat="1" ht="14.25"/>
    <row r="95" s="89" customFormat="1" ht="14.25"/>
    <row r="96" s="89" customFormat="1" ht="14.25"/>
    <row r="97" s="89" customFormat="1" ht="14.25"/>
    <row r="98" s="89" customFormat="1" ht="14.25"/>
    <row r="99" s="89" customFormat="1" ht="14.25"/>
    <row r="100" s="89" customFormat="1" ht="14.25"/>
    <row r="101" s="89" customFormat="1" ht="14.25"/>
    <row r="102" s="89" customFormat="1" ht="14.25"/>
    <row r="103" s="89" customFormat="1" ht="14.25"/>
    <row r="104" s="89" customFormat="1" ht="14.25"/>
    <row r="105" s="89" customFormat="1" ht="14.25"/>
    <row r="106" s="89" customFormat="1" ht="14.25"/>
    <row r="107" s="89" customFormat="1" ht="14.25"/>
    <row r="108" s="89" customFormat="1" ht="14.25"/>
    <row r="109" s="89" customFormat="1" ht="14.25"/>
    <row r="110" s="89" customFormat="1" ht="14.25"/>
    <row r="111" s="89" customFormat="1" ht="14.25"/>
    <row r="112" s="89" customFormat="1" ht="14.25"/>
    <row r="113" s="89" customFormat="1" ht="14.25"/>
    <row r="114" s="89" customFormat="1" ht="14.25"/>
    <row r="115" s="89" customFormat="1" ht="14.25"/>
    <row r="116" s="89" customFormat="1" ht="14.25"/>
    <row r="117" s="89" customFormat="1" ht="14.25"/>
    <row r="118" s="89" customFormat="1" ht="14.25"/>
    <row r="119" s="89" customFormat="1" ht="14.25"/>
    <row r="120" s="89" customFormat="1" ht="14.25"/>
    <row r="122" s="71" customFormat="1" ht="12.75"/>
    <row r="123" s="92" customFormat="1" ht="15"/>
  </sheetData>
  <sheetProtection/>
  <printOptions horizontalCentered="1" verticalCentered="1"/>
  <pageMargins left="0.7480314960629921" right="0.7480314960629921" top="0.984251968503937" bottom="0.984251968503937" header="0" footer="0"/>
  <pageSetup horizontalDpi="600" verticalDpi="6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PLINCO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Ricardo Montenegro Soto</cp:lastModifiedBy>
  <cp:lastPrinted>2015-11-05T21:14:54Z</cp:lastPrinted>
  <dcterms:created xsi:type="dcterms:W3CDTF">2007-11-16T17:24:02Z</dcterms:created>
  <dcterms:modified xsi:type="dcterms:W3CDTF">2015-11-05T21:15:03Z</dcterms:modified>
  <cp:category/>
  <cp:version/>
  <cp:contentType/>
  <cp:contentStatus/>
</cp:coreProperties>
</file>