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Escritorio\INFRAESTRUCTURA\CAÑASGORDAS\Adendas\"/>
    </mc:Choice>
  </mc:AlternateContent>
  <bookViews>
    <workbookView xWindow="0" yWindow="0" windowWidth="24000" windowHeight="91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7" i="1" l="1"/>
  <c r="F394" i="1"/>
  <c r="E387" i="1"/>
  <c r="H387" i="1" s="1"/>
  <c r="E386" i="1"/>
  <c r="H386" i="1" s="1"/>
  <c r="E385" i="1"/>
  <c r="H385" i="1" s="1"/>
  <c r="E384" i="1"/>
  <c r="H384" i="1" s="1"/>
  <c r="E383" i="1"/>
  <c r="H383" i="1" s="1"/>
  <c r="E382" i="1"/>
  <c r="H382" i="1" s="1"/>
  <c r="E381" i="1"/>
  <c r="H381" i="1" s="1"/>
  <c r="E380" i="1"/>
  <c r="H380" i="1" s="1"/>
  <c r="E379" i="1"/>
  <c r="H379" i="1" s="1"/>
  <c r="E378" i="1"/>
  <c r="H378" i="1" s="1"/>
  <c r="E377" i="1"/>
  <c r="H377" i="1" s="1"/>
  <c r="E376" i="1"/>
  <c r="H376" i="1" s="1"/>
  <c r="E375" i="1"/>
  <c r="H375" i="1" s="1"/>
  <c r="E374" i="1"/>
  <c r="H374" i="1" s="1"/>
  <c r="E373" i="1"/>
  <c r="H373" i="1" s="1"/>
  <c r="F370" i="1"/>
  <c r="E369" i="1"/>
  <c r="H369" i="1" s="1"/>
  <c r="E368" i="1"/>
  <c r="H368" i="1" s="1"/>
  <c r="E367" i="1"/>
  <c r="H367" i="1" s="1"/>
  <c r="E366" i="1"/>
  <c r="H366" i="1" s="1"/>
  <c r="E365" i="1"/>
  <c r="H365" i="1" s="1"/>
  <c r="E364" i="1"/>
  <c r="H364" i="1" s="1"/>
  <c r="E363" i="1"/>
  <c r="H363" i="1" s="1"/>
  <c r="E362" i="1"/>
  <c r="H362" i="1" s="1"/>
  <c r="F356" i="1"/>
  <c r="H356" i="1" s="1"/>
  <c r="F353" i="1"/>
  <c r="F347" i="1"/>
  <c r="E352" i="1"/>
  <c r="H352" i="1" s="1"/>
  <c r="E351" i="1"/>
  <c r="H351" i="1" s="1"/>
  <c r="E350" i="1"/>
  <c r="H350" i="1" s="1"/>
  <c r="E346" i="1"/>
  <c r="H346" i="1" s="1"/>
  <c r="E345" i="1"/>
  <c r="H345" i="1" s="1"/>
  <c r="E344" i="1"/>
  <c r="H344" i="1" s="1"/>
  <c r="E343" i="1"/>
  <c r="H343" i="1" s="1"/>
  <c r="E342" i="1"/>
  <c r="H342" i="1" s="1"/>
  <c r="F339" i="1"/>
  <c r="H338" i="1"/>
  <c r="E338" i="1"/>
  <c r="G338" i="1" s="1"/>
  <c r="H337" i="1"/>
  <c r="E337" i="1"/>
  <c r="G337" i="1" s="1"/>
  <c r="F334" i="1"/>
  <c r="E333" i="1"/>
  <c r="H333" i="1" s="1"/>
  <c r="E332" i="1"/>
  <c r="H332" i="1" s="1"/>
  <c r="E331" i="1"/>
  <c r="H331" i="1" s="1"/>
  <c r="E330" i="1"/>
  <c r="H330" i="1" s="1"/>
  <c r="F327" i="1"/>
  <c r="E326" i="1"/>
  <c r="H326" i="1" s="1"/>
  <c r="E325" i="1"/>
  <c r="H325" i="1" s="1"/>
  <c r="E324" i="1"/>
  <c r="H324" i="1" s="1"/>
  <c r="E323" i="1"/>
  <c r="H323" i="1" s="1"/>
  <c r="E322" i="1"/>
  <c r="H322" i="1" s="1"/>
  <c r="E321" i="1"/>
  <c r="H321" i="1" s="1"/>
  <c r="E320" i="1"/>
  <c r="H320" i="1" s="1"/>
  <c r="F317" i="1"/>
  <c r="E316" i="1"/>
  <c r="H316" i="1" s="1"/>
  <c r="E315" i="1"/>
  <c r="H315" i="1" s="1"/>
  <c r="E314" i="1"/>
  <c r="H314" i="1" s="1"/>
  <c r="E313" i="1"/>
  <c r="H313" i="1" s="1"/>
  <c r="E312" i="1"/>
  <c r="H312" i="1" s="1"/>
  <c r="F309" i="1"/>
  <c r="E308" i="1"/>
  <c r="H308" i="1" s="1"/>
  <c r="E307" i="1"/>
  <c r="H307" i="1" s="1"/>
  <c r="E306" i="1"/>
  <c r="H306" i="1" s="1"/>
  <c r="E305" i="1"/>
  <c r="H305" i="1" s="1"/>
  <c r="F302" i="1"/>
  <c r="E301" i="1"/>
  <c r="H301" i="1" s="1"/>
  <c r="E300" i="1"/>
  <c r="H300" i="1" s="1"/>
  <c r="E299" i="1"/>
  <c r="H299" i="1" s="1"/>
  <c r="F373" i="1" l="1"/>
  <c r="F374" i="1"/>
  <c r="F375" i="1"/>
  <c r="F376" i="1"/>
  <c r="F377" i="1"/>
  <c r="F378" i="1"/>
  <c r="F379" i="1"/>
  <c r="F380" i="1"/>
  <c r="F381" i="1"/>
  <c r="F382" i="1"/>
  <c r="F383" i="1"/>
  <c r="F384" i="1"/>
  <c r="F385" i="1"/>
  <c r="F386" i="1"/>
  <c r="F387" i="1"/>
  <c r="G373" i="1"/>
  <c r="G374" i="1"/>
  <c r="G375" i="1"/>
  <c r="G376" i="1"/>
  <c r="G377" i="1"/>
  <c r="G378" i="1"/>
  <c r="G379" i="1"/>
  <c r="G380" i="1"/>
  <c r="G381" i="1"/>
  <c r="G382" i="1"/>
  <c r="G383" i="1"/>
  <c r="G384" i="1"/>
  <c r="G385" i="1"/>
  <c r="G386" i="1"/>
  <c r="G387" i="1"/>
  <c r="F362" i="1"/>
  <c r="F363" i="1"/>
  <c r="F364" i="1"/>
  <c r="F365" i="1"/>
  <c r="F366" i="1"/>
  <c r="F367" i="1"/>
  <c r="F368" i="1"/>
  <c r="F369" i="1"/>
  <c r="G362" i="1"/>
  <c r="G363" i="1"/>
  <c r="G364" i="1"/>
  <c r="G365" i="1"/>
  <c r="G366" i="1"/>
  <c r="G367" i="1"/>
  <c r="G368" i="1"/>
  <c r="G369" i="1"/>
  <c r="G356" i="1"/>
  <c r="F350" i="1"/>
  <c r="F352" i="1"/>
  <c r="G350" i="1"/>
  <c r="G351" i="1"/>
  <c r="G352" i="1"/>
  <c r="F351" i="1"/>
  <c r="F343" i="1"/>
  <c r="F344" i="1"/>
  <c r="F346" i="1"/>
  <c r="G342" i="1"/>
  <c r="G343" i="1"/>
  <c r="G344" i="1"/>
  <c r="G345" i="1"/>
  <c r="G346" i="1"/>
  <c r="F342" i="1"/>
  <c r="F345" i="1"/>
  <c r="F337" i="1"/>
  <c r="F338" i="1"/>
  <c r="F330" i="1"/>
  <c r="F331" i="1"/>
  <c r="F332" i="1"/>
  <c r="F333" i="1"/>
  <c r="G330" i="1"/>
  <c r="G331" i="1"/>
  <c r="G332" i="1"/>
  <c r="G333" i="1"/>
  <c r="F320" i="1"/>
  <c r="F321" i="1"/>
  <c r="F322" i="1"/>
  <c r="F323" i="1"/>
  <c r="F324" i="1"/>
  <c r="F325" i="1"/>
  <c r="F326" i="1"/>
  <c r="G320" i="1"/>
  <c r="G321" i="1"/>
  <c r="G322" i="1"/>
  <c r="G323" i="1"/>
  <c r="G324" i="1"/>
  <c r="G325" i="1"/>
  <c r="G326" i="1"/>
  <c r="F312" i="1"/>
  <c r="F313" i="1"/>
  <c r="F314" i="1"/>
  <c r="F315" i="1"/>
  <c r="F316" i="1"/>
  <c r="G312" i="1"/>
  <c r="G313" i="1"/>
  <c r="G314" i="1"/>
  <c r="G315" i="1"/>
  <c r="G316" i="1"/>
  <c r="F305" i="1"/>
  <c r="F306" i="1"/>
  <c r="F307" i="1"/>
  <c r="F308" i="1"/>
  <c r="G305" i="1"/>
  <c r="G306" i="1"/>
  <c r="G307" i="1"/>
  <c r="G308" i="1"/>
  <c r="F299" i="1"/>
  <c r="F300" i="1"/>
  <c r="F301" i="1"/>
  <c r="G299" i="1"/>
  <c r="G300" i="1"/>
  <c r="G301" i="1"/>
  <c r="F388" i="1" l="1"/>
  <c r="F390" i="1" s="1"/>
  <c r="H390" i="1" s="1"/>
  <c r="G390" i="1" l="1"/>
  <c r="G392" i="1" s="1"/>
  <c r="F392" i="1"/>
  <c r="E394" i="1" s="1"/>
  <c r="E395" i="1" l="1"/>
  <c r="H392" i="1"/>
  <c r="E396" i="1"/>
  <c r="F399" i="1" s="1"/>
  <c r="F397" i="1" l="1"/>
  <c r="F398" i="1" s="1"/>
  <c r="F400" i="1" s="1"/>
  <c r="G400" i="1" s="1"/>
  <c r="F293" i="1" l="1"/>
  <c r="F291" i="1"/>
  <c r="F273" i="1"/>
  <c r="F282" i="1"/>
  <c r="E290" i="1"/>
  <c r="H290" i="1" s="1"/>
  <c r="E289" i="1"/>
  <c r="H289" i="1" s="1"/>
  <c r="E288" i="1"/>
  <c r="H288" i="1" s="1"/>
  <c r="E287" i="1"/>
  <c r="H287" i="1" s="1"/>
  <c r="E286" i="1"/>
  <c r="H286" i="1" s="1"/>
  <c r="E285" i="1"/>
  <c r="H285" i="1" s="1"/>
  <c r="E281" i="1"/>
  <c r="H281" i="1" s="1"/>
  <c r="E280" i="1"/>
  <c r="H280" i="1" s="1"/>
  <c r="E279" i="1"/>
  <c r="H279" i="1" s="1"/>
  <c r="E278" i="1"/>
  <c r="H278" i="1" s="1"/>
  <c r="E277" i="1"/>
  <c r="H277" i="1" s="1"/>
  <c r="E276" i="1"/>
  <c r="H276" i="1" s="1"/>
  <c r="E272" i="1"/>
  <c r="H272" i="1" s="1"/>
  <c r="E271" i="1"/>
  <c r="H271" i="1" s="1"/>
  <c r="E270" i="1"/>
  <c r="H270" i="1" s="1"/>
  <c r="E269" i="1"/>
  <c r="H269" i="1" s="1"/>
  <c r="E268" i="1"/>
  <c r="H268" i="1" s="1"/>
  <c r="E267" i="1"/>
  <c r="H267" i="1" s="1"/>
  <c r="D287" i="1"/>
  <c r="D289" i="1" s="1"/>
  <c r="D286" i="1"/>
  <c r="F264" i="1"/>
  <c r="E263" i="1"/>
  <c r="H263" i="1" s="1"/>
  <c r="E262" i="1"/>
  <c r="H262" i="1" s="1"/>
  <c r="E261" i="1"/>
  <c r="H261" i="1" s="1"/>
  <c r="E260" i="1"/>
  <c r="H260" i="1" s="1"/>
  <c r="E259" i="1"/>
  <c r="H259" i="1" s="1"/>
  <c r="E255" i="1"/>
  <c r="H255" i="1" s="1"/>
  <c r="E254" i="1"/>
  <c r="H254" i="1" s="1"/>
  <c r="E253" i="1"/>
  <c r="H253" i="1" s="1"/>
  <c r="E252" i="1"/>
  <c r="H252" i="1" s="1"/>
  <c r="E251" i="1"/>
  <c r="H251" i="1" s="1"/>
  <c r="E250" i="1"/>
  <c r="H250" i="1" s="1"/>
  <c r="E249" i="1"/>
  <c r="H249" i="1" s="1"/>
  <c r="E248" i="1"/>
  <c r="H248" i="1" s="1"/>
  <c r="E247" i="1"/>
  <c r="H247" i="1" s="1"/>
  <c r="E243" i="1"/>
  <c r="H243" i="1" s="1"/>
  <c r="E242" i="1"/>
  <c r="H242" i="1" s="1"/>
  <c r="E241" i="1"/>
  <c r="H241" i="1" s="1"/>
  <c r="E240" i="1"/>
  <c r="H240" i="1" s="1"/>
  <c r="E239" i="1"/>
  <c r="H239" i="1" s="1"/>
  <c r="E238" i="1"/>
  <c r="H238" i="1" s="1"/>
  <c r="E237" i="1"/>
  <c r="H237" i="1" s="1"/>
  <c r="E236" i="1"/>
  <c r="H236" i="1" s="1"/>
  <c r="E235" i="1"/>
  <c r="H235" i="1" s="1"/>
  <c r="E234" i="1"/>
  <c r="H234" i="1" s="1"/>
  <c r="E233" i="1"/>
  <c r="H233" i="1" s="1"/>
  <c r="E232" i="1"/>
  <c r="H232" i="1" s="1"/>
  <c r="D234" i="1"/>
  <c r="D232" i="1"/>
  <c r="E223" i="1"/>
  <c r="H223" i="1" s="1"/>
  <c r="E222" i="1"/>
  <c r="H222" i="1" s="1"/>
  <c r="E221" i="1"/>
  <c r="H221" i="1" s="1"/>
  <c r="E217" i="1"/>
  <c r="H217" i="1" s="1"/>
  <c r="E216" i="1"/>
  <c r="H216" i="1" s="1"/>
  <c r="E215" i="1"/>
  <c r="H215" i="1" s="1"/>
  <c r="E214" i="1"/>
  <c r="H214" i="1" s="1"/>
  <c r="E213" i="1"/>
  <c r="H213" i="1" s="1"/>
  <c r="E212" i="1"/>
  <c r="H212" i="1" s="1"/>
  <c r="E211" i="1"/>
  <c r="H211" i="1" s="1"/>
  <c r="E210" i="1"/>
  <c r="H210" i="1" s="1"/>
  <c r="E206" i="1"/>
  <c r="H206" i="1" s="1"/>
  <c r="E205" i="1"/>
  <c r="H205" i="1" s="1"/>
  <c r="E204" i="1"/>
  <c r="H204" i="1" s="1"/>
  <c r="E203" i="1"/>
  <c r="H203" i="1" s="1"/>
  <c r="E202" i="1"/>
  <c r="H202" i="1" s="1"/>
  <c r="E201" i="1"/>
  <c r="H201" i="1" s="1"/>
  <c r="E200" i="1"/>
  <c r="H200" i="1" s="1"/>
  <c r="E195" i="1"/>
  <c r="F195" i="1" s="1"/>
  <c r="E194" i="1"/>
  <c r="F194" i="1" s="1"/>
  <c r="E193" i="1"/>
  <c r="F193" i="1" s="1"/>
  <c r="E192" i="1"/>
  <c r="F192" i="1" s="1"/>
  <c r="E191" i="1"/>
  <c r="F191" i="1" s="1"/>
  <c r="E190" i="1"/>
  <c r="F190" i="1" s="1"/>
  <c r="E189" i="1"/>
  <c r="F189" i="1" s="1"/>
  <c r="E188" i="1"/>
  <c r="F188" i="1" s="1"/>
  <c r="E187" i="1"/>
  <c r="F187" i="1" s="1"/>
  <c r="E183" i="1"/>
  <c r="H183" i="1" s="1"/>
  <c r="E182" i="1"/>
  <c r="H182" i="1" s="1"/>
  <c r="E181" i="1"/>
  <c r="H181" i="1" s="1"/>
  <c r="E180" i="1"/>
  <c r="H180" i="1" s="1"/>
  <c r="E179" i="1"/>
  <c r="H179" i="1" s="1"/>
  <c r="E178" i="1"/>
  <c r="H178" i="1" s="1"/>
  <c r="E177" i="1"/>
  <c r="H177" i="1" s="1"/>
  <c r="E176" i="1"/>
  <c r="H176" i="1" s="1"/>
  <c r="E175" i="1"/>
  <c r="H175" i="1" s="1"/>
  <c r="E174" i="1"/>
  <c r="H174" i="1" s="1"/>
  <c r="E173" i="1"/>
  <c r="H173" i="1" s="1"/>
  <c r="E172" i="1"/>
  <c r="H172" i="1" s="1"/>
  <c r="E171" i="1"/>
  <c r="H171" i="1" s="1"/>
  <c r="E170" i="1"/>
  <c r="H170" i="1" s="1"/>
  <c r="E169" i="1"/>
  <c r="H169" i="1" s="1"/>
  <c r="E168" i="1"/>
  <c r="H168" i="1" s="1"/>
  <c r="E164" i="1"/>
  <c r="H164" i="1" s="1"/>
  <c r="E163" i="1"/>
  <c r="H163" i="1" s="1"/>
  <c r="E162" i="1"/>
  <c r="H162" i="1" s="1"/>
  <c r="E161" i="1"/>
  <c r="H161" i="1" s="1"/>
  <c r="E160" i="1"/>
  <c r="H160" i="1" s="1"/>
  <c r="E159" i="1"/>
  <c r="H159" i="1" s="1"/>
  <c r="E158" i="1"/>
  <c r="H158" i="1" s="1"/>
  <c r="E157" i="1"/>
  <c r="H157" i="1" s="1"/>
  <c r="E156" i="1"/>
  <c r="H156" i="1" s="1"/>
  <c r="E155" i="1"/>
  <c r="H155" i="1" s="1"/>
  <c r="E154" i="1"/>
  <c r="H154" i="1" s="1"/>
  <c r="E153" i="1"/>
  <c r="H153" i="1" s="1"/>
  <c r="E152" i="1"/>
  <c r="H152" i="1" s="1"/>
  <c r="E151" i="1"/>
  <c r="H151" i="1" s="1"/>
  <c r="E150" i="1"/>
  <c r="H150" i="1" s="1"/>
  <c r="E149" i="1"/>
  <c r="H149" i="1" s="1"/>
  <c r="E148" i="1"/>
  <c r="H148" i="1" s="1"/>
  <c r="E147" i="1"/>
  <c r="H147" i="1" s="1"/>
  <c r="E146" i="1"/>
  <c r="H146" i="1" s="1"/>
  <c r="D147" i="1"/>
  <c r="E142" i="1"/>
  <c r="H142" i="1" s="1"/>
  <c r="E141" i="1"/>
  <c r="H141" i="1" s="1"/>
  <c r="E140" i="1"/>
  <c r="H140" i="1" s="1"/>
  <c r="E139" i="1"/>
  <c r="H139" i="1" s="1"/>
  <c r="E138" i="1"/>
  <c r="H138" i="1" s="1"/>
  <c r="E137" i="1"/>
  <c r="H137" i="1" s="1"/>
  <c r="E136" i="1"/>
  <c r="H136" i="1" s="1"/>
  <c r="E135" i="1"/>
  <c r="H135" i="1" s="1"/>
  <c r="E134" i="1"/>
  <c r="H134" i="1" s="1"/>
  <c r="E133" i="1"/>
  <c r="H133" i="1" s="1"/>
  <c r="E132" i="1"/>
  <c r="H132" i="1" s="1"/>
  <c r="E131" i="1"/>
  <c r="H131" i="1" s="1"/>
  <c r="E130" i="1"/>
  <c r="H130" i="1" s="1"/>
  <c r="E129" i="1"/>
  <c r="H129" i="1" s="1"/>
  <c r="E128" i="1"/>
  <c r="H128" i="1" s="1"/>
  <c r="E127" i="1"/>
  <c r="H127" i="1" s="1"/>
  <c r="E126" i="1"/>
  <c r="H126" i="1" s="1"/>
  <c r="E122" i="1"/>
  <c r="H122" i="1" s="1"/>
  <c r="E121" i="1"/>
  <c r="H121" i="1" s="1"/>
  <c r="E120" i="1"/>
  <c r="G120" i="1" s="1"/>
  <c r="E119" i="1"/>
  <c r="F119" i="1" s="1"/>
  <c r="E118" i="1"/>
  <c r="H118" i="1" s="1"/>
  <c r="E117" i="1"/>
  <c r="H117" i="1" s="1"/>
  <c r="H107" i="1"/>
  <c r="G103" i="1"/>
  <c r="F103" i="1"/>
  <c r="F99" i="1"/>
  <c r="E108" i="1"/>
  <c r="H108" i="1" s="1"/>
  <c r="E107" i="1"/>
  <c r="G107" i="1" s="1"/>
  <c r="E106" i="1"/>
  <c r="H106" i="1" s="1"/>
  <c r="E105" i="1"/>
  <c r="F105" i="1" s="1"/>
  <c r="E104" i="1"/>
  <c r="H104" i="1" s="1"/>
  <c r="E103" i="1"/>
  <c r="H103" i="1" s="1"/>
  <c r="E102" i="1"/>
  <c r="H102" i="1" s="1"/>
  <c r="E101" i="1"/>
  <c r="F101" i="1" s="1"/>
  <c r="E100" i="1"/>
  <c r="H100" i="1" s="1"/>
  <c r="E99" i="1"/>
  <c r="H99" i="1" s="1"/>
  <c r="E98" i="1"/>
  <c r="H98" i="1" s="1"/>
  <c r="E97" i="1"/>
  <c r="F97" i="1" s="1"/>
  <c r="E96" i="1"/>
  <c r="H96" i="1" s="1"/>
  <c r="H92" i="1"/>
  <c r="G92" i="1"/>
  <c r="H91" i="1"/>
  <c r="G91" i="1"/>
  <c r="H90" i="1"/>
  <c r="G90" i="1"/>
  <c r="H89" i="1"/>
  <c r="G89" i="1"/>
  <c r="H88" i="1"/>
  <c r="G88" i="1"/>
  <c r="H87" i="1"/>
  <c r="G87" i="1"/>
  <c r="H86" i="1"/>
  <c r="G86" i="1"/>
  <c r="H85" i="1"/>
  <c r="G85" i="1"/>
  <c r="H84" i="1"/>
  <c r="G84" i="1"/>
  <c r="H83" i="1"/>
  <c r="G83" i="1"/>
  <c r="H82" i="1"/>
  <c r="G82" i="1"/>
  <c r="H81" i="1"/>
  <c r="G81" i="1"/>
  <c r="H80" i="1"/>
  <c r="G80" i="1"/>
  <c r="H79" i="1"/>
  <c r="G79" i="1"/>
  <c r="H78" i="1"/>
  <c r="G78" i="1"/>
  <c r="H77" i="1"/>
  <c r="G77" i="1"/>
  <c r="H76" i="1"/>
  <c r="G76" i="1"/>
  <c r="H75" i="1"/>
  <c r="G75" i="1"/>
  <c r="H74" i="1"/>
  <c r="G74" i="1"/>
  <c r="H73" i="1"/>
  <c r="G73" i="1"/>
  <c r="F92" i="1"/>
  <c r="F91" i="1"/>
  <c r="F90" i="1"/>
  <c r="F89" i="1"/>
  <c r="F88" i="1"/>
  <c r="F87" i="1"/>
  <c r="F86" i="1"/>
  <c r="F85" i="1"/>
  <c r="F84" i="1"/>
  <c r="F83" i="1"/>
  <c r="F82" i="1"/>
  <c r="F81" i="1"/>
  <c r="F80" i="1"/>
  <c r="F79" i="1"/>
  <c r="F78" i="1"/>
  <c r="F77" i="1"/>
  <c r="F76" i="1"/>
  <c r="F75" i="1"/>
  <c r="F74" i="1"/>
  <c r="F73" i="1"/>
  <c r="J74" i="1"/>
  <c r="J92" i="1"/>
  <c r="J91" i="1"/>
  <c r="J90" i="1"/>
  <c r="J89" i="1"/>
  <c r="J88" i="1"/>
  <c r="J87" i="1"/>
  <c r="J86" i="1"/>
  <c r="J85" i="1"/>
  <c r="J84" i="1"/>
  <c r="J83" i="1"/>
  <c r="J82" i="1"/>
  <c r="J81" i="1"/>
  <c r="J80" i="1"/>
  <c r="J79" i="1"/>
  <c r="J78" i="1"/>
  <c r="J77" i="1"/>
  <c r="J76" i="1"/>
  <c r="J75" i="1"/>
  <c r="G69" i="1"/>
  <c r="H69" i="1"/>
  <c r="F70" i="1"/>
  <c r="H67" i="1"/>
  <c r="H68" i="1"/>
  <c r="G68" i="1"/>
  <c r="G67" i="1"/>
  <c r="H66" i="1"/>
  <c r="G66" i="1"/>
  <c r="H65" i="1"/>
  <c r="G65" i="1"/>
  <c r="H64" i="1"/>
  <c r="G64" i="1"/>
  <c r="H63" i="1"/>
  <c r="G63" i="1"/>
  <c r="H62" i="1"/>
  <c r="G62" i="1"/>
  <c r="H61" i="1"/>
  <c r="G61" i="1"/>
  <c r="H60" i="1"/>
  <c r="G60" i="1"/>
  <c r="H59" i="1"/>
  <c r="G59" i="1"/>
  <c r="H58" i="1"/>
  <c r="G58" i="1"/>
  <c r="H57" i="1"/>
  <c r="G57" i="1"/>
  <c r="H56" i="1"/>
  <c r="G56" i="1"/>
  <c r="H55" i="1"/>
  <c r="G55" i="1"/>
  <c r="H54" i="1"/>
  <c r="G54" i="1"/>
  <c r="H53" i="1"/>
  <c r="G53" i="1"/>
  <c r="H49" i="1"/>
  <c r="G49" i="1"/>
  <c r="H48" i="1"/>
  <c r="G48" i="1"/>
  <c r="H47" i="1"/>
  <c r="G47" i="1"/>
  <c r="H46" i="1"/>
  <c r="G46" i="1"/>
  <c r="H45" i="1"/>
  <c r="G45" i="1"/>
  <c r="H44" i="1"/>
  <c r="G44" i="1"/>
  <c r="H43" i="1"/>
  <c r="G43" i="1"/>
  <c r="H42" i="1"/>
  <c r="G42" i="1"/>
  <c r="H41" i="1"/>
  <c r="G41" i="1"/>
  <c r="H40" i="1"/>
  <c r="G40" i="1"/>
  <c r="H36" i="1"/>
  <c r="G36" i="1"/>
  <c r="H35" i="1"/>
  <c r="G35" i="1"/>
  <c r="H34" i="1"/>
  <c r="G34" i="1"/>
  <c r="H33" i="1"/>
  <c r="G33" i="1"/>
  <c r="H32" i="1"/>
  <c r="G32" i="1"/>
  <c r="H31" i="1"/>
  <c r="G31" i="1"/>
  <c r="H30" i="1"/>
  <c r="G30" i="1"/>
  <c r="H29" i="1"/>
  <c r="G29" i="1"/>
  <c r="H28" i="1"/>
  <c r="G28" i="1"/>
  <c r="H27" i="1"/>
  <c r="G27" i="1"/>
  <c r="H26" i="1"/>
  <c r="G26" i="1"/>
  <c r="H25" i="1"/>
  <c r="G25" i="1"/>
  <c r="H21" i="1"/>
  <c r="G21" i="1"/>
  <c r="H20" i="1"/>
  <c r="G20" i="1"/>
  <c r="H19" i="1"/>
  <c r="G19" i="1"/>
  <c r="H18" i="1"/>
  <c r="G18" i="1"/>
  <c r="H17" i="1"/>
  <c r="G17" i="1"/>
  <c r="H16" i="1"/>
  <c r="G16" i="1"/>
  <c r="H15" i="1"/>
  <c r="G15" i="1"/>
  <c r="F22" i="1"/>
  <c r="F285" i="1" l="1"/>
  <c r="F286" i="1"/>
  <c r="F287" i="1"/>
  <c r="F288" i="1"/>
  <c r="F289" i="1"/>
  <c r="F290" i="1"/>
  <c r="G285" i="1"/>
  <c r="G286" i="1"/>
  <c r="G287" i="1"/>
  <c r="G288" i="1"/>
  <c r="G289" i="1"/>
  <c r="G290" i="1"/>
  <c r="F276" i="1"/>
  <c r="F277" i="1"/>
  <c r="F278" i="1"/>
  <c r="F279" i="1"/>
  <c r="F280" i="1"/>
  <c r="F281" i="1"/>
  <c r="G276" i="1"/>
  <c r="G277" i="1"/>
  <c r="G278" i="1"/>
  <c r="G279" i="1"/>
  <c r="G280" i="1"/>
  <c r="G281" i="1"/>
  <c r="F267" i="1"/>
  <c r="F268" i="1"/>
  <c r="F269" i="1"/>
  <c r="F270" i="1"/>
  <c r="F271" i="1"/>
  <c r="F272" i="1"/>
  <c r="G267" i="1"/>
  <c r="G268" i="1"/>
  <c r="G269" i="1"/>
  <c r="G270" i="1"/>
  <c r="G271" i="1"/>
  <c r="G272" i="1"/>
  <c r="D288" i="1"/>
  <c r="F259" i="1"/>
  <c r="F260" i="1"/>
  <c r="F261" i="1"/>
  <c r="F262" i="1"/>
  <c r="F263" i="1"/>
  <c r="G259" i="1"/>
  <c r="G260" i="1"/>
  <c r="G261" i="1"/>
  <c r="G262" i="1"/>
  <c r="G263" i="1"/>
  <c r="G119" i="1"/>
  <c r="G99" i="1"/>
  <c r="F93" i="1"/>
  <c r="G121" i="1"/>
  <c r="G188" i="1"/>
  <c r="H188" i="1"/>
  <c r="G97" i="1"/>
  <c r="G117" i="1"/>
  <c r="H192" i="1"/>
  <c r="G105" i="1"/>
  <c r="H120" i="1"/>
  <c r="F196" i="1"/>
  <c r="H193" i="1"/>
  <c r="F107" i="1"/>
  <c r="G101" i="1"/>
  <c r="F117" i="1"/>
  <c r="F121" i="1"/>
  <c r="H189" i="1"/>
  <c r="G192" i="1"/>
  <c r="F118" i="1"/>
  <c r="F122" i="1"/>
  <c r="F96" i="1"/>
  <c r="F100" i="1"/>
  <c r="F104" i="1"/>
  <c r="F108" i="1"/>
  <c r="H97" i="1"/>
  <c r="H101" i="1"/>
  <c r="H105" i="1"/>
  <c r="G118" i="1"/>
  <c r="H119" i="1"/>
  <c r="G122" i="1"/>
  <c r="G187" i="1"/>
  <c r="G191" i="1"/>
  <c r="G195" i="1"/>
  <c r="G96" i="1"/>
  <c r="G98" i="1"/>
  <c r="G100" i="1"/>
  <c r="G102" i="1"/>
  <c r="G104" i="1"/>
  <c r="G106" i="1"/>
  <c r="G108" i="1"/>
  <c r="F120" i="1"/>
  <c r="H187" i="1"/>
  <c r="G190" i="1"/>
  <c r="H191" i="1"/>
  <c r="G194" i="1"/>
  <c r="H195" i="1"/>
  <c r="F98" i="1"/>
  <c r="F102" i="1"/>
  <c r="F106" i="1"/>
  <c r="G189" i="1"/>
  <c r="H190" i="1"/>
  <c r="G193" i="1"/>
  <c r="H194" i="1"/>
  <c r="F247" i="1"/>
  <c r="F248" i="1"/>
  <c r="F249" i="1"/>
  <c r="F250" i="1"/>
  <c r="F251" i="1"/>
  <c r="F252" i="1"/>
  <c r="F253" i="1"/>
  <c r="F254" i="1"/>
  <c r="F255" i="1"/>
  <c r="G247" i="1"/>
  <c r="G248" i="1"/>
  <c r="G249" i="1"/>
  <c r="G250" i="1"/>
  <c r="G251" i="1"/>
  <c r="G252" i="1"/>
  <c r="G253" i="1"/>
  <c r="G254" i="1"/>
  <c r="G255" i="1"/>
  <c r="F232" i="1"/>
  <c r="F233" i="1"/>
  <c r="F234" i="1"/>
  <c r="F235" i="1"/>
  <c r="F236" i="1"/>
  <c r="F237" i="1"/>
  <c r="F238" i="1"/>
  <c r="F239" i="1"/>
  <c r="F240" i="1"/>
  <c r="F241" i="1"/>
  <c r="F242" i="1"/>
  <c r="F243" i="1"/>
  <c r="G232" i="1"/>
  <c r="G233" i="1"/>
  <c r="G234" i="1"/>
  <c r="G235" i="1"/>
  <c r="G236" i="1"/>
  <c r="G237" i="1"/>
  <c r="G238" i="1"/>
  <c r="G239" i="1"/>
  <c r="G240" i="1"/>
  <c r="G241" i="1"/>
  <c r="G242" i="1"/>
  <c r="G243" i="1"/>
  <c r="F221" i="1"/>
  <c r="F222" i="1"/>
  <c r="F223" i="1"/>
  <c r="G221" i="1"/>
  <c r="G222" i="1"/>
  <c r="G223" i="1"/>
  <c r="F210" i="1"/>
  <c r="F211" i="1"/>
  <c r="F212" i="1"/>
  <c r="F213" i="1"/>
  <c r="F214" i="1"/>
  <c r="F215" i="1"/>
  <c r="F216" i="1"/>
  <c r="F217" i="1"/>
  <c r="G210" i="1"/>
  <c r="G211" i="1"/>
  <c r="G212" i="1"/>
  <c r="G213" i="1"/>
  <c r="G214" i="1"/>
  <c r="G215" i="1"/>
  <c r="G216" i="1"/>
  <c r="G217" i="1"/>
  <c r="F200" i="1"/>
  <c r="F201" i="1"/>
  <c r="F202" i="1"/>
  <c r="F203" i="1"/>
  <c r="F204" i="1"/>
  <c r="F205" i="1"/>
  <c r="F206" i="1"/>
  <c r="G200" i="1"/>
  <c r="G201" i="1"/>
  <c r="G202" i="1"/>
  <c r="G203" i="1"/>
  <c r="G204" i="1"/>
  <c r="G205" i="1"/>
  <c r="G206" i="1"/>
  <c r="F168" i="1"/>
  <c r="F169" i="1"/>
  <c r="F170" i="1"/>
  <c r="F171" i="1"/>
  <c r="F172" i="1"/>
  <c r="F173" i="1"/>
  <c r="F174" i="1"/>
  <c r="F175" i="1"/>
  <c r="F176" i="1"/>
  <c r="F177" i="1"/>
  <c r="F178" i="1"/>
  <c r="F179" i="1"/>
  <c r="F180" i="1"/>
  <c r="F181" i="1"/>
  <c r="F182" i="1"/>
  <c r="F183" i="1"/>
  <c r="G168" i="1"/>
  <c r="G169" i="1"/>
  <c r="G170" i="1"/>
  <c r="G171" i="1"/>
  <c r="G172" i="1"/>
  <c r="G173" i="1"/>
  <c r="G174" i="1"/>
  <c r="G175" i="1"/>
  <c r="G176" i="1"/>
  <c r="G177" i="1"/>
  <c r="G178" i="1"/>
  <c r="G179" i="1"/>
  <c r="G180" i="1"/>
  <c r="G181" i="1"/>
  <c r="G182" i="1"/>
  <c r="G183" i="1"/>
  <c r="F146" i="1"/>
  <c r="F147" i="1"/>
  <c r="F148" i="1"/>
  <c r="F149" i="1"/>
  <c r="F150" i="1"/>
  <c r="F151" i="1"/>
  <c r="F152" i="1"/>
  <c r="F153" i="1"/>
  <c r="F154" i="1"/>
  <c r="F155" i="1"/>
  <c r="F156" i="1"/>
  <c r="F157" i="1"/>
  <c r="F158" i="1"/>
  <c r="F159" i="1"/>
  <c r="F160" i="1"/>
  <c r="F161" i="1"/>
  <c r="F162" i="1"/>
  <c r="F163" i="1"/>
  <c r="F164" i="1"/>
  <c r="G146" i="1"/>
  <c r="G147" i="1"/>
  <c r="G148" i="1"/>
  <c r="G149" i="1"/>
  <c r="G150" i="1"/>
  <c r="G151" i="1"/>
  <c r="G152" i="1"/>
  <c r="G153" i="1"/>
  <c r="G154" i="1"/>
  <c r="G155" i="1"/>
  <c r="G156" i="1"/>
  <c r="G157" i="1"/>
  <c r="G158" i="1"/>
  <c r="G159" i="1"/>
  <c r="G160" i="1"/>
  <c r="G161" i="1"/>
  <c r="G162" i="1"/>
  <c r="G163" i="1"/>
  <c r="G164" i="1"/>
  <c r="F127" i="1"/>
  <c r="F128" i="1"/>
  <c r="F129" i="1"/>
  <c r="F130" i="1"/>
  <c r="F131" i="1"/>
  <c r="F132" i="1"/>
  <c r="F133" i="1"/>
  <c r="F134" i="1"/>
  <c r="F135" i="1"/>
  <c r="F136" i="1"/>
  <c r="F137" i="1"/>
  <c r="F138" i="1"/>
  <c r="F139" i="1"/>
  <c r="F140" i="1"/>
  <c r="F141" i="1"/>
  <c r="F142" i="1"/>
  <c r="G127" i="1"/>
  <c r="G128" i="1"/>
  <c r="G129" i="1"/>
  <c r="G130" i="1"/>
  <c r="G131" i="1"/>
  <c r="G132" i="1"/>
  <c r="G133" i="1"/>
  <c r="G134" i="1"/>
  <c r="G135" i="1"/>
  <c r="G136" i="1"/>
  <c r="G137" i="1"/>
  <c r="G138" i="1"/>
  <c r="G139" i="1"/>
  <c r="G140" i="1"/>
  <c r="G141" i="1"/>
  <c r="G142" i="1"/>
  <c r="F126" i="1"/>
  <c r="G126" i="1"/>
  <c r="F143" i="1" l="1"/>
  <c r="F123" i="1"/>
  <c r="F207" i="1"/>
  <c r="F218" i="1"/>
  <c r="F256" i="1"/>
  <c r="F165" i="1"/>
  <c r="F184" i="1"/>
  <c r="F224" i="1"/>
  <c r="F109" i="1"/>
  <c r="F111" i="1" s="1"/>
  <c r="F244" i="1"/>
  <c r="H293" i="1" l="1"/>
  <c r="G293" i="1"/>
  <c r="F226" i="1"/>
  <c r="G226" i="1" s="1"/>
  <c r="H226" i="1"/>
  <c r="H111" i="1"/>
  <c r="G111" i="1"/>
</calcChain>
</file>

<file path=xl/comments1.xml><?xml version="1.0" encoding="utf-8"?>
<comments xmlns="http://schemas.openxmlformats.org/spreadsheetml/2006/main">
  <authors>
    <author>Christian Durango</author>
  </authors>
  <commentList>
    <comment ref="D176" authorId="0" shapeId="0">
      <text>
        <r>
          <rPr>
            <b/>
            <sz val="9"/>
            <color rgb="FF000000"/>
            <rFont val="Calibri"/>
            <family val="2"/>
          </rPr>
          <t>Christian Durango:</t>
        </r>
        <r>
          <rPr>
            <sz val="9"/>
            <color rgb="FF000000"/>
            <rFont val="Calibri"/>
            <family val="2"/>
          </rPr>
          <t xml:space="preserve">
TORNAPUNTAS</t>
        </r>
      </text>
    </comment>
  </commentList>
</comments>
</file>

<file path=xl/sharedStrings.xml><?xml version="1.0" encoding="utf-8"?>
<sst xmlns="http://schemas.openxmlformats.org/spreadsheetml/2006/main" count="1089" uniqueCount="640">
  <si>
    <t>MINISTERIO DE CULTURA</t>
  </si>
  <si>
    <t>DIRECCION DE PATRIMONIO</t>
  </si>
  <si>
    <t>PROYECTO DE ADECUACION FUNCIONAL Y</t>
  </si>
  <si>
    <t>PROYECTO DE RESTAURACION INTEGRAL</t>
  </si>
  <si>
    <t>PRESUPUESTO GENERAL</t>
  </si>
  <si>
    <t>PROYECTO:</t>
  </si>
  <si>
    <t xml:space="preserve">Contrato N° </t>
  </si>
  <si>
    <t>Elaborar los estudios tecnicos, el proyecto de adecuacion funcional y el proyecto de restauracion integral de la Casona y del Trapiche de la Hacienda Cañas Gordas, localizado en Santiago de Cali, Valle del Cauca y declarado BICN.</t>
  </si>
  <si>
    <t>Consultor</t>
  </si>
  <si>
    <t>JORGE ENRIQUE MARTINEZ FONSECA</t>
  </si>
  <si>
    <t xml:space="preserve">Documento N°. </t>
  </si>
  <si>
    <t>1.PRESUPUESTO  CASONA</t>
  </si>
  <si>
    <t>1.1</t>
  </si>
  <si>
    <t xml:space="preserve"> ACTIVIDADES PRELIMINARES</t>
  </si>
  <si>
    <t xml:space="preserve"> UNIDAD</t>
  </si>
  <si>
    <t>CANTIDAD</t>
  </si>
  <si>
    <t>VALOR UNITARIO ESTIMADO</t>
  </si>
  <si>
    <t>VALOR PARCIAL</t>
  </si>
  <si>
    <t>VALOR UNITARIO MINIMO</t>
  </si>
  <si>
    <t>VALOR UNITARIO MAXIMO</t>
  </si>
  <si>
    <t>1.1.1</t>
  </si>
  <si>
    <t xml:space="preserve"> DEMOLICION DE PLACA DE CONCRETO ZONA ORIENTAL</t>
  </si>
  <si>
    <t xml:space="preserve"> M2</t>
  </si>
  <si>
    <t>1.1.2</t>
  </si>
  <si>
    <t xml:space="preserve"> INSTALACION DE  TANQUE DE 500 LTS PARA SUMINISTRO PROVISIONAL DE AGUA.</t>
  </si>
  <si>
    <t xml:space="preserve"> UND</t>
  </si>
  <si>
    <t xml:space="preserve"> 1.1.3</t>
  </si>
  <si>
    <t>DERECHO DE CONEXIÓN ACOMETIDA ELÉCTRICA INCUYE CONTADOR TRIFILAR</t>
  </si>
  <si>
    <t xml:space="preserve"> 1.1.4</t>
  </si>
  <si>
    <t xml:space="preserve"> SERVICIO DE ENERGIA ELÉCTRICA PARA LA OBRA</t>
  </si>
  <si>
    <t xml:space="preserve"> MES</t>
  </si>
  <si>
    <t xml:space="preserve"> 1.1.5</t>
  </si>
  <si>
    <t xml:space="preserve"> IMPLEMENTACION VALLAS DE SEGURIDAD E INFORMACION</t>
  </si>
  <si>
    <t xml:space="preserve"> 1.1.6</t>
  </si>
  <si>
    <t xml:space="preserve"> ASEO DE OBRA</t>
  </si>
  <si>
    <t xml:space="preserve"> 1.1.7</t>
  </si>
  <si>
    <t xml:space="preserve"> ASEO FINAL DE OBRA</t>
  </si>
  <si>
    <t>TOTAL CAPITULO</t>
  </si>
  <si>
    <t>1.2</t>
  </si>
  <si>
    <t xml:space="preserve"> INTERVENCION CUBIERTA CASONA</t>
  </si>
  <si>
    <t xml:space="preserve"> 1.2.1</t>
  </si>
  <si>
    <t>CONSTRUCCION DE SOBRE CUBIERTA CON ESTRUCTURA DE GUADUA  Y MANTO DE CUBIERTA CON CARPA PLATILONA ALQUILADA O COMPRADA, QUE SE DEBE IR ARMANDO Y DESMONTANDO POR PARTES.</t>
  </si>
  <si>
    <t xml:space="preserve"> 1.2.2</t>
  </si>
  <si>
    <t xml:space="preserve"> DESMONTE DE TEJA DE BARRO + ENVARILLONADO SOPORTE DE TEJA, INCLUYE CUMBRERAS, CABALLETES, LIMATESAS Y LIMAHOYAS ACOMODACION TEMPORAL PARA REUTILIZACIÓN INMEDIATA DESPUES DE EJECUTAR LIMPIEZA LA LIMPIEZA.</t>
  </si>
  <si>
    <t xml:space="preserve"> 1.2.3</t>
  </si>
  <si>
    <t>REEMPLAZO DE ALFARDAS Y SOBREALFARDAS POR AFECTACION POR  PUDRICION</t>
  </si>
  <si>
    <t xml:space="preserve"> ML</t>
  </si>
  <si>
    <t xml:space="preserve"> 1.2.4</t>
  </si>
  <si>
    <t xml:space="preserve"> ALISTADO DE SOPORTE BASE IMPERMEABILIZACION INCLUYE LISTON INTERMEDIO</t>
  </si>
  <si>
    <t xml:space="preserve"> 1.2.5</t>
  </si>
  <si>
    <t xml:space="preserve"> BASE DE IMPERMEABILIZACION EN LAMINA FIBROCEMENTO 17 MM</t>
  </si>
  <si>
    <t xml:space="preserve"> 1.2.6</t>
  </si>
  <si>
    <t xml:space="preserve"> MEMBRANA DE IMPERMEABILIZACION RESISTENTE A RAYOS ULTRAVILETA</t>
  </si>
  <si>
    <t xml:space="preserve"> 1.2.7</t>
  </si>
  <si>
    <t xml:space="preserve"> CARTON ASFALTICO DE PROTECCION MEMBRANA IMPERMEABILIZANTE</t>
  </si>
  <si>
    <t xml:space="preserve"> 1.2.8</t>
  </si>
  <si>
    <t xml:space="preserve"> MALLA ELECTROSOLDADA 4 MM 15X15</t>
  </si>
  <si>
    <t xml:space="preserve"> 1.2.9</t>
  </si>
  <si>
    <t xml:space="preserve"> CUBIERTA EN TEJA DE BARRO CON REUTILIZACION DEL 50% Y TEJA NUEVA EL 50% ESPECIFICACION SIMILAR A LA EXISTENTE. INCLUYE PERFORACION DE TEJAS REUTILIZADAS Y NUEVAS, CABALLETES LIMAHOYAS Y LIMATESAS EN TEJA DE BARRO MONTADAS Y ALINEADAS PEGADAS CON MORTERO</t>
  </si>
  <si>
    <t>1.2.10</t>
  </si>
  <si>
    <t>LIMPIEZA Y RETIRO DE HONGOS Y MUGRE DE TEJA EXISTENTE</t>
  </si>
  <si>
    <t>1.2.11</t>
  </si>
  <si>
    <t>LAMINA GALVANIZADA CAL 24 DLLO=0,50 M REFUERZO LIMAHOYA  CON BASE DE PINTURA ANTICORROSIVA Y ACABADO EN PINTURA DE POLIURETANO COLOR ROJO.</t>
  </si>
  <si>
    <t>1.2.12</t>
  </si>
  <si>
    <t>SOLAPA PERIMETRAL DE REMATE CUBIERTA BAJO MEMBRANA EN LAMINA GALVANIZADA CAL 24 DLLO=0,30  CON BASE DE PINTURA ANTICORROSIVA Y ACABADO EN PINTURA DE POLIURETANO COLOR ROJO.</t>
  </si>
  <si>
    <t>1.3</t>
  </si>
  <si>
    <t xml:space="preserve"> TRATAMIENTO DE MUROS Y CIELOS CON PAÑETE DE BARRO.</t>
  </si>
  <si>
    <t>1.3.1</t>
  </si>
  <si>
    <t>PAÑETE CON MORTERO DE CAL,  CIELO RASO ENTRE ALFARDAS INCLUYE MALLA GALLINERO DE REFUERZO</t>
  </si>
  <si>
    <t>1.3.2</t>
  </si>
  <si>
    <t>PAÑETE CON MORTERO DE CAL PARA CONSOLIDACION MUROS CON BASE EN PIEDRA.</t>
  </si>
  <si>
    <t>M2</t>
  </si>
  <si>
    <t>1.3.3</t>
  </si>
  <si>
    <t>RETIRO DE PAÑETES DE BARRO, QUE MUESTRAN FALTA DE ADHERENCIA.</t>
  </si>
  <si>
    <t>1.3.4</t>
  </si>
  <si>
    <t>RECONFORMACION DE VANOS, PLOMOS Y NIVELES DE DINTELES, DESPUES DE INSTALAR SOPORTES EN MADERA PARA FIJACION DE LAS PUERTAS Y VENTANAS CON SUS MARCOS, SE MIDE POR ML DE PERIMETRO VANO.</t>
  </si>
  <si>
    <t>1.3.5</t>
  </si>
  <si>
    <t>RESANE DE GRIETAS, FISURAS Y DETALLADO DE LAS PAREDES CON MASILLA DE CAL REFORZADA PARA MEJORAR LA AHERENCIA, LIJA Y PREPARACION SUPERFICIE PARA APLICACIÓN DE CAL, EN PAREDES QUE ACTUALMENTE SE ENCUENTRAN CON PINTURA DE CAL.</t>
  </si>
  <si>
    <t>1.3.6</t>
  </si>
  <si>
    <t>RESTAURACION DE SUPERFICIES PAÑETADAS, REVISION, RETIRO DE PAÑETES SUELTOS, APLICACIÓN DE FALTANTES, APLICACIÓN DE BASE EN PINTURA DE CAL</t>
  </si>
  <si>
    <t>1.3.7</t>
  </si>
  <si>
    <t>APLICACION DE PAÑETE EMBOÑIGADO AFINADO Y BASE DE PINTURA DE CAL.</t>
  </si>
  <si>
    <t>1.3.8</t>
  </si>
  <si>
    <t>LIJADO Y APLICACIÓN DE MASILLA DE CAL CON BROCHA SOBRE PAÑETE DE BOÑIGA EXISTENTE</t>
  </si>
  <si>
    <t>1.3.9</t>
  </si>
  <si>
    <t>APLICACIÓN DE PINTURA DE CAL CON REFUERZO DE IMPRIMANTE SOBRE PAÑETES - MUROS.</t>
  </si>
  <si>
    <t>1.3.10</t>
  </si>
  <si>
    <t>APLICACIÓN DE PINTURA DE CAL CON REFUERZO DE IMPRIMANTE SOBRE PAÑETES - DE CIELO RASOS Y ALFARDAS.</t>
  </si>
  <si>
    <t>1.4</t>
  </si>
  <si>
    <t xml:space="preserve"> RESTAURACION ELEMENTOS DE MADERA</t>
  </si>
  <si>
    <t xml:space="preserve"> 1.4.1</t>
  </si>
  <si>
    <t>RESTAURACION DE BARANDAS INCLUYE RETIRO, CAMBIO DE PASAMANOS, REPARACION DE SOPORTE INFERIOR, INTERMEDIO Y SUPERIOR INCLUYE SOPORTE METALICO DE APOYO.</t>
  </si>
  <si>
    <t xml:space="preserve"> 1.4.2</t>
  </si>
  <si>
    <t xml:space="preserve"> RESTAURACION DE PIEDERECHO CON SU CAPITEL INCLUYE DESMONTE, DECAPADO, LAÑADA, PLOMADO, TACON METALICO Y PINTURA TIPO IMPRANOL</t>
  </si>
  <si>
    <t xml:space="preserve"> 1.4.3</t>
  </si>
  <si>
    <t xml:space="preserve"> JUNTA DE APOYO Y PROTECCION PIE DERECHOS (DADO METALICO)</t>
  </si>
  <si>
    <t xml:space="preserve"> 1.4.4</t>
  </si>
  <si>
    <t xml:space="preserve"> EMBOQUILLADO PERIMETRAL BASES EN PIEDRA PIE DERECHOS FACHADA NORTE.</t>
  </si>
  <si>
    <t xml:space="preserve"> 1.4.5</t>
  </si>
  <si>
    <t xml:space="preserve"> PILARES EN PIEDRA PIEDERECHOS ZONA SUR INCLUYE, ALZAPRIMADO A CADA LADO DEL PIE DERECHO Y DESMONTE, CORTEY DEMOLICION BASE CONCRETO EXISTENTE E INSTALACION PIE DERECHO.</t>
  </si>
  <si>
    <t xml:space="preserve"> 1.4.6</t>
  </si>
  <si>
    <t xml:space="preserve"> APLICACIÓN DE HIDROFUGO DE PROTECCION BASE PIE DERECHOS EN PIEDRA.</t>
  </si>
  <si>
    <t xml:space="preserve"> 1.4.7</t>
  </si>
  <si>
    <t xml:space="preserve"> PINTURA DE ACABADO DE PIE DERECHO CON SU CAPITEL.</t>
  </si>
  <si>
    <t xml:space="preserve"> 1.4.8</t>
  </si>
  <si>
    <t>RESTAURACION DE VIGAS SOLERAS Y SOBRE SOLERAS, INCLUYE DECAPADO, LAÑADO</t>
  </si>
  <si>
    <t xml:space="preserve"> 1.4.9</t>
  </si>
  <si>
    <t>MODIFICACION GRUESO  SOBRESOLERA PARA INSTALACIÓN DE REMATE METALICO DE PROTECCION MADERA ENTREPISO.</t>
  </si>
  <si>
    <t xml:space="preserve"> 1.4.10</t>
  </si>
  <si>
    <t>REMATE METALICO SOBRESOLERAS PARA PROTECCION HUMEDAD EN LAMINA,  EN LAMINA  GALVANIZADA CAL 20 DLLO=45 CM</t>
  </si>
  <si>
    <t xml:space="preserve"> 1.4.11</t>
  </si>
  <si>
    <t xml:space="preserve"> PINTURA DE ACABADO Y PROTECCION DE VIGAS SOLERAS EN CON PINTURA TIPO IMPRANOL O SIMILAR.</t>
  </si>
  <si>
    <t xml:space="preserve"> 1.4.12</t>
  </si>
  <si>
    <t xml:space="preserve"> PINTURA DE ACABADO Y PROTECCION DE VIGAS SOBRESOLERAS CON PINTURA TIPO IMPRANOL O SIMILAR.</t>
  </si>
  <si>
    <t xml:space="preserve"> 1.4.13</t>
  </si>
  <si>
    <t xml:space="preserve"> PINTURA DE ACABADO ALFARDAS SIN RECUBRIMIENTO EN MORTERO ZONA C (COCINA) CON PINTURA IMPRANOL O SIMILAR.</t>
  </si>
  <si>
    <t xml:space="preserve"> 1.4.14</t>
  </si>
  <si>
    <t xml:space="preserve">RESTAURACION DE PUERTAS INCLUYE MONTAJE E INSTALACION DE HERRAJES Y FALLEBAS SEGÚN DISEÑO. </t>
  </si>
  <si>
    <t xml:space="preserve"> 1.4.15</t>
  </si>
  <si>
    <t xml:space="preserve">RESTAURACION DE VENTANAS, INCLUYE MONTAJE E  INSTALACION DE  HERRAJES Y FALLEBAS SEGÚN DISEÑO. </t>
  </si>
  <si>
    <t xml:space="preserve"> 1.4.16</t>
  </si>
  <si>
    <t>SUMINISTRO DE PUERTAS EN TABLA PARADA DE ZAPAN O SIMILAR  INCLUYE MONTAJE E  INSTALACION DE  HERRAJES Y FALLEBAS SEGÚN DISEÑO.</t>
  </si>
  <si>
    <t xml:space="preserve"> 1.4.17</t>
  </si>
  <si>
    <t>SUMINISTRO DE VENTANAS EN TABLA PARADA DE ZAPAN O SIMILAR  INCLUYE MONTAJE E  INSTALACION DE  HERRAJES Y FALLEBAS SEGÚN DISEÑO.</t>
  </si>
  <si>
    <t xml:space="preserve"> TRATAMIENTO DE PISOS</t>
  </si>
  <si>
    <t>|</t>
  </si>
  <si>
    <t>1.5.1</t>
  </si>
  <si>
    <t xml:space="preserve"> REVISION DE NIVELES DE PISOS PARA ESTABLECER NIVEL MAXIMO DE PEGA, RETIRANDO SOBRE GRUESOS DEJADOS EN BASE DE PISO.</t>
  </si>
  <si>
    <t>1.5.2</t>
  </si>
  <si>
    <t>DESMONTE DE PISO EN LADRILLO Y REINSTALACION PARA ARREGLO SOBRESOLERA</t>
  </si>
  <si>
    <t>1.5.3</t>
  </si>
  <si>
    <t>INSTALACION DE PISO EN TABLON DE ARCILLA EXISTENTE, DE DISTINTAS FORMAS Y MEDIDAS RECUPERADO, INCLUYE PREPARACION SUPERFIE PEGA DEL TABLON, RANURADO, LIMPIEZA INSTALACION.</t>
  </si>
  <si>
    <t>1.5.4</t>
  </si>
  <si>
    <t xml:space="preserve"> PISO EN TABLON FATTO E=0,04 M SEGÚN DISEÑO</t>
  </si>
  <si>
    <t>1.5.5</t>
  </si>
  <si>
    <t>REMATES CONTRA MURO PARA CONFORMACION DE PISO EN TABLON FATTO SEGÚN DISEÑO</t>
  </si>
  <si>
    <t>1.5.6</t>
  </si>
  <si>
    <t>RESTAURACION PISOS EN PIEDRA INCLUYE INSTALACION FALTANTES, REVISION EXISTENTES LIMPIEZA Y EMBOQUILLADO OCULTO</t>
  </si>
  <si>
    <t>1.5.7</t>
  </si>
  <si>
    <t xml:space="preserve"> RESTAURACION DE CAÑUELAS EN LADRILLO INCLUYE LAVADO, LIMPIEZA Y CAMBIO DE PIEZAS</t>
  </si>
  <si>
    <t>1.5.8</t>
  </si>
  <si>
    <t xml:space="preserve"> CONSTRUCCION DE PISOS EN PIEDRA Ø 6"-7"  SEGÚN DISEÑO.</t>
  </si>
  <si>
    <t>1.5.9</t>
  </si>
  <si>
    <t xml:space="preserve"> CONSTRUCCION DE PISOS EN PIEDRA Ø 2"-3" CM  SEGÚN DISEÑO.</t>
  </si>
  <si>
    <t>1.5.10</t>
  </si>
  <si>
    <t xml:space="preserve"> RAMPA PLATAFORMA SOPORTE METALICO ACABADO EN MADERA ANCHO 1,20 M SEGÚN DETALLE</t>
  </si>
  <si>
    <t>1.5.11</t>
  </si>
  <si>
    <t xml:space="preserve"> CONSTRUCCION DE BOCA PUERTAS EN PISO EN TABLON FATTO, DEL ANCHO REAL DE MURO, INCLUYE RECORTE DE PIEZAS PARA AJUSTAR AL GRUESO DISIMULANDO DIFERENCIA DE GRUESO DE LOS MUROS.</t>
  </si>
  <si>
    <t>1.5.12</t>
  </si>
  <si>
    <t xml:space="preserve"> CONSTRUCCION DE BORDILLO REMATE PISO CORREDOR SEGUNDA PLANTA.</t>
  </si>
  <si>
    <t>1.5.13</t>
  </si>
  <si>
    <t xml:space="preserve"> CONSTRUCCION BORDILLO EN LADRILLO, PERIMETRAL POR EL CORREDOR PLANTA BAJA  FACHADA NORTE, INCLUYE BASE DE NIVELACION EN CCTO, PEGA DE LADRILLO DE REMATE Y REMATE MORTERO POR LA NARIZ</t>
  </si>
  <si>
    <t>1.5.14</t>
  </si>
  <si>
    <t xml:space="preserve"> CONSTRUCCION DE BORDILLO EN LADRILLO, PERIMETRAL  POR EL CORREDOR PLANTA BAJA FACHADA SUR, INCLUYE, RETIRO DE BORDILLO EN MAL ESTADO EXISTENTE, CORTE DE PIEZAS AL ESPESOR SEGÚN EL GRUESO DIPONIBLE, PEGA DEL LADRILLO NUEVO BORDILLO, LIMPIEZA Y RANURADO.</t>
  </si>
  <si>
    <t>1.5.15</t>
  </si>
  <si>
    <t xml:space="preserve"> CONSTRUCCION BORDILLO EN LADRILLO, PERIMETRAL POR EL CORREDOR PLANTA BAJA  FACHADA ORIENTAL POR LA COCINA, PEGA DE LADRILLO DE REMATE Y REMATE MORTERO POR LA NARIZ</t>
  </si>
  <si>
    <t>1.5.16</t>
  </si>
  <si>
    <t xml:space="preserve"> RESTAURACION DE GRADAS ESCALERA LAÑADO, LIMPIEZA, LIJADO Y APLICACIÓN DE HIDROPROTECTOR.</t>
  </si>
  <si>
    <t>1.5.17</t>
  </si>
  <si>
    <t xml:space="preserve"> APLICACIÓN DE HIDROPROTECTOR EN PISOS, NUEVOS Y REUTILIZADOS. UNA VEZ INSTALADO EL PISO SE DEBE REALIZAR LIMPIEZA PROFUNDA DE LA SUPERFICIE CON JABON NEUTRO Y APLICAR UNA CAPA DE HIDROPROTECTOR, AL TERMINAR LA OBRA ANTES DE LA ENTREGA SE DEBEN APLICAR DOS CAPAS FINALES SIGUIENDO LAS RECOMENDACIONES DEL FABRICANTE.</t>
  </si>
  <si>
    <t>1.5.18</t>
  </si>
  <si>
    <t xml:space="preserve"> RECEBO CEMENTO COMPACTADO (ROCA MUERTA MENUDA) PARA BASE DE PISOS, COMPACTADA.</t>
  </si>
  <si>
    <t>1.5.19</t>
  </si>
  <si>
    <t xml:space="preserve"> CONSTRUCCION DE MURO EN LADRILLO E:0.15 METROS,  PARA CONFORMAR LLENOS CON RECEBO CEMENTO.</t>
  </si>
  <si>
    <t>1.5.20</t>
  </si>
  <si>
    <t xml:space="preserve"> LLENO EN TIERRA PERIMETRAL AL CANAL Y SIEMBRA DE PRADO A LADO Y LADO ANCHO 1.00 METROS.</t>
  </si>
  <si>
    <t>1.6</t>
  </si>
  <si>
    <t>' OBRAS VARIAS</t>
  </si>
  <si>
    <t xml:space="preserve"> 1.6.1</t>
  </si>
  <si>
    <t xml:space="preserve"> JARDINERIA PATIO INTERIOR</t>
  </si>
  <si>
    <t xml:space="preserve"> 1.6.2</t>
  </si>
  <si>
    <t xml:space="preserve"> RECUPERACION DE MURO PATIO SUR INCLUYE DEMOLICION HASTA ALTURA 0,95 MT Y CONSTRUCCION CUBIERTA DE PROTECCION DE MURO DE IGUAL DISEÑO A MURO ZONA IGLESIA</t>
  </si>
  <si>
    <t xml:space="preserve"> 1.6.3</t>
  </si>
  <si>
    <t xml:space="preserve"> MANTENIMIENTO DE ARBOLES EXISTENTES.</t>
  </si>
  <si>
    <t xml:space="preserve"> 1.6.4</t>
  </si>
  <si>
    <t xml:space="preserve"> DESMONTE DE LAVADERO EXISTENTE Y RECUPERACION PISO EN PIEDRA.</t>
  </si>
  <si>
    <t xml:space="preserve"> 1.6.5</t>
  </si>
  <si>
    <t xml:space="preserve"> DIVISIONES DE BAÑO EN VIDRIO LAMINADO 4+4 CON PELICULA INTERIOR</t>
  </si>
  <si>
    <t xml:space="preserve"> 1.6.6</t>
  </si>
  <si>
    <t>RESTAURACION DE PILETA</t>
  </si>
  <si>
    <t>UND</t>
  </si>
  <si>
    <t xml:space="preserve"> 1.6.7</t>
  </si>
  <si>
    <t>SUMINISTRO DE SANITARIO INCLUYE FLUXÓMETRO</t>
  </si>
  <si>
    <t xml:space="preserve"> 1.6.8</t>
  </si>
  <si>
    <t>SUMINISTRO DE SANITARIO PARA DISCAPACITADOS INCLUYE FLUXÓMETRO</t>
  </si>
  <si>
    <t xml:space="preserve"> 1.6.9</t>
  </si>
  <si>
    <t>SUMINISTRO DE ORINAL INCLUYE FLUXÓMETRO</t>
  </si>
  <si>
    <t xml:space="preserve"> 1.6.10</t>
  </si>
  <si>
    <t>SUMINISTRO DE LAVAMANOS INCLUYE GRIFERÍA</t>
  </si>
  <si>
    <t xml:space="preserve"> 1.6.11</t>
  </si>
  <si>
    <t>CONSTRUCCIÓN DE MESÓN EN SUPERBOARD CON ACABADO EN GRANITO NATURAL PULIDO</t>
  </si>
  <si>
    <t>ML</t>
  </si>
  <si>
    <t xml:space="preserve"> 1.6.12</t>
  </si>
  <si>
    <t>CONSTRUCCIÓN DE MURO EN SUPERBOARD A DOS CARAS</t>
  </si>
  <si>
    <t xml:space="preserve"> 1.6.13</t>
  </si>
  <si>
    <t>ENCHAPE DE BAÑOS</t>
  </si>
  <si>
    <t>VALOR TOTAL PROYECTO COSTOS DIRECTOS CASONA</t>
  </si>
  <si>
    <t xml:space="preserve">2.PRESUPUESTO TRAPICHE </t>
  </si>
  <si>
    <t>2.1</t>
  </si>
  <si>
    <t>ACTIVIDADES PRELIMINARES PARA TRABAJO ARQUEOLOGICO</t>
  </si>
  <si>
    <t>UNIDAD</t>
  </si>
  <si>
    <t>2.1.1</t>
  </si>
  <si>
    <t>LIMPIEZA DE TANQUE BAJO BOVEDA Y BAJO PLATAFORMA CON ACOMPAÑAMIENTO ARQUEOLÓGICO</t>
  </si>
  <si>
    <t>2.1.2</t>
  </si>
  <si>
    <t xml:space="preserve">LIMPIEZA DE CANAL, PARA ABRIR CIRCULACION DEL AGUA </t>
  </si>
  <si>
    <t>2.1.3</t>
  </si>
  <si>
    <t>CARGE Y RETIRO DE ESCOMBROS</t>
  </si>
  <si>
    <t>VIAJE</t>
  </si>
  <si>
    <t>2.1.4</t>
  </si>
  <si>
    <t>RETIRO DE LA TEJA ALMACENADA DENTRO DE LOS ESPACIOS INTERIORES</t>
  </si>
  <si>
    <t>GLOBAL</t>
  </si>
  <si>
    <t>2.1.5</t>
  </si>
  <si>
    <t>IMPLEMENTACIÓN DE MEDIDAD DE MANEJO ARQUEOLÓGICAS</t>
  </si>
  <si>
    <t>2.1.6</t>
  </si>
  <si>
    <t>EXCAVACIÓN ARQUEOLÓGICA EN ÁREA</t>
  </si>
  <si>
    <t>M3</t>
  </si>
  <si>
    <t>2.2</t>
  </si>
  <si>
    <t>ACTIVIDADES PRELIMINARES GENERALES</t>
  </si>
  <si>
    <t>2.2.1</t>
  </si>
  <si>
    <t>LOCALIZACION Y REPLANTEO</t>
  </si>
  <si>
    <t>2.2.2</t>
  </si>
  <si>
    <t>CONSTRUCCION DE CAMPAMENTO AREA EXTERNA A LA EDIFICACION, SOBRE PLATAFORMA DE MADERA PARA NO AFECTAR AREA</t>
  </si>
  <si>
    <t>2.2.3</t>
  </si>
  <si>
    <t>ADECUACION DE SITIO PARA ALMACENAMIENTO MATERIAL DE ADOBES, BAJO TECHO. 5X4 MTS</t>
  </si>
  <si>
    <t>2.2.4</t>
  </si>
  <si>
    <t>IMPLEMENTACIÓN DE VALLAS DE SEGURIDAD E INFORMACIÓN</t>
  </si>
  <si>
    <t>2.2.5</t>
  </si>
  <si>
    <t>MONTAJE DE TABLERO ELÉCTRICO  GENERAL  DE PROTECCIÓN .</t>
  </si>
  <si>
    <t>2.2.6</t>
  </si>
  <si>
    <t>MONTAJE DE TABLERO MÓVILES PARA CONEXIÓN DE EQUIPOS, CUMPLIENDO NORMA.</t>
  </si>
  <si>
    <t>2.2.7</t>
  </si>
  <si>
    <t>LÍNEAS DE CONEXIÓN ELÉCTRICA ENTRE TABLEROS CON CABLE ENCAUCHETADO 3X10</t>
  </si>
  <si>
    <t>2.2.8</t>
  </si>
  <si>
    <t>INSTALACIONES ELÉCTRICAS PROVISIONALES PARA CAMPAMENTO, SALIDAS DE FUERZA TOMAS 110 VOLTIOS Y SALIDAS PARA LÁMPARAS E ILUMINACIÓN CON LINEA A TIERRA.</t>
  </si>
  <si>
    <t>2.2.9</t>
  </si>
  <si>
    <t>SUMINISTRO DE TANQUE PVC 1000 LITROS CURADO DE CILINDROS</t>
  </si>
  <si>
    <t>2.2.10</t>
  </si>
  <si>
    <t>RED DE SUMINISTRO AGUA POTABLE EN MANGUERA DE POLIETILENO DE 1", SOBREPUESTA.</t>
  </si>
  <si>
    <t>GLB</t>
  </si>
  <si>
    <t>2.2.11</t>
  </si>
  <si>
    <t>PROTECCIÓN DE PISOS EXISTENTES CON APLICACIÓN  DE DESMOLDANTE, RIEGO DE CAPA DE ARENA, INSTALACIÓN DE CARTÓN INDUSTRIAL Y MORTERO 1:4 TIERRA CEMENTO.</t>
  </si>
  <si>
    <t>2.2.12</t>
  </si>
  <si>
    <t>LÍNEA DE VIDA 5/8" CERTIFICADA</t>
  </si>
  <si>
    <t>2.2.13</t>
  </si>
  <si>
    <t>ARNÉS CERTIFICADO PARA TRABAJO EN ALTURAS.</t>
  </si>
  <si>
    <t>2.2.14</t>
  </si>
  <si>
    <t>ESLINGA EN Y CON ABSORVEDOR DE IMPACTO</t>
  </si>
  <si>
    <t>2.2.15</t>
  </si>
  <si>
    <t>TIE OFF PARA AMARRES</t>
  </si>
  <si>
    <t>2.2.16</t>
  </si>
  <si>
    <t>ESLINGA DE POSICIONAMIENTO</t>
  </si>
  <si>
    <t>2.2.17</t>
  </si>
  <si>
    <t>ALQUILER ANDAMIOS PARA TRABAJOS EN ALTURA MAYOR A UN METRO CON CINCUENTA CENTÍMETROS TIPO ARTICULADOS ÁREA DE LA BASE DE 1.4X3.0 METROS</t>
  </si>
  <si>
    <t>SECCIÓN/MES</t>
  </si>
  <si>
    <t>REFORZAMIENTO ESTRUCTURAL</t>
  </si>
  <si>
    <t>2.3.1</t>
  </si>
  <si>
    <t>EXCAVACIONES CON MONITOREO ARQUEOLÓGICO , CON ZARANDEO DE MATERIAL EXCAVADO Y SUPERVISIÓN DIRECTA DE ARQUEÓLOGO</t>
  </si>
  <si>
    <t>2.3.2</t>
  </si>
  <si>
    <t>DESMONTE DE MUROS EN ADOBE AFECTADOS.</t>
  </si>
  <si>
    <t>2.3.3</t>
  </si>
  <si>
    <t>DESMONTE DE CIMIENTOS EN MAL ESTADO.</t>
  </si>
  <si>
    <t>2.3.4</t>
  </si>
  <si>
    <t>DESMONTE DE CABEZA DE CIMIENTO PARA REEMPLAZO POR VIGA DE CIMENTACIÓN EN CONCRETO.  ALTURA 0.3 MTS</t>
  </si>
  <si>
    <t>2.3.5</t>
  </si>
  <si>
    <t xml:space="preserve"> SUMINISTRO CORTE, FIGURADO Y AMARRE  DE ACERO DE REFUERZO VIGAS  EN CONCRETO</t>
  </si>
  <si>
    <t>KG</t>
  </si>
  <si>
    <t>2.3.6</t>
  </si>
  <si>
    <t xml:space="preserve"> SUMINISTRO, CORTE FIGURADO Y AMARRE DE MALLA ELECTROSOLDADA 5MM 15X15 PARA PANTALLAS DE REFUERZO DE CIMENTACIÓN MUROS DE CONSERVACIÓN </t>
  </si>
  <si>
    <t>2.3.7</t>
  </si>
  <si>
    <t xml:space="preserve">CONSTRUCCIÓN   DE MUROS EN MAMPOSTERÍA ESTRUCTURAL DE BTC BLOQUES DE TIERRA COMPRIMIDA DIMENSIONES  0,295X0,14X0,09 MTS, RESISTENCIA A COMPRESIÓN DE MÍNIMO 40 KG/CM2 CON MORTERO DE PEGA RELACIÓN  16, 4, 1 EN VOLUMEN  ARENA, CAL, CEMENTO. CARAS EN BLOQUE PERFORADO Y MASA INTERNA EN BLOQUE MACISO.    </t>
  </si>
  <si>
    <t>2.3.8</t>
  </si>
  <si>
    <t>RETIRO DE PISO EN TABLON EXISTENTE  (LEVANTAMIENTO ARQUITECTONICO DETALLADO)</t>
  </si>
  <si>
    <t>2.3.9</t>
  </si>
  <si>
    <t>SUMINISTRO E INSTALACIÓN DE BARRAS DURAGLASS FL 30X4MM TIPO SIREG O SIMILAR  PARA REFUERZO VERTICAL DE MUROS EN BTC. INCLUYE ADHITIVO EPÓXICO PARA UNIÓN.</t>
  </si>
  <si>
    <t>2.3.10</t>
  </si>
  <si>
    <t>SUMINISTRO E INSTALACIÓN DE BARRAS DURAGLASS FL 10X3MM TIPO SIREG O SIMILAR  PARA REFUERZO HORIZONTAL DE MUROS EN BTC. INCLUYE ADHITIVO EPÓXICO PARA UNIÓN.</t>
  </si>
  <si>
    <t>2.3.11</t>
  </si>
  <si>
    <t>SUMINISTRO E INSTALACIÓN DE CORDÓN SUPERANCLA GLASSPRE AR SPIKE TIPO SIREG  O SIMILAR  PARA REFUERZO HORIZONTAL DE MUROS EN BTC INCLUYE ADHITIVO EPÓXICO PARA UNIÓN. INCLUYE PERFORACIÓN 1 1/2"</t>
  </si>
  <si>
    <t>2.3.12</t>
  </si>
  <si>
    <t>RANURADO  CON MÁQUINA VERTICAL Y HORIZONTAL PARA INSTALACIÓN DE BARRAS, 8 MM DE PROFUNDIDAD PARA MUROS EXISTENTES EN ADOBE.</t>
  </si>
  <si>
    <t>2.3.13</t>
  </si>
  <si>
    <t>CONSTRUCCIÓN DE VIGAS EN CONCRETO: INTERMEDIA, CORONA DE MUROS , DINTELES DE PUERTAS Y VENTANAS.</t>
  </si>
  <si>
    <t>2.3.14</t>
  </si>
  <si>
    <t>CONSTRUCCIÓN DE VIGAS DE CIMENTACIÓN Y PANTALLAS EN CONCRETO</t>
  </si>
  <si>
    <t>2.3.15</t>
  </si>
  <si>
    <t>SUMINISTRO E INSTALACIÓN DE VARILLAS ANCLADAS PARA FIJACIÓN VIGA SOLERAS Y TIRANTES EN  VARILLA ROSCADA DE 5/8".</t>
  </si>
  <si>
    <t>2.3.16</t>
  </si>
  <si>
    <t>CIMIENTO EN CONCRETO PEDESTAL PIE DERECHO-BASE PLATAFORMA</t>
  </si>
  <si>
    <t>2.3.17</t>
  </si>
  <si>
    <t>RECONSTRUCCION DE MURO LATERAL CANAL EN PIEDRA Y LADRILLO BAJO PLATAFORMA CON MATERIAL PREVIAMENTE DESMONTADO Y REUTILIZADO CONFORMADO POR HILADAS DE PIEDRA Y RAFA DE LADRILLO.</t>
  </si>
  <si>
    <t>2.3.18</t>
  </si>
  <si>
    <t>INSTALACIÓN DE PEDESTALES PIEDERECHOS.</t>
  </si>
  <si>
    <t>2.3.19</t>
  </si>
  <si>
    <t>LLENO COMPACTADO CON MATERIAL SELECIONADO DEL SITIO.</t>
  </si>
  <si>
    <t>2.4</t>
  </si>
  <si>
    <t>CUBIERTA</t>
  </si>
  <si>
    <t>2.4.1</t>
  </si>
  <si>
    <t>CONSTRUCCION ESTRUCTURA VIGA SOLERA, TIRANTES Y CUMBRERAS</t>
  </si>
  <si>
    <t>2.4.2</t>
  </si>
  <si>
    <t>CONSTRUCCION ESTRUCTURA CUBIERTA</t>
  </si>
  <si>
    <t>2.4.3</t>
  </si>
  <si>
    <t>CONSTRUCCION PLATAFORMA PISO SOBRE CANAL</t>
  </si>
  <si>
    <t>2.4.4</t>
  </si>
  <si>
    <t>IMPERMEABILIZACION CON MEMBRANA, RESISTENTE RAYOS U.V.</t>
  </si>
  <si>
    <t>2.4.5</t>
  </si>
  <si>
    <t>CONSTRUCCION TEJA DE BARRO AMARRADA A MALLA ELECTROSOLDADA.</t>
  </si>
  <si>
    <t>2.4.6</t>
  </si>
  <si>
    <t>REPARACION DE DINTELES.</t>
  </si>
  <si>
    <t>2.4.7</t>
  </si>
  <si>
    <t>VIGAS DE CUMBRERA Y LIMATONES DE LIMAHOYAS Y LIMATESAS.</t>
  </si>
  <si>
    <t>2.4.8</t>
  </si>
  <si>
    <t>CONSTRUCCION PIE DERECHOS</t>
  </si>
  <si>
    <t>2.4.9</t>
  </si>
  <si>
    <t>CONSTRUCCION CERCHAS</t>
  </si>
  <si>
    <t>2.4.10</t>
  </si>
  <si>
    <t>MORTERO BASE IMPERMEABILIZACION</t>
  </si>
  <si>
    <t>2.4.11</t>
  </si>
  <si>
    <t>SOLAPA DE REMATE MEMBRANA</t>
  </si>
  <si>
    <t>2.4.12</t>
  </si>
  <si>
    <t>CONSTRUCCION DINTELES</t>
  </si>
  <si>
    <t>2.4.13</t>
  </si>
  <si>
    <t>CUMBRERAS Y LIMATESAS EN TEJA DE BARRO</t>
  </si>
  <si>
    <t>2.4.14</t>
  </si>
  <si>
    <t>LIMAHOYAS EN LAMINA GALVANIZADA CALIBRE 20</t>
  </si>
  <si>
    <t>2.4.15</t>
  </si>
  <si>
    <t>ENCOROZADO DE TERMINACION BORDES DE TEJA.</t>
  </si>
  <si>
    <t>2.4.16</t>
  </si>
  <si>
    <t>CONSTRUCCIÓN Y RESTAURACIÓN DE ELEMENTOS DE MADERA VIGAS SOLERAS, TIRANTES.</t>
  </si>
  <si>
    <t>PISOS</t>
  </si>
  <si>
    <t>2.5.1</t>
  </si>
  <si>
    <t>RETIRO DE PROTECCION  PRELIMINAR PISOS.</t>
  </si>
  <si>
    <t>2.5.2</t>
  </si>
  <si>
    <t>CONSOLIDACION DE PISOS EXISTENTES EN PIEDRA.</t>
  </si>
  <si>
    <t>2.5.3</t>
  </si>
  <si>
    <t>CONSOLIDACION DE PISOS EN TABLON EXISTENTES</t>
  </si>
  <si>
    <t>2.5.4</t>
  </si>
  <si>
    <t>CONSOLIDACION DE GRADAS, HUELLAS Y CONTRA HUELLAS EN CAMBIO DE NIVEL PISOS EN TABLON.</t>
  </si>
  <si>
    <t>2.5.5</t>
  </si>
  <si>
    <t>CONSTRUCCION PISO EN TABLON ZONAS DONDE DESAPARECIO.</t>
  </si>
  <si>
    <t>2.5.6</t>
  </si>
  <si>
    <t>CONSTRUCCION DE PISO EN TABLON SOBRE PLATAFORMA.</t>
  </si>
  <si>
    <t>2.5.7</t>
  </si>
  <si>
    <t>CONSTRUCCION DE PISOS EN PIEDRA Ø 6"-7"  SEGÚN DISEÑO.</t>
  </si>
  <si>
    <t>2.5.8</t>
  </si>
  <si>
    <t>CONSTRUCCION DE GRADAS, HUELLAS Y CONTRA HUELLAS EN CAMBIOS DE NIVEL.</t>
  </si>
  <si>
    <t>2.5.9</t>
  </si>
  <si>
    <t>CONFORMACION DE PISO EN TIERRA MEJORADA (TIERRA CEMENTO) ZONA HORNOS.</t>
  </si>
  <si>
    <t>2.6</t>
  </si>
  <si>
    <t>PAÑETES Y ENLUCIDOS</t>
  </si>
  <si>
    <t>2.6.1</t>
  </si>
  <si>
    <t>PAÑETES EMBOÑIGADOS</t>
  </si>
  <si>
    <t>2.6.2</t>
  </si>
  <si>
    <t>BASE EN PINTURA DE CAL MUROS</t>
  </si>
  <si>
    <t>2.6.3</t>
  </si>
  <si>
    <t>PINTURA DE CAL ACABADO MUROS.</t>
  </si>
  <si>
    <t>2.6.4</t>
  </si>
  <si>
    <t>PINTURA CAL ZOCALO</t>
  </si>
  <si>
    <t>2.6.5</t>
  </si>
  <si>
    <t>PINTURA DE CAL CIELO RASOS ENTRE ALFARDAS</t>
  </si>
  <si>
    <t>2.6.6</t>
  </si>
  <si>
    <t>ACABADO MADERA CUBIERTA A LA VISTA</t>
  </si>
  <si>
    <t>2.6.7</t>
  </si>
  <si>
    <t>RESTAURACION DE CAÑUELAS EN LADRILLO INCLUYE LAVADO, LIMPIEZA Y CAMBIO DE PIEZAS</t>
  </si>
  <si>
    <t>2.7</t>
  </si>
  <si>
    <t>PUERTAS Y VENTANAS</t>
  </si>
  <si>
    <t>2.7.1</t>
  </si>
  <si>
    <t>RESTAURACION DE VENTANAS EXISTENTES</t>
  </si>
  <si>
    <t>2.7.2</t>
  </si>
  <si>
    <t>RESTAURACION DE PUERTAS EXISTENTES TIPO T1</t>
  </si>
  <si>
    <t>2.7.3</t>
  </si>
  <si>
    <t>CONSTRUCCION DE PUERTAS TIPO T1 EN MADERA TABLA PARADA CON ACABADO.</t>
  </si>
  <si>
    <t>2.7.4</t>
  </si>
  <si>
    <t>CONSTRUCCION DE VENTANAS</t>
  </si>
  <si>
    <t>2.7.5</t>
  </si>
  <si>
    <t>PASADORES EN HIERRO PUERTAS</t>
  </si>
  <si>
    <t>2.7.6</t>
  </si>
  <si>
    <t>FALLEBAS EN HIERRO PUERTAS, CON PORTA CANDADO.</t>
  </si>
  <si>
    <t>2.7.7</t>
  </si>
  <si>
    <t>FALLEBAS Y ALDABILLAS EN HIERRO VENTANAS, CON PORTA CANDADO.</t>
  </si>
  <si>
    <t>2.7.8</t>
  </si>
  <si>
    <t>TRASLADO DE PUERTAS Y VENTANAS DE CARPINTERIA ALMACENADOS.</t>
  </si>
  <si>
    <t>2.8</t>
  </si>
  <si>
    <t>OBRAS VARIAS</t>
  </si>
  <si>
    <t>2.8.1</t>
  </si>
  <si>
    <t>ASEO DE OBRA</t>
  </si>
  <si>
    <t>MES</t>
  </si>
  <si>
    <t>2.8.2</t>
  </si>
  <si>
    <t>ASEO FINAL DE OBRA</t>
  </si>
  <si>
    <t>2.8.3</t>
  </si>
  <si>
    <t>CONSTRUCCION DE BAÑOS</t>
  </si>
  <si>
    <t>VALOR TOTAL COSTO DIRECTO TRAPICHE</t>
  </si>
  <si>
    <t>3.INSTALACIONES HIDROSANITARIAS CASONA Y TRAPICHE</t>
  </si>
  <si>
    <t>3.1</t>
  </si>
  <si>
    <t xml:space="preserve">RED DE DISTRIBUCIÓN GENERAL DE AGUA POTABLE                                                                      </t>
  </si>
  <si>
    <t>3.1.1</t>
  </si>
  <si>
    <t xml:space="preserve">               SUMINISTRO E INSTALACIÓN PVC-P 1/2" INC. ACCESORIOS Y SOPORTES             </t>
  </si>
  <si>
    <t xml:space="preserve">ML   </t>
  </si>
  <si>
    <t>3.1.2</t>
  </si>
  <si>
    <t xml:space="preserve">               SUMINISTRO E INSTALACIÓN PVC-P 3/4" INC. ACCESORIOS Y SOPORTES</t>
  </si>
  <si>
    <t>3.1.3</t>
  </si>
  <si>
    <t xml:space="preserve">               SUMINISTRO E INSTALACIÓN PVC-P 1" INC. ACCESORIOS Y SOPORTES</t>
  </si>
  <si>
    <t>3.1.4</t>
  </si>
  <si>
    <t xml:space="preserve">               SUMINISTRO E INSTALACIÓN PVC-P 1 1/4" INC. ACCESORIOS Y SOPORTES</t>
  </si>
  <si>
    <t>3.1.5</t>
  </si>
  <si>
    <t xml:space="preserve">               SUMINISTRO E INSTALACIÓN PVC-P 1 1/2" INC. ACCESORIOS Y SOPORTES</t>
  </si>
  <si>
    <t>3.1.6</t>
  </si>
  <si>
    <t xml:space="preserve">               SUMINISTRO E INSTALACIÓN PVC-P 2" INC. ACCESORIOS Y SOPORTES</t>
  </si>
  <si>
    <t>3.1.7</t>
  </si>
  <si>
    <t xml:space="preserve">               SUM E INST. REGISTRO BOLA P/D ROSCAR 1/2"              </t>
  </si>
  <si>
    <t xml:space="preserve">UN   </t>
  </si>
  <si>
    <t>3.1.8</t>
  </si>
  <si>
    <t xml:space="preserve">               SUM E INST. REGISTRO CORTINA ROSCAR 1"             </t>
  </si>
  <si>
    <t>3.1.9</t>
  </si>
  <si>
    <t xml:space="preserve">               SUM E INST. REGISTRO CORTINA ROSCAR 1 1/4"             </t>
  </si>
  <si>
    <t>3.1.10</t>
  </si>
  <si>
    <t xml:space="preserve">               PUNTO HIDRÁULICO PVC-P 1/2"                            </t>
  </si>
  <si>
    <t>3.1.11</t>
  </si>
  <si>
    <t xml:space="preserve">               PUNTO HIDRÁULICO PVC-P 3/4"                            </t>
  </si>
  <si>
    <t>3.1.12</t>
  </si>
  <si>
    <t xml:space="preserve">               PUNTO HIDRÁULICO PVC-P 1"                            </t>
  </si>
  <si>
    <t>3.2</t>
  </si>
  <si>
    <t>REDES DESAGÜES AGUAS RESIDUALES Y AGUAS LLUVIAS</t>
  </si>
  <si>
    <t>3.2.1</t>
  </si>
  <si>
    <t xml:space="preserve">               SUMINISTRO E INSTALACIÓN PVC-S 2" INC. ACCESORIOS Y SOPORTES</t>
  </si>
  <si>
    <t>3.2.2</t>
  </si>
  <si>
    <t xml:space="preserve">               SUMINISTRO E INSTALACIÓN PVC-S 3" INC. ACCESORIOS Y SOPORTES                      </t>
  </si>
  <si>
    <t>3.2.3</t>
  </si>
  <si>
    <t xml:space="preserve">               SUMINISTRO E INSTALACIÓN PVC-S 4" INC. ACCESORIOS Y SOPORTES                      </t>
  </si>
  <si>
    <t>3.2.4</t>
  </si>
  <si>
    <t xml:space="preserve">               SUMINISTRO E INSTALACIÓN PVC-P 3" DESCARGA BOMBAS EYECTORAS</t>
  </si>
  <si>
    <t>3.2.5</t>
  </si>
  <si>
    <t xml:space="preserve">               SUMINISTRO E INSTALACIÓN PVC-L 2" INC. ACCESORIOS Y SOPORTES </t>
  </si>
  <si>
    <t>3.2.6</t>
  </si>
  <si>
    <t xml:space="preserve">               SUMINISTRO E INSTALACIÓN PVC-ALC 160mm                  </t>
  </si>
  <si>
    <t>3.2.7</t>
  </si>
  <si>
    <t xml:space="preserve">               SUMINISTRO E INSTALACIÓN VÁLVULA DE TOMA DE AIRE TIPO SIPHON</t>
  </si>
  <si>
    <t>3.2.8</t>
  </si>
  <si>
    <t xml:space="preserve">               SUMINISTRO E INSTALACIÓN PVC-ALC 110mm                  </t>
  </si>
  <si>
    <t>3.2.9</t>
  </si>
  <si>
    <t xml:space="preserve">               SALIDA SANITARIA SIFÓN DE PISO 4"  INCLUYE SIFÓN              </t>
  </si>
  <si>
    <t>3.3</t>
  </si>
  <si>
    <t>SALIDAS SANITARIAS</t>
  </si>
  <si>
    <t>3.3.1</t>
  </si>
  <si>
    <t xml:space="preserve">               SALIDA SANITARIA LAVAMANOS 2"                                 </t>
  </si>
  <si>
    <t>3.3.2</t>
  </si>
  <si>
    <t xml:space="preserve">               SALIDA SANITARIA ORINAL 2"                                </t>
  </si>
  <si>
    <t>3.3.3</t>
  </si>
  <si>
    <t xml:space="preserve">               SALIDA SANITARIA LAVAPLATOS - POSETA 2"                         </t>
  </si>
  <si>
    <t>3.3.4</t>
  </si>
  <si>
    <t xml:space="preserve">               SALIDA SANITARIA SIFÓN DE PISO 3" INCLUYE SIFÓN                </t>
  </si>
  <si>
    <t>3.3.5</t>
  </si>
  <si>
    <t xml:space="preserve">               SALIDA SANITARIA WC 4"                                 </t>
  </si>
  <si>
    <t>3.4</t>
  </si>
  <si>
    <t xml:space="preserve">CUARTOS DE BOMBAS                                                                                                  </t>
  </si>
  <si>
    <t>3.4.1</t>
  </si>
  <si>
    <t>SUMINISTRO EQUIPO DE BOMBEO AGUA POTABLE  INCLUYE ACOPLES Y ACCESORIOS. (2 BOMBAS E HYDROFLO). Potencia 2.0HP.</t>
  </si>
  <si>
    <t xml:space="preserve">GL   </t>
  </si>
  <si>
    <t>3.4.2</t>
  </si>
  <si>
    <t>SUMINISTRO EQUIPO DE BOMBEO SUMERGIBLE CUARTO DE BOMBAS (2 BOMBAS), Potencia 2.0HP.</t>
  </si>
  <si>
    <t>3.4.3</t>
  </si>
  <si>
    <t>SUMINISTRO E INSTALACIÓN VÁLVULA FLOTADOR LLENADO TANQUE 3/4"</t>
  </si>
  <si>
    <t>3.4.4</t>
  </si>
  <si>
    <t xml:space="preserve">MONTAJE EQUIPO DE BOMBEO AGUA POTABLE        </t>
  </si>
  <si>
    <t>3.4.5</t>
  </si>
  <si>
    <t>MONTAJE EQUIPO DE BOMBEO SUMERGIBLE CUARTO DE BOMBAS</t>
  </si>
  <si>
    <t>3.4.6</t>
  </si>
  <si>
    <t xml:space="preserve">PTAR BT-8 TRAPICHE, MONTAJE Y PUESTA EN MARCHA                                       </t>
  </si>
  <si>
    <t>3.5</t>
  </si>
  <si>
    <t xml:space="preserve">MONTAJE DE APARATOS SANITARIOS  Y OTROS                                                                                      </t>
  </si>
  <si>
    <t>3.5.1</t>
  </si>
  <si>
    <t xml:space="preserve">MONTAJE SANITARIOS                                     </t>
  </si>
  <si>
    <t>3.5.2</t>
  </si>
  <si>
    <t xml:space="preserve">MONTAJE ORINALES                                       </t>
  </si>
  <si>
    <t>3.5.3</t>
  </si>
  <si>
    <t xml:space="preserve">MONTAJE LAVAMANOS                                      </t>
  </si>
  <si>
    <t>3.5.4</t>
  </si>
  <si>
    <t xml:space="preserve">MONTAJE PUNTO DE ASEO - LLAVE MANGUERA                               </t>
  </si>
  <si>
    <t>3.5.5</t>
  </si>
  <si>
    <t>MONTAJE LAVAPLATOS - POSETA</t>
  </si>
  <si>
    <t>3.5.6</t>
  </si>
  <si>
    <t>SUMINISTRO EXTINTOR MULTIPROPÓSITO 20LB</t>
  </si>
  <si>
    <t>3.6</t>
  </si>
  <si>
    <t xml:space="preserve">OBRA CIVIL                                                                                                    </t>
  </si>
  <si>
    <t>3.6.1</t>
  </si>
  <si>
    <t>TANQUES Y CUARTO DE BOMBAS EN CONCRETO REFORZADO</t>
  </si>
  <si>
    <t xml:space="preserve">M3   </t>
  </si>
  <si>
    <t>3.6.2</t>
  </si>
  <si>
    <t>EXCAVACIÓN MECÁNICA PARA CONSTRUCCIÓN TANQUE</t>
  </si>
  <si>
    <t>3.6.3</t>
  </si>
  <si>
    <t xml:space="preserve">EXCAVACIÓN MANUAL EN ZANJA INCLUYE CARGUE, TRASIEGO Y RETIRO             </t>
  </si>
  <si>
    <t>3.6.4</t>
  </si>
  <si>
    <t xml:space="preserve">RELLENO EN RECEBO COMÚN INCLUYE COMPACTACIÓN           </t>
  </si>
  <si>
    <t>3.6.5</t>
  </si>
  <si>
    <t xml:space="preserve">RELLENO EN ARENA DE PEÑA                                                                                 </t>
  </si>
  <si>
    <t>3.6.6</t>
  </si>
  <si>
    <t xml:space="preserve">CAJA DE INSPECCIÓN 60X60 H mäx:1.0m, Incluye excavación.                    </t>
  </si>
  <si>
    <t>TOTAL INSTALACIONES HIDROSANITARIOS CASONA Y TRAPICHE</t>
  </si>
  <si>
    <t xml:space="preserve"> 4.INSTALACIONES ELECTRICAS CASONA Y TRAPICHE</t>
  </si>
  <si>
    <t>4.1</t>
  </si>
  <si>
    <t>SUB ESTACION PROVISIONAL TRAPICHE Y CASONA</t>
  </si>
  <si>
    <t xml:space="preserve">CANTIDAD </t>
  </si>
  <si>
    <t>4.1.1</t>
  </si>
  <si>
    <t xml:space="preserve"> RED  ELECTRICA DE 13,2 KV AEREA EN CABLE ECOLOGICO 3NO1/0</t>
  </si>
  <si>
    <t>4.1.2</t>
  </si>
  <si>
    <t xml:space="preserve"> AFLORAMIENTO EN TUBO CONDUIT  IMC DE 4", BOTA PREMOLDEADA Y TERMINALES PREMOLDEADOS TQ3 TIPO EXTERIOR.</t>
  </si>
  <si>
    <t>4.1.3</t>
  </si>
  <si>
    <t xml:space="preserve"> SUMINISTRO E INSTALACION DE MEDIDOR ELECTRONICO DE ENERGIA CON MEDICION SEMI-DIRECTA DE 200/5</t>
  </si>
  <si>
    <t>4.2</t>
  </si>
  <si>
    <t xml:space="preserve"> ACOMETIDAS ELECTRICAS</t>
  </si>
  <si>
    <t>4.2.1</t>
  </si>
  <si>
    <t xml:space="preserve"> ALIMENTACION DEL BY PASS DEL TABLERO REGULADO (TR) EN CABLE DE COBRE 3No.8(F) +1No8(T) EN TUBERIA CONDUIT PVC DE 1". DESDE EL  TABLERO AUXILIAR UBICACO EN EL CUARTO DE CONTROL.</t>
  </si>
  <si>
    <t>4.2.2</t>
  </si>
  <si>
    <t xml:space="preserve"> ALIMENTACION DE LA BOMBA DE AGUAS LLUVIAS EN CABLE DE COBRE 4No10(F) +1No10(T) EN TUBERIA CONDUIT PVC DE 3/4". DESDE EL TABLERO GENERAL BAJA TENSION A CUARTO DE MAQUINAS</t>
  </si>
  <si>
    <t>4.2.3</t>
  </si>
  <si>
    <t xml:space="preserve"> ALIMENTACION DE LA BOMBA DE AGUA POTABLE EN CABLE DE COBRE 4No10(F) +1No10(T) EN TUBERIA CONDUIT PVC DE 3/4". DESDE EL TABLERO GENERAL BAJA TENSION A CUARTO DE MAQUINAS</t>
  </si>
  <si>
    <t>4.2.4</t>
  </si>
  <si>
    <t xml:space="preserve"> ALIMENTACION DEL TABLERO DEL TRAPICHE (TTRPCH) EN CABLE DE COBRE 4No2(F) +1No8(T) EN TUBERIA CONDUIT PVC DE 2". DESDE TABLERO GENERAL BAJA TENSION A CUARTO DE MAQUINAS</t>
  </si>
  <si>
    <t>4.3</t>
  </si>
  <si>
    <t xml:space="preserve"> TABLEROS AUXILIARES Y PROTECCIONES</t>
  </si>
  <si>
    <t>4.3.1</t>
  </si>
  <si>
    <t xml:space="preserve"> SUMINISTRO E INSTALACION TABLERO 3Ø TRIFÁSICO, 5H 18 CIRCUITOS, CON ESPACIO PARA TOTALIZADOR Y PUERTA, INCLUYE TOTALIZADOR Y SUS PROTECCIONES PARA EL TABLERO AUXILIAR (TAUX) (VER DIAGRAMA UNIFILAR). UBICADO EN EL CUARTO DE CONTROL.</t>
  </si>
  <si>
    <t>4.3.2</t>
  </si>
  <si>
    <t xml:space="preserve"> SUMINISTRO E INSTALACION DEL TABLERO 3Ø TRIFÁSICO, 5H 42 CIRCUITOS, CON PUERTA Y ESPACIO PARA TOTALIZADOR, INCLUYE  EL TOTALIZADOR Y SUS PROTECCIONES. PARA EL SISTEMA DE ILUMINACION (TILUM)  (VER DIAGRAMA UNIFILAR). UBICADO EN EL CUARTO DE CONTROL.</t>
  </si>
  <si>
    <t>4.3.3</t>
  </si>
  <si>
    <t xml:space="preserve"> BY PASS PARA TABLERO REGULADO (TR). (INCLUYE CAJA METÁLICA 80x60x25CM, BARRAJE LEGRAND DE 60A, MINIBREAKER 2x40A, 6KA, LLAVE BRETER 53A, CABLEADO (DE ENTRADA Y SALIDA DE UPS A BYPASS) EN CABLE NO 12 THHN, DPS DE 80 KA, Y PROTECCIONES PARA CADA UNO DE LOS CIRCUITOS (VER DIAGRAMA UNIFILAR). UBICADO EN EL CUARTO DE CONTROL.</t>
  </si>
  <si>
    <t>4.3.4</t>
  </si>
  <si>
    <t xml:space="preserve"> SUMINISTRO E INSTALACION DE CLAVIJA  DE 63A  Y CABLE VEHICULAR 4NO 8 DE 4 METROS DE LONGITUD PARA CONEXION DE UPS A BYPASS</t>
  </si>
  <si>
    <t>4.3.5</t>
  </si>
  <si>
    <t xml:space="preserve"> SUMINISTRO E INSTALACION DE TOTALIZADORES PARA EL TABLERO DE CONTROL DE MOTOBOMBAS (VER DIAGRAMA UNIFILAR). UBICADO EN EL CUARTO DE MAQUINAS.</t>
  </si>
  <si>
    <t>4.4</t>
  </si>
  <si>
    <t xml:space="preserve"> SALIDAS DE ILUMINACION Y TOMACORRIENTES</t>
  </si>
  <si>
    <t>4.4.1</t>
  </si>
  <si>
    <t>SALIDAS DE ILUMINACION EN ALAMBRE DE COBRE 3NO12  EN TUBERIA CONDUIT EMT DE 3/4".</t>
  </si>
  <si>
    <t>4.4.2</t>
  </si>
  <si>
    <t xml:space="preserve"> SALIDA INTERRUPTOR SENCILLO BLANCO, EN ALAMBRE DE COBRE 3NO.12, EN TUBO EMT DE  3/4".</t>
  </si>
  <si>
    <t>4.4.3</t>
  </si>
  <si>
    <t xml:space="preserve"> SALIDA INTERRUPTOR DOBLE BLANCO, EN ALAMBRE DE COBRE 3NO.12, EN EMT DE 3/4".</t>
  </si>
  <si>
    <t>4.4.4</t>
  </si>
  <si>
    <t xml:space="preserve"> SALIDA SENSOR DE ILUMINACION, EN ALAMBRE DE COBRE NO.12, EN TUBO EMT DE 3/4".</t>
  </si>
  <si>
    <t>4.4.5</t>
  </si>
  <si>
    <t xml:space="preserve"> SALIDA TOMACORRIENTE DOBLE, POLO A TIERRA,  EN ALAMBRE COBRE 3NO.12 Y TUBERÍA PVC DE 3/4".</t>
  </si>
  <si>
    <t>4.4.6</t>
  </si>
  <si>
    <t xml:space="preserve"> SALIDA TOMACORRIENTE DOBLE, POLO A TIERRA AISLADA (SISTEMA REGULADO),  EN ALAMBRE COBRE 3NO.12 Y TUBERÍA EMT DE 3/4".</t>
  </si>
  <si>
    <t>4.4.7</t>
  </si>
  <si>
    <t xml:space="preserve"> SUMINISTRO E INSTALACION DE TOMA TRIFASICO UBICADO EN EL SALON DEL TRAPICHE</t>
  </si>
  <si>
    <t>4.5</t>
  </si>
  <si>
    <t>AUTOMATIZACION  PLANTA DE EMERGENCIA Y TRANSFERENCIA AUTOMÃTICA</t>
  </si>
  <si>
    <t>4.5.1</t>
  </si>
  <si>
    <t xml:space="preserve"> UPS ON LINE BIFÁSICA DE 7 KVA/8 KW, RANGO VOLTAJE DE ENTRADA DESDE 160 HASTA 280 VOLTIOS  (F-F), VOLTAJE DE SALIDA NOMINAL 120 VOLTIOS (F-N) 208 (F-F), FACTOR DE POTENCIA DE SALIDA 0,8, INCLUYE TRANSFORMADOR DE AISLAMIENTO ORIGINAL DE FÁBRICA Y TARJETA DE RED WEB/SNMP, AUTONOMÍA DE 13 MINUTOS AL 50% DE CARGA, GARANTÍA DE DOS AÑOS POR DEFECTO DE FÁBRICA (VER ESPECIFICACIONES)</t>
  </si>
  <si>
    <t>4.5.2</t>
  </si>
  <si>
    <t xml:space="preserve"> PLANTA ELECTRICA  DE 35KW/44KVA NOMINALES (STANDBY) MODELO C35D6, INCLUYE FILTROS, PRECALENTADOR DE CAMISAS, BREAKER ORIGINAL DE FABRICA, FLEXIBLE Y ACOPLES PARA EL SISTEMA DE ESCAPE, TANQUE EN LA BASE DE 55 LITROS. CABINA ANTIRRUIDO ORIGINAL DE FABRICA. 220 V, TUBERIA DE ESCAPE DE GASES Y MONTAJE FISICO.</t>
  </si>
  <si>
    <t>4.5.3</t>
  </si>
  <si>
    <t xml:space="preserve"> ADECUACION ELECTRICA PLANTA DE EMERGENCIA</t>
  </si>
  <si>
    <t>4.5.4</t>
  </si>
  <si>
    <t xml:space="preserve"> ADECUACION ELECTRICA DEL TABLERO GENERAL TG A TRANSFERENCIA</t>
  </si>
  <si>
    <t>4.6</t>
  </si>
  <si>
    <t xml:space="preserve"> SISTEMA DE PUESTA A TIERRA Y APANTALLAMIENTO</t>
  </si>
  <si>
    <t>4.6.1</t>
  </si>
  <si>
    <t xml:space="preserve"> SISTEMA DE PUESTA A TIERRA DE SUBESTACIÓN, DE EQUIPOS Y ATERRIZAJE ESTRUCTURA EN CABLE DESNUDO DE COBRE NO.2/0, VARILLAS DE COBRE Ø5/8"X2.4 M, SOLDADURA EXOTÉRMICA DE 90 GRAMOS Y FAVIGEL DE 25 KILOS POR PTO. (VER DISEÑO). SE INCLUYE EL BARRAJE PARA ATERRIZAJE DE EQUIPOS EN SUBESTACIÓN</t>
  </si>
  <si>
    <t>4.6.2</t>
  </si>
  <si>
    <t xml:space="preserve"> SISTEMA DE APANTALLAMIENTO (PROTECCION CONTRA DESCARGAS ATMOSFERICAS)</t>
  </si>
  <si>
    <t>4.7</t>
  </si>
  <si>
    <t xml:space="preserve"> OBRA CIVIL ELECTRICA: CAJAS DE PASO Y CANALIZACIONES</t>
  </si>
  <si>
    <t>4.7.1</t>
  </si>
  <si>
    <t xml:space="preserve"> CAJA DE INSPECCION ELECTRICA PRIMARIA DE 1.5X1.5X1.5 MTS</t>
  </si>
  <si>
    <t>4.7.2</t>
  </si>
  <si>
    <t xml:space="preserve"> CÁMARA EN CONCRETO 0,80X0,80X0,80 M LIBRE CON TAPA EN CONCRETO CON MARCO EN ÁNGULO.</t>
  </si>
  <si>
    <t>4.7.3</t>
  </si>
  <si>
    <t>CÁMARA EN CONCRETO 60X60X60 CM LIBRE, CON TAPA EN CONCRETO CON MARCO EN ÁNGULO.</t>
  </si>
  <si>
    <t>4.7.4</t>
  </si>
  <si>
    <t xml:space="preserve"> CÁMARA EN CONCRETO 30X30X30 CM LIBRE, CON TAPA EN CONCRETO CON MARCO EN ÁNGULO. PARA INSPECCIÓN DE SPT.</t>
  </si>
  <si>
    <t>4.7.5</t>
  </si>
  <si>
    <t xml:space="preserve"> EXCAVACIÓN BRECHA PARA INSTALACIÓN DE DOS TUBOS DE 2" DE SUBESTACION A TRAPICHE</t>
  </si>
  <si>
    <t>4.8</t>
  </si>
  <si>
    <t xml:space="preserve"> GESTIONES ANTE LA EMPRESA DE ENERGIA</t>
  </si>
  <si>
    <t>4.8.1</t>
  </si>
  <si>
    <t xml:space="preserve"> GESTIONES ANTE LA  EMPRESA DE ENERGÍA</t>
  </si>
  <si>
    <t>4.8.2</t>
  </si>
  <si>
    <t xml:space="preserve"> CORTE Y ENERGIZACIÓN OBRA ELÉCTRICA</t>
  </si>
  <si>
    <t>4.8.3</t>
  </si>
  <si>
    <t xml:space="preserve"> CERTIFICACIÓN DE LA OBRA</t>
  </si>
  <si>
    <t xml:space="preserve">TOTAL COSTO DIRECTO INSTALACIONES ELECTRICAS CASONA Y TRAPICHE </t>
  </si>
  <si>
    <t>5.SISTEMA DE ILUMINACION CASONA Y TRAPICHE</t>
  </si>
  <si>
    <t>5.1</t>
  </si>
  <si>
    <t xml:space="preserve"> SISTEMA DE ILUMINACION TRAPICHE</t>
  </si>
  <si>
    <t>5.1.1</t>
  </si>
  <si>
    <t xml:space="preserve"> TABLEROS DE CONTROL DE ILUMINACIÓN Y ACCESORIOS  DE INSTALACION LUMINARIAS DEL EDIFICIO DEL TRAPICHE</t>
  </si>
  <si>
    <t xml:space="preserve"> UD</t>
  </si>
  <si>
    <t>5.1.2</t>
  </si>
  <si>
    <t xml:space="preserve"> LUMINARIA 1T3945-100-1XLED-WW-19W-PUR PRJ ADJ LED DE 22W (MWFL) 3000K PLASTER WHITE. TIPO 5</t>
  </si>
  <si>
    <t>5.1.3</t>
  </si>
  <si>
    <t xml:space="preserve"> LUMINARIA 1T3943-100-1XLED-WW-19W-PUR PRJ ADJ LED DE 22W (FL) 3000K PLASTER WHITE. TIPO 4</t>
  </si>
  <si>
    <t>5.1.4</t>
  </si>
  <si>
    <t xml:space="preserve"> RIEL EUROSTANDARD DE 0.5M F+N+T3</t>
  </si>
  <si>
    <t>5.1.5</t>
  </si>
  <si>
    <t xml:space="preserve"> LUMINARIA TIPO PANEL LED DE 30X1.20M, 54W.3000K. SC. TIPO 2</t>
  </si>
  <si>
    <t>5.1.6</t>
  </si>
  <si>
    <t xml:space="preserve"> LUMINARIA TIPO INDUSTRIAL CON BOMBILLA PAR 30 LED, 3000K. TIPO 3</t>
  </si>
  <si>
    <t>5.1.7</t>
  </si>
  <si>
    <t xml:space="preserve"> LUMINARIA DE EMERGENCIA 2X5W LED</t>
  </si>
  <si>
    <t>5.1.8</t>
  </si>
  <si>
    <t xml:space="preserve"> AVISO DE SALIDA LUMINOSO 5W</t>
  </si>
  <si>
    <t>5.2</t>
  </si>
  <si>
    <t xml:space="preserve"> SISTEMAS DE ILUMINACION CASONA</t>
  </si>
  <si>
    <t>5.2.1</t>
  </si>
  <si>
    <t xml:space="preserve"> TABLEROS DE CONTROL DE ILUMINACIÓN Y ACCESORIOS  DE INSTALACION LUMINARIAS DEL EDIFICIO</t>
  </si>
  <si>
    <t>5.2.2</t>
  </si>
  <si>
    <t xml:space="preserve"> LUMINARIA 1T3945-100-1XLED-WW-19W-PUR PRJ ADJ LED DE 22W (MWFL) 3000K PLASTER WHITE. TIPO 3</t>
  </si>
  <si>
    <t>5.2.3</t>
  </si>
  <si>
    <t xml:space="preserve"> LUMINARIA 1T3943-100-1XLED-WW-19W-PUR PRJ ADJ LED DE 22W (FL) 3000K PLASTER WHITE. TIPO 2</t>
  </si>
  <si>
    <t>5.2.4</t>
  </si>
  <si>
    <t>5.2.5</t>
  </si>
  <si>
    <t xml:space="preserve"> RIEL EUROSTANDARD DE 2M F+N+T</t>
  </si>
  <si>
    <t>5.2.6</t>
  </si>
  <si>
    <t xml:space="preserve"> RIEL EUROSTANDARD DE 3M F+N+T</t>
  </si>
  <si>
    <t>5.2.7</t>
  </si>
  <si>
    <t xml:space="preserve"> LUMINARIA EASY PRO LED DE 2.4M, 8X9W 8800 LM VB. TIPO 4</t>
  </si>
  <si>
    <t>5.2.8</t>
  </si>
  <si>
    <t xml:space="preserve"> LUMINARIA EASY PRO LED DE 3.6M, 12X9W 13200 LM VB. TIPO 5</t>
  </si>
  <si>
    <t>5.2.9</t>
  </si>
  <si>
    <t xml:space="preserve"> CHASIS EASY PRO LED CON ACRILICO, SIN ACCESORIOS</t>
  </si>
  <si>
    <t>5.2.10</t>
  </si>
  <si>
    <t xml:space="preserve"> LUMINARIA ANTIHUMEDAD ALHAMA DE 1X54W,T5. TIPO 6</t>
  </si>
  <si>
    <t>5.2.11</t>
  </si>
  <si>
    <t xml:space="preserve"> LUMINARIA ANTIHUMEDAD ALHAMA DE 2X54W,T5. TIPO 7</t>
  </si>
  <si>
    <t>5.2.12</t>
  </si>
  <si>
    <t xml:space="preserve"> LUMINARIATIPO BALA AQUALED DE 2.8W 120V 3000K. TIPO 8</t>
  </si>
  <si>
    <t>5.2.13</t>
  </si>
  <si>
    <t>5.2.14</t>
  </si>
  <si>
    <t>5.2.15</t>
  </si>
  <si>
    <t xml:space="preserve"> BALASTOS LUMINARIAS DE EMERGENCIA 2X54W</t>
  </si>
  <si>
    <t>TOTAL COSTOS DIRECTOS ILUMINACION TRAPICHE CASONA</t>
  </si>
  <si>
    <t>TOTAL COSTOS DIRECTOS CASONA Y TRAPICHE</t>
  </si>
  <si>
    <t>SUBTOTAL ADMINISTRACIÓN</t>
  </si>
  <si>
    <t xml:space="preserve">IMPREVISTOS </t>
  </si>
  <si>
    <t>UTILIDAD</t>
  </si>
  <si>
    <t>TOTAL AIU</t>
  </si>
  <si>
    <t>VALOR TOTAL CONTRATO SIN IVA</t>
  </si>
  <si>
    <t>VALOR IVA</t>
  </si>
  <si>
    <t>VALOR TOTAL CONTRATO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</si>
</sst>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 #,##0.00_);_(&quot;$&quot;\ * \(#,##0.00\);_(&quot;$&quot;\ * &quot;-&quot;??_);_(@_)"/>
    <numFmt numFmtId="43" formatCode="_(* #,##0.00_);_(* \(#,##0.00\);_(* &quot;-&quot;??_);_(@_)"/>
    <numFmt numFmtId="164" formatCode="_(* #,##0_);_(* \(#,##0\);_(* &quot;-&quot;??_);_(@_)"/>
    <numFmt numFmtId="165" formatCode="yyyy\-mm\-dd;@"/>
    <numFmt numFmtId="166" formatCode="&quot;$&quot;\ #,##0.00"/>
    <numFmt numFmtId="167" formatCode="&quot;$&quot;#,##0;[Red]&quot;$&quot;#,##0"/>
    <numFmt numFmtId="168" formatCode="&quot;$&quot;#,##0.00;[Red]&quot;$&quot;#,##0.00"/>
    <numFmt numFmtId="169" formatCode="_-&quot;$&quot;\ * #,##0.00_-;\-&quot;$&quot;\ * #,##0.00_-;_-&quot;$&quot;\ * &quot;-&quot;??_-;_-@_-"/>
    <numFmt numFmtId="170" formatCode="###,###.00"/>
    <numFmt numFmtId="171" formatCode="_-&quot;$&quot;* #,##0.00_-;\-&quot;$&quot;* #,##0.00_-;_-&quot;$&quot;* &quot;-&quot;??_-;_-@_-"/>
  </numFmts>
  <fonts count="23" x14ac:knownFonts="1">
    <font>
      <sz val="11"/>
      <color theme="1"/>
      <name val="Calibri"/>
      <family val="2"/>
      <scheme val="minor"/>
    </font>
    <font>
      <sz val="11"/>
      <color theme="1"/>
      <name val="Calibri"/>
      <family val="2"/>
      <scheme val="minor"/>
    </font>
    <font>
      <sz val="8"/>
      <color indexed="8"/>
      <name val="Arial"/>
      <family val="2"/>
    </font>
    <font>
      <b/>
      <sz val="10"/>
      <color theme="1"/>
      <name val="Arial Narrow"/>
      <family val="2"/>
    </font>
    <font>
      <b/>
      <sz val="10"/>
      <color indexed="10"/>
      <name val="Arial Narrow"/>
      <family val="2"/>
    </font>
    <font>
      <b/>
      <sz val="10"/>
      <color indexed="8"/>
      <name val="Arial Narrow"/>
      <family val="2"/>
    </font>
    <font>
      <b/>
      <sz val="8"/>
      <color indexed="8"/>
      <name val="Arial"/>
      <family val="2"/>
    </font>
    <font>
      <b/>
      <sz val="12"/>
      <color indexed="8"/>
      <name val="Arial Narrow"/>
      <family val="2"/>
    </font>
    <font>
      <sz val="10"/>
      <color indexed="8"/>
      <name val="Arial"/>
      <family val="2"/>
    </font>
    <font>
      <sz val="11"/>
      <color rgb="FF000000"/>
      <name val="Arial Narrow"/>
      <family val="2"/>
    </font>
    <font>
      <b/>
      <sz val="7"/>
      <color rgb="FF000000"/>
      <name val="Arial Narrow"/>
      <family val="2"/>
    </font>
    <font>
      <b/>
      <sz val="7"/>
      <color theme="1"/>
      <name val="Arial Narrow"/>
      <family val="2"/>
    </font>
    <font>
      <sz val="7"/>
      <color rgb="FF000000"/>
      <name val="Arial Narrow"/>
      <family val="2"/>
    </font>
    <font>
      <sz val="7"/>
      <color indexed="8"/>
      <name val="Arial Narrow"/>
      <family val="2"/>
    </font>
    <font>
      <sz val="7"/>
      <color theme="1"/>
      <name val="Arial Narrow"/>
      <family val="2"/>
    </font>
    <font>
      <b/>
      <sz val="7"/>
      <color indexed="8"/>
      <name val="Arial Narrow"/>
      <family val="2"/>
    </font>
    <font>
      <b/>
      <sz val="8"/>
      <color theme="1"/>
      <name val="Arial Narrow"/>
      <family val="2"/>
    </font>
    <font>
      <sz val="7"/>
      <color theme="1"/>
      <name val="Calibri"/>
      <family val="2"/>
      <scheme val="minor"/>
    </font>
    <font>
      <sz val="7"/>
      <name val="Arial Narrow"/>
      <family val="2"/>
    </font>
    <font>
      <b/>
      <sz val="9"/>
      <color rgb="FF000000"/>
      <name val="Calibri"/>
      <family val="2"/>
    </font>
    <font>
      <sz val="9"/>
      <color rgb="FF000000"/>
      <name val="Calibri"/>
      <family val="2"/>
    </font>
    <font>
      <b/>
      <sz val="7"/>
      <color rgb="FFFF0000"/>
      <name val="Arial Narrow"/>
      <family val="2"/>
    </font>
    <font>
      <b/>
      <sz val="7"/>
      <name val="Arial Narrow"/>
      <family val="2"/>
    </font>
  </fonts>
  <fills count="18">
    <fill>
      <patternFill patternType="none"/>
    </fill>
    <fill>
      <patternFill patternType="gray125"/>
    </fill>
    <fill>
      <patternFill patternType="solid">
        <fgColor rgb="FFC6E0B4"/>
        <bgColor rgb="FF000000"/>
      </patternFill>
    </fill>
    <fill>
      <patternFill patternType="solid">
        <fgColor rgb="FFE7E6E6"/>
        <bgColor rgb="FF000000"/>
      </patternFill>
    </fill>
    <fill>
      <patternFill patternType="solid">
        <fgColor theme="6" tint="0.79998168889431442"/>
        <bgColor indexed="64"/>
      </patternFill>
    </fill>
    <fill>
      <patternFill patternType="solid">
        <fgColor theme="2"/>
        <bgColor indexed="64"/>
      </patternFill>
    </fill>
    <fill>
      <patternFill patternType="solid">
        <fgColor theme="6" tint="0.59999389629810485"/>
        <bgColor indexed="64"/>
      </patternFill>
    </fill>
    <fill>
      <patternFill patternType="solid">
        <fgColor theme="0"/>
        <bgColor rgb="FF000000"/>
      </patternFill>
    </fill>
    <fill>
      <patternFill patternType="solid">
        <fgColor theme="9" tint="0.59999389629810485"/>
        <bgColor rgb="FF000000"/>
      </patternFill>
    </fill>
    <fill>
      <patternFill patternType="solid">
        <fgColor theme="0" tint="-0.14999847407452621"/>
        <bgColor indexed="64"/>
      </patternFill>
    </fill>
    <fill>
      <patternFill patternType="solid">
        <fgColor rgb="FFD9D9D9"/>
        <bgColor rgb="FF000000"/>
      </patternFill>
    </fill>
    <fill>
      <patternFill patternType="solid">
        <fgColor theme="0"/>
        <bgColor indexed="64"/>
      </patternFill>
    </fill>
    <fill>
      <patternFill patternType="solid">
        <fgColor rgb="FFE2EFDA"/>
        <bgColor rgb="FF000000"/>
      </patternFill>
    </fill>
    <fill>
      <patternFill patternType="solid">
        <fgColor rgb="FFFFFFFF"/>
        <bgColor rgb="FF000000"/>
      </patternFill>
    </fill>
    <fill>
      <patternFill patternType="solid">
        <fgColor theme="9" tint="0.59999389629810485"/>
        <bgColor indexed="64"/>
      </patternFill>
    </fill>
    <fill>
      <patternFill patternType="solid">
        <fgColor theme="0" tint="-0.14999847407452621"/>
        <bgColor rgb="FF000000"/>
      </patternFill>
    </fill>
    <fill>
      <patternFill patternType="solid">
        <fgColor rgb="FFFFFF00"/>
        <bgColor indexed="64"/>
      </patternFill>
    </fill>
    <fill>
      <patternFill patternType="solid">
        <fgColor rgb="FFFFFF00"/>
        <bgColor rgb="FF000000"/>
      </patternFill>
    </fill>
  </fills>
  <borders count="9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dotted">
        <color indexed="64"/>
      </left>
      <right style="dotted">
        <color indexed="64"/>
      </right>
      <top style="dotted">
        <color indexed="64"/>
      </top>
      <bottom/>
      <diagonal/>
    </border>
    <border>
      <left style="thin">
        <color indexed="64"/>
      </left>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style="medium">
        <color indexed="64"/>
      </top>
      <bottom style="thin">
        <color indexed="64"/>
      </bottom>
      <diagonal/>
    </border>
    <border>
      <left/>
      <right/>
      <top style="dotted">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dotted">
        <color indexed="64"/>
      </right>
      <top style="dotted">
        <color indexed="64"/>
      </top>
      <bottom style="medium">
        <color indexed="64"/>
      </bottom>
      <diagonal/>
    </border>
    <border>
      <left/>
      <right style="dotted">
        <color indexed="64"/>
      </right>
      <top/>
      <bottom style="medium">
        <color indexed="64"/>
      </bottom>
      <diagonal/>
    </border>
    <border>
      <left style="dotted">
        <color indexed="64"/>
      </left>
      <right style="dotted">
        <color indexed="64"/>
      </right>
      <top/>
      <bottom/>
      <diagonal/>
    </border>
    <border>
      <left style="thin">
        <color indexed="64"/>
      </left>
      <right/>
      <top/>
      <bottom style="medium">
        <color indexed="64"/>
      </bottom>
      <diagonal/>
    </border>
    <border>
      <left style="dotted">
        <color indexed="64"/>
      </left>
      <right/>
      <top style="dotted">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style="thin">
        <color rgb="FF808080"/>
      </right>
      <top/>
      <bottom style="thin">
        <color rgb="FF808080"/>
      </bottom>
      <diagonal/>
    </border>
    <border>
      <left style="medium">
        <color indexed="64"/>
      </left>
      <right style="thin">
        <color rgb="FF808080"/>
      </right>
      <top/>
      <bottom style="medium">
        <color indexed="64"/>
      </bottom>
      <diagonal/>
    </border>
    <border>
      <left style="thin">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auto="1"/>
      </left>
      <right style="thin">
        <color rgb="FF808080"/>
      </right>
      <top style="thin">
        <color rgb="FF808080"/>
      </top>
      <bottom style="thin">
        <color rgb="FF808080"/>
      </bottom>
      <diagonal/>
    </border>
    <border>
      <left/>
      <right/>
      <top style="thin">
        <color indexed="64"/>
      </top>
      <bottom style="medium">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rgb="FF808080"/>
      </left>
      <right style="thin">
        <color rgb="FF808080"/>
      </right>
      <top style="thin">
        <color rgb="FF808080"/>
      </top>
      <bottom style="thin">
        <color rgb="FF808080"/>
      </bottom>
      <diagonal/>
    </border>
    <border>
      <left style="thin">
        <color rgb="FF808080"/>
      </left>
      <right/>
      <top/>
      <bottom style="thin">
        <color rgb="FF808080"/>
      </bottom>
      <diagonal/>
    </border>
    <border>
      <left style="medium">
        <color auto="1"/>
      </left>
      <right style="thin">
        <color rgb="FF808080"/>
      </right>
      <top style="medium">
        <color auto="1"/>
      </top>
      <bottom style="medium">
        <color auto="1"/>
      </bottom>
      <diagonal/>
    </border>
    <border>
      <left style="thin">
        <color rgb="FF808080"/>
      </left>
      <right style="medium">
        <color auto="1"/>
      </right>
      <top style="medium">
        <color auto="1"/>
      </top>
      <bottom style="medium">
        <color auto="1"/>
      </bottom>
      <diagonal/>
    </border>
    <border>
      <left style="thin">
        <color rgb="FF808080"/>
      </left>
      <right/>
      <top style="thin">
        <color rgb="FF808080"/>
      </top>
      <bottom style="thin">
        <color rgb="FF808080"/>
      </bottom>
      <diagonal/>
    </border>
    <border>
      <left style="medium">
        <color auto="1"/>
      </left>
      <right style="thin">
        <color rgb="FF808080"/>
      </right>
      <top style="medium">
        <color auto="1"/>
      </top>
      <bottom style="thin">
        <color rgb="FF808080"/>
      </bottom>
      <diagonal/>
    </border>
    <border>
      <left style="thin">
        <color rgb="FF808080"/>
      </left>
      <right style="medium">
        <color auto="1"/>
      </right>
      <top style="medium">
        <color auto="1"/>
      </top>
      <bottom style="thin">
        <color rgb="FF808080"/>
      </bottom>
      <diagonal/>
    </border>
    <border>
      <left style="thin">
        <color rgb="FF808080"/>
      </left>
      <right style="medium">
        <color auto="1"/>
      </right>
      <top style="thin">
        <color rgb="FF808080"/>
      </top>
      <bottom style="thin">
        <color rgb="FF808080"/>
      </bottom>
      <diagonal/>
    </border>
    <border>
      <left style="medium">
        <color auto="1"/>
      </left>
      <right style="thin">
        <color rgb="FF808080"/>
      </right>
      <top style="thin">
        <color rgb="FF808080"/>
      </top>
      <bottom style="medium">
        <color auto="1"/>
      </bottom>
      <diagonal/>
    </border>
    <border>
      <left style="thin">
        <color rgb="FF808080"/>
      </left>
      <right style="thin">
        <color rgb="FF808080"/>
      </right>
      <top style="medium">
        <color auto="1"/>
      </top>
      <bottom style="medium">
        <color auto="1"/>
      </bottom>
      <diagonal/>
    </border>
    <border>
      <left style="thin">
        <color rgb="FF808080"/>
      </left>
      <right style="thin">
        <color rgb="FF808080"/>
      </right>
      <top style="medium">
        <color auto="1"/>
      </top>
      <bottom style="thin">
        <color rgb="FF808080"/>
      </bottom>
      <diagonal/>
    </border>
    <border>
      <left style="thin">
        <color rgb="FF808080"/>
      </left>
      <right style="thin">
        <color rgb="FF808080"/>
      </right>
      <top style="thin">
        <color rgb="FF808080"/>
      </top>
      <bottom style="medium">
        <color auto="1"/>
      </bottom>
      <diagonal/>
    </border>
    <border>
      <left style="thin">
        <color rgb="FF808080"/>
      </left>
      <right style="medium">
        <color auto="1"/>
      </right>
      <top style="thin">
        <color rgb="FF808080"/>
      </top>
      <bottom/>
      <diagonal/>
    </border>
    <border>
      <left style="medium">
        <color auto="1"/>
      </left>
      <right style="thin">
        <color rgb="FF808080"/>
      </right>
      <top style="thin">
        <color rgb="FF808080"/>
      </top>
      <bottom/>
      <diagonal/>
    </border>
    <border>
      <left style="medium">
        <color auto="1"/>
      </left>
      <right style="medium">
        <color auto="1"/>
      </right>
      <top style="thin">
        <color indexed="64"/>
      </top>
      <bottom style="medium">
        <color auto="1"/>
      </bottom>
      <diagonal/>
    </border>
  </borders>
  <cellStyleXfs count="7">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71">
    <xf numFmtId="0" fontId="0" fillId="0" borderId="0" xfId="0"/>
    <xf numFmtId="0" fontId="2" fillId="0" borderId="0" xfId="2" applyNumberFormat="1" applyFont="1" applyFill="1" applyBorder="1" applyAlignment="1" applyProtection="1">
      <alignment horizontal="center"/>
    </xf>
    <xf numFmtId="0" fontId="2" fillId="0" borderId="0" xfId="2" applyNumberFormat="1" applyFont="1" applyFill="1" applyBorder="1" applyAlignment="1" applyProtection="1"/>
    <xf numFmtId="164" fontId="2" fillId="0" borderId="0" xfId="3" applyNumberFormat="1" applyFont="1" applyFill="1" applyBorder="1" applyAlignment="1" applyProtection="1"/>
    <xf numFmtId="0" fontId="8" fillId="0" borderId="1" xfId="2" applyNumberFormat="1" applyFont="1" applyFill="1" applyBorder="1" applyAlignment="1" applyProtection="1">
      <alignment horizontal="center"/>
    </xf>
    <xf numFmtId="0" fontId="8" fillId="0" borderId="1" xfId="2" applyNumberFormat="1" applyFont="1" applyFill="1" applyBorder="1" applyAlignment="1" applyProtection="1"/>
    <xf numFmtId="164" fontId="8" fillId="0" borderId="1" xfId="1" applyNumberFormat="1" applyFont="1" applyFill="1" applyBorder="1" applyAlignment="1" applyProtection="1">
      <alignment horizontal="center"/>
    </xf>
    <xf numFmtId="165" fontId="8" fillId="0" borderId="1" xfId="2" applyNumberFormat="1" applyFont="1" applyFill="1" applyBorder="1" applyAlignment="1" applyProtection="1">
      <alignment horizontal="center"/>
    </xf>
    <xf numFmtId="0" fontId="9" fillId="0" borderId="0" xfId="0" applyFont="1" applyFill="1" applyBorder="1" applyAlignment="1">
      <alignment vertical="center"/>
    </xf>
    <xf numFmtId="4" fontId="9" fillId="0" borderId="0" xfId="0" applyNumberFormat="1" applyFont="1" applyFill="1" applyBorder="1" applyAlignment="1">
      <alignment vertical="center"/>
    </xf>
    <xf numFmtId="166" fontId="10" fillId="3" borderId="5" xfId="0" applyNumberFormat="1" applyFont="1" applyFill="1" applyBorder="1" applyAlignment="1">
      <alignment horizontal="center" vertical="center" wrapText="1"/>
    </xf>
    <xf numFmtId="0" fontId="11" fillId="4" borderId="5" xfId="0" applyFont="1" applyFill="1" applyBorder="1" applyAlignment="1">
      <alignment horizontal="center" wrapText="1"/>
    </xf>
    <xf numFmtId="166" fontId="10" fillId="3" borderId="1" xfId="0" applyNumberFormat="1" applyFont="1" applyFill="1" applyBorder="1" applyAlignment="1">
      <alignment horizontal="center" vertical="center" wrapText="1"/>
    </xf>
    <xf numFmtId="0" fontId="12" fillId="0" borderId="1" xfId="2" quotePrefix="1" applyNumberFormat="1" applyFont="1" applyFill="1" applyBorder="1" applyAlignment="1" applyProtection="1">
      <alignment horizontal="center" vertical="center"/>
    </xf>
    <xf numFmtId="0" fontId="12" fillId="0" borderId="1" xfId="2" applyNumberFormat="1" applyFont="1" applyFill="1" applyBorder="1" applyAlignment="1" applyProtection="1">
      <alignment vertical="center" wrapText="1"/>
    </xf>
    <xf numFmtId="0" fontId="12" fillId="0" borderId="6" xfId="2" quotePrefix="1" applyNumberFormat="1" applyFont="1" applyFill="1" applyBorder="1" applyAlignment="1" applyProtection="1">
      <alignment horizontal="center" vertical="center"/>
    </xf>
    <xf numFmtId="4" fontId="12" fillId="0" borderId="1" xfId="2" quotePrefix="1" applyNumberFormat="1" applyFont="1" applyFill="1" applyBorder="1" applyAlignment="1" applyProtection="1">
      <alignment horizontal="right" vertical="center"/>
    </xf>
    <xf numFmtId="4" fontId="12" fillId="0" borderId="6" xfId="2" quotePrefix="1" applyNumberFormat="1" applyFont="1" applyFill="1" applyBorder="1" applyAlignment="1" applyProtection="1">
      <alignment horizontal="right" vertical="center"/>
    </xf>
    <xf numFmtId="0" fontId="14" fillId="0" borderId="0" xfId="0" applyFont="1"/>
    <xf numFmtId="166" fontId="14" fillId="0" borderId="7" xfId="0" applyNumberFormat="1" applyFont="1" applyBorder="1"/>
    <xf numFmtId="166" fontId="14" fillId="0" borderId="8" xfId="0" applyNumberFormat="1" applyFont="1" applyBorder="1"/>
    <xf numFmtId="166" fontId="14" fillId="0" borderId="9" xfId="0" applyNumberFormat="1" applyFont="1" applyBorder="1"/>
    <xf numFmtId="166" fontId="14" fillId="0" borderId="10" xfId="0" applyNumberFormat="1" applyFont="1" applyBorder="1"/>
    <xf numFmtId="166" fontId="14" fillId="0" borderId="11" xfId="0" applyNumberFormat="1" applyFont="1" applyBorder="1"/>
    <xf numFmtId="166" fontId="14" fillId="0" borderId="12" xfId="0" applyNumberFormat="1" applyFont="1" applyBorder="1"/>
    <xf numFmtId="166" fontId="14" fillId="0" borderId="14" xfId="0" applyNumberFormat="1" applyFont="1" applyBorder="1"/>
    <xf numFmtId="166" fontId="14" fillId="0" borderId="18" xfId="0" applyNumberFormat="1" applyFont="1" applyBorder="1"/>
    <xf numFmtId="166" fontId="14" fillId="0" borderId="16" xfId="0" applyNumberFormat="1" applyFont="1" applyBorder="1"/>
    <xf numFmtId="166" fontId="14" fillId="0" borderId="19" xfId="0" applyNumberFormat="1" applyFont="1" applyBorder="1"/>
    <xf numFmtId="166" fontId="14" fillId="0" borderId="26" xfId="0" applyNumberFormat="1" applyFont="1" applyBorder="1"/>
    <xf numFmtId="0" fontId="10" fillId="3" borderId="27" xfId="2" quotePrefix="1" applyNumberFormat="1" applyFont="1" applyFill="1" applyBorder="1" applyAlignment="1" applyProtection="1">
      <alignment horizontal="center" vertical="center" wrapText="1"/>
    </xf>
    <xf numFmtId="0" fontId="10" fillId="3" borderId="28" xfId="2" quotePrefix="1" applyNumberFormat="1" applyFont="1" applyFill="1" applyBorder="1" applyAlignment="1" applyProtection="1">
      <alignment horizontal="left" vertical="center" wrapText="1"/>
    </xf>
    <xf numFmtId="166" fontId="10" fillId="3" borderId="29" xfId="0" applyNumberFormat="1" applyFont="1" applyFill="1" applyBorder="1" applyAlignment="1">
      <alignment horizontal="center" vertical="center" wrapText="1"/>
    </xf>
    <xf numFmtId="4" fontId="10" fillId="3" borderId="30" xfId="0" applyNumberFormat="1" applyFont="1" applyFill="1" applyBorder="1" applyAlignment="1">
      <alignment horizontal="center" vertical="center" wrapText="1"/>
    </xf>
    <xf numFmtId="0" fontId="11" fillId="4" borderId="30" xfId="0" applyFont="1" applyFill="1" applyBorder="1" applyAlignment="1">
      <alignment horizontal="center" wrapText="1"/>
    </xf>
    <xf numFmtId="166" fontId="10" fillId="3" borderId="31" xfId="0" applyNumberFormat="1" applyFont="1" applyFill="1" applyBorder="1" applyAlignment="1">
      <alignment horizontal="center" vertical="center" wrapText="1"/>
    </xf>
    <xf numFmtId="0" fontId="12" fillId="0" borderId="32" xfId="2" quotePrefix="1" applyNumberFormat="1" applyFont="1" applyFill="1" applyBorder="1" applyAlignment="1" applyProtection="1">
      <alignment horizontal="center" vertical="center"/>
    </xf>
    <xf numFmtId="0" fontId="13" fillId="0" borderId="32" xfId="2" quotePrefix="1" applyNumberFormat="1" applyFont="1" applyFill="1" applyBorder="1" applyAlignment="1" applyProtection="1">
      <alignment horizontal="center" vertical="center"/>
    </xf>
    <xf numFmtId="0" fontId="13" fillId="0" borderId="35" xfId="2" quotePrefix="1" applyNumberFormat="1" applyFont="1" applyFill="1" applyBorder="1" applyAlignment="1" applyProtection="1">
      <alignment horizontal="center" vertical="center"/>
    </xf>
    <xf numFmtId="0" fontId="12" fillId="0" borderId="36" xfId="2" applyNumberFormat="1" applyFont="1" applyFill="1" applyBorder="1" applyAlignment="1" applyProtection="1">
      <alignment vertical="center" wrapText="1"/>
    </xf>
    <xf numFmtId="166" fontId="14" fillId="0" borderId="37" xfId="0" applyNumberFormat="1" applyFont="1" applyBorder="1"/>
    <xf numFmtId="166" fontId="14" fillId="0" borderId="38" xfId="0" applyNumberFormat="1" applyFont="1" applyBorder="1"/>
    <xf numFmtId="0" fontId="10" fillId="3" borderId="29" xfId="2" quotePrefix="1" applyNumberFormat="1" applyFont="1" applyFill="1" applyBorder="1" applyAlignment="1" applyProtection="1">
      <alignment horizontal="center" vertical="center" wrapText="1"/>
    </xf>
    <xf numFmtId="0" fontId="12" fillId="0" borderId="7" xfId="2" quotePrefix="1" applyNumberFormat="1" applyFont="1" applyFill="1" applyBorder="1" applyAlignment="1" applyProtection="1">
      <alignment horizontal="center" vertical="center"/>
    </xf>
    <xf numFmtId="0" fontId="12" fillId="0" borderId="9" xfId="2" quotePrefix="1" applyNumberFormat="1" applyFont="1" applyFill="1" applyBorder="1" applyAlignment="1" applyProtection="1">
      <alignment horizontal="center" vertical="center"/>
    </xf>
    <xf numFmtId="0" fontId="12" fillId="0" borderId="37" xfId="2" quotePrefix="1" applyNumberFormat="1" applyFont="1" applyFill="1" applyBorder="1" applyAlignment="1" applyProtection="1">
      <alignment horizontal="center" vertical="center"/>
    </xf>
    <xf numFmtId="166" fontId="10" fillId="3" borderId="40" xfId="0" applyNumberFormat="1" applyFont="1" applyFill="1" applyBorder="1" applyAlignment="1">
      <alignment horizontal="center" vertical="center" wrapText="1"/>
    </xf>
    <xf numFmtId="166" fontId="14" fillId="0" borderId="41" xfId="0" applyNumberFormat="1" applyFont="1" applyBorder="1"/>
    <xf numFmtId="4" fontId="12" fillId="0" borderId="12" xfId="2" quotePrefix="1" applyNumberFormat="1" applyFont="1" applyFill="1" applyBorder="1" applyAlignment="1" applyProtection="1">
      <alignment horizontal="right" vertical="center"/>
    </xf>
    <xf numFmtId="4" fontId="12" fillId="0" borderId="14" xfId="2" quotePrefix="1" applyNumberFormat="1" applyFont="1" applyFill="1" applyBorder="1" applyAlignment="1" applyProtection="1">
      <alignment horizontal="right" vertical="center"/>
    </xf>
    <xf numFmtId="4" fontId="12" fillId="0" borderId="38" xfId="2" quotePrefix="1" applyNumberFormat="1" applyFont="1" applyFill="1" applyBorder="1" applyAlignment="1" applyProtection="1">
      <alignment horizontal="right" vertical="center"/>
    </xf>
    <xf numFmtId="166" fontId="14" fillId="0" borderId="33" xfId="0" applyNumberFormat="1" applyFont="1" applyBorder="1"/>
    <xf numFmtId="166" fontId="14" fillId="0" borderId="42" xfId="0" applyNumberFormat="1" applyFont="1" applyBorder="1"/>
    <xf numFmtId="166" fontId="14" fillId="0" borderId="43" xfId="0" applyNumberFormat="1" applyFont="1" applyBorder="1"/>
    <xf numFmtId="4" fontId="10" fillId="3" borderId="1" xfId="0" applyNumberFormat="1" applyFont="1" applyFill="1" applyBorder="1" applyAlignment="1">
      <alignment horizontal="center" vertical="center"/>
    </xf>
    <xf numFmtId="0" fontId="12" fillId="0" borderId="6" xfId="2" quotePrefix="1" applyNumberFormat="1" applyFont="1" applyFill="1" applyBorder="1" applyAlignment="1" applyProtection="1">
      <alignment horizontal="center" vertical="center" wrapText="1"/>
    </xf>
    <xf numFmtId="4" fontId="12" fillId="0" borderId="1" xfId="0" applyNumberFormat="1" applyFont="1" applyFill="1" applyBorder="1" applyAlignment="1">
      <alignment vertical="center" wrapText="1"/>
    </xf>
    <xf numFmtId="4" fontId="12" fillId="0" borderId="1" xfId="0" applyNumberFormat="1" applyFont="1" applyFill="1" applyBorder="1" applyAlignment="1">
      <alignment vertical="center"/>
    </xf>
    <xf numFmtId="0" fontId="12" fillId="0" borderId="1" xfId="2" applyNumberFormat="1" applyFont="1" applyFill="1" applyBorder="1" applyAlignment="1" applyProtection="1">
      <alignment horizontal="center" vertical="center"/>
    </xf>
    <xf numFmtId="166" fontId="14" fillId="0" borderId="44" xfId="0" applyNumberFormat="1" applyFont="1" applyBorder="1"/>
    <xf numFmtId="166" fontId="14" fillId="0" borderId="34" xfId="0" applyNumberFormat="1" applyFont="1" applyBorder="1"/>
    <xf numFmtId="166" fontId="14" fillId="0" borderId="39" xfId="0" applyNumberFormat="1" applyFont="1" applyBorder="1"/>
    <xf numFmtId="166" fontId="14" fillId="0" borderId="45" xfId="0" applyNumberFormat="1" applyFont="1" applyBorder="1"/>
    <xf numFmtId="166" fontId="14" fillId="0" borderId="46" xfId="0" applyNumberFormat="1" applyFont="1" applyBorder="1"/>
    <xf numFmtId="166" fontId="14" fillId="0" borderId="47" xfId="0" applyNumberFormat="1" applyFont="1" applyBorder="1"/>
    <xf numFmtId="166" fontId="14" fillId="0" borderId="48" xfId="0" applyNumberFormat="1" applyFont="1" applyBorder="1"/>
    <xf numFmtId="166" fontId="14" fillId="0" borderId="49" xfId="0" applyNumberFormat="1" applyFont="1" applyBorder="1"/>
    <xf numFmtId="166" fontId="14" fillId="0" borderId="50" xfId="0" applyNumberFormat="1" applyFont="1" applyBorder="1"/>
    <xf numFmtId="166" fontId="14" fillId="0" borderId="51" xfId="0" applyNumberFormat="1" applyFont="1" applyBorder="1"/>
    <xf numFmtId="166" fontId="14" fillId="0" borderId="52" xfId="0" applyNumberFormat="1" applyFont="1" applyBorder="1"/>
    <xf numFmtId="166" fontId="14" fillId="0" borderId="55" xfId="0" applyNumberFormat="1" applyFont="1" applyBorder="1"/>
    <xf numFmtId="0" fontId="15" fillId="5" borderId="27" xfId="2" quotePrefix="1" applyNumberFormat="1" applyFont="1" applyFill="1" applyBorder="1" applyAlignment="1" applyProtection="1">
      <alignment horizontal="center" vertical="center"/>
    </xf>
    <xf numFmtId="0" fontId="10" fillId="3" borderId="28" xfId="2" quotePrefix="1" applyNumberFormat="1" applyFont="1" applyFill="1" applyBorder="1" applyAlignment="1" applyProtection="1">
      <alignment horizontal="center" vertical="center"/>
    </xf>
    <xf numFmtId="4" fontId="10" fillId="3" borderId="28" xfId="0" applyNumberFormat="1" applyFont="1" applyFill="1" applyBorder="1" applyAlignment="1">
      <alignment horizontal="center" vertical="center"/>
    </xf>
    <xf numFmtId="4" fontId="10" fillId="3" borderId="30" xfId="0" applyNumberFormat="1" applyFont="1" applyFill="1" applyBorder="1" applyAlignment="1">
      <alignment horizontal="center" vertical="center"/>
    </xf>
    <xf numFmtId="0" fontId="11" fillId="4" borderId="40" xfId="0" applyFont="1" applyFill="1" applyBorder="1" applyAlignment="1">
      <alignment horizontal="center" wrapText="1"/>
    </xf>
    <xf numFmtId="166" fontId="10" fillId="3" borderId="56" xfId="0" applyNumberFormat="1" applyFont="1" applyFill="1" applyBorder="1" applyAlignment="1">
      <alignment horizontal="center" vertical="center" wrapText="1"/>
    </xf>
    <xf numFmtId="0" fontId="13" fillId="0" borderId="32" xfId="2" quotePrefix="1" applyNumberFormat="1" applyFont="1" applyFill="1" applyBorder="1" applyAlignment="1" applyProtection="1">
      <alignment horizontal="center" vertical="center" wrapText="1"/>
    </xf>
    <xf numFmtId="0" fontId="12" fillId="0" borderId="35" xfId="2" quotePrefix="1" applyNumberFormat="1" applyFont="1" applyFill="1" applyBorder="1" applyAlignment="1" applyProtection="1">
      <alignment horizontal="center" vertical="center"/>
    </xf>
    <xf numFmtId="0" fontId="12" fillId="0" borderId="36" xfId="2" applyNumberFormat="1" applyFont="1" applyFill="1" applyBorder="1" applyAlignment="1" applyProtection="1">
      <alignment horizontal="center" vertical="center"/>
    </xf>
    <xf numFmtId="4" fontId="12" fillId="0" borderId="36" xfId="0" applyNumberFormat="1" applyFont="1" applyFill="1" applyBorder="1" applyAlignment="1">
      <alignment vertical="center"/>
    </xf>
    <xf numFmtId="166" fontId="14" fillId="0" borderId="57" xfId="0" applyNumberFormat="1" applyFont="1" applyBorder="1"/>
    <xf numFmtId="166" fontId="14" fillId="0" borderId="58" xfId="0" applyNumberFormat="1" applyFont="1" applyBorder="1"/>
    <xf numFmtId="166" fontId="14" fillId="0" borderId="59" xfId="0" applyNumberFormat="1" applyFont="1" applyBorder="1"/>
    <xf numFmtId="0" fontId="12" fillId="0" borderId="36" xfId="2" quotePrefix="1" applyNumberFormat="1" applyFont="1" applyFill="1" applyBorder="1" applyAlignment="1" applyProtection="1">
      <alignment horizontal="center" vertical="center"/>
    </xf>
    <xf numFmtId="166" fontId="14" fillId="0" borderId="0" xfId="0" applyNumberFormat="1" applyFont="1" applyBorder="1"/>
    <xf numFmtId="0" fontId="0" fillId="0" borderId="0" xfId="0" applyBorder="1"/>
    <xf numFmtId="4" fontId="12" fillId="0" borderId="1" xfId="0" applyNumberFormat="1" applyFont="1" applyFill="1" applyBorder="1" applyAlignment="1">
      <alignment horizontal="center" vertical="center"/>
    </xf>
    <xf numFmtId="4" fontId="12" fillId="0" borderId="6" xfId="0" applyNumberFormat="1" applyFont="1" applyFill="1" applyBorder="1" applyAlignment="1">
      <alignment horizontal="center" vertical="center"/>
    </xf>
    <xf numFmtId="4" fontId="12" fillId="0" borderId="6" xfId="0" applyNumberFormat="1" applyFont="1" applyFill="1" applyBorder="1" applyAlignment="1">
      <alignment vertical="center"/>
    </xf>
    <xf numFmtId="4" fontId="12" fillId="0" borderId="17" xfId="0" applyNumberFormat="1" applyFont="1" applyFill="1" applyBorder="1" applyAlignment="1">
      <alignment horizontal="center" vertical="center"/>
    </xf>
    <xf numFmtId="4" fontId="12" fillId="0" borderId="17" xfId="0" applyNumberFormat="1" applyFont="1" applyFill="1" applyBorder="1" applyAlignment="1">
      <alignment vertical="center"/>
    </xf>
    <xf numFmtId="0" fontId="11" fillId="4" borderId="29" xfId="0" applyFont="1" applyFill="1" applyBorder="1" applyAlignment="1">
      <alignment horizontal="center" wrapText="1"/>
    </xf>
    <xf numFmtId="4" fontId="12" fillId="0" borderId="60" xfId="0" applyNumberFormat="1" applyFont="1" applyFill="1" applyBorder="1" applyAlignment="1">
      <alignment vertical="center"/>
    </xf>
    <xf numFmtId="166" fontId="14" fillId="0" borderId="61" xfId="0" applyNumberFormat="1" applyFont="1" applyBorder="1"/>
    <xf numFmtId="0" fontId="12" fillId="0" borderId="1" xfId="2" quotePrefix="1" applyNumberFormat="1" applyFont="1" applyFill="1" applyBorder="1" applyAlignment="1" applyProtection="1">
      <alignment horizontal="left" vertical="center"/>
    </xf>
    <xf numFmtId="166" fontId="12" fillId="0" borderId="5" xfId="0" applyNumberFormat="1" applyFont="1" applyFill="1" applyBorder="1" applyAlignment="1">
      <alignment vertical="center"/>
    </xf>
    <xf numFmtId="0" fontId="12" fillId="0" borderId="0" xfId="2" applyNumberFormat="1" applyFont="1" applyFill="1" applyBorder="1" applyAlignment="1" applyProtection="1">
      <alignment horizontal="center" vertical="center"/>
    </xf>
    <xf numFmtId="0" fontId="12" fillId="0" borderId="0" xfId="2" applyNumberFormat="1" applyFont="1" applyFill="1" applyBorder="1" applyAlignment="1" applyProtection="1">
      <alignment vertical="center"/>
    </xf>
    <xf numFmtId="0" fontId="17" fillId="0" borderId="0" xfId="0" applyFont="1"/>
    <xf numFmtId="166" fontId="12" fillId="0" borderId="17" xfId="0" applyNumberFormat="1" applyFont="1" applyFill="1" applyBorder="1" applyAlignment="1">
      <alignment vertical="center"/>
    </xf>
    <xf numFmtId="166" fontId="14" fillId="0" borderId="63" xfId="0" applyNumberFormat="1" applyFont="1" applyBorder="1"/>
    <xf numFmtId="166" fontId="14" fillId="0" borderId="64" xfId="0" applyNumberFormat="1" applyFont="1" applyBorder="1"/>
    <xf numFmtId="166" fontId="14" fillId="0" borderId="1" xfId="0" applyNumberFormat="1" applyFont="1" applyBorder="1"/>
    <xf numFmtId="166" fontId="14" fillId="0" borderId="6" xfId="0" applyNumberFormat="1" applyFont="1" applyBorder="1"/>
    <xf numFmtId="0" fontId="11" fillId="4" borderId="28" xfId="0" applyFont="1" applyFill="1" applyBorder="1" applyAlignment="1">
      <alignment horizontal="center" wrapText="1"/>
    </xf>
    <xf numFmtId="166" fontId="10" fillId="3" borderId="66" xfId="0" applyNumberFormat="1" applyFont="1" applyFill="1" applyBorder="1" applyAlignment="1">
      <alignment horizontal="center" vertical="center" wrapText="1"/>
    </xf>
    <xf numFmtId="0" fontId="13" fillId="0" borderId="67" xfId="2" quotePrefix="1" applyNumberFormat="1" applyFont="1" applyFill="1" applyBorder="1" applyAlignment="1" applyProtection="1">
      <alignment horizontal="center" vertical="center"/>
    </xf>
    <xf numFmtId="0" fontId="13" fillId="0" borderId="68" xfId="2" quotePrefix="1" applyNumberFormat="1" applyFont="1" applyFill="1" applyBorder="1" applyAlignment="1" applyProtection="1">
      <alignment horizontal="center" vertical="center"/>
    </xf>
    <xf numFmtId="0" fontId="12" fillId="0" borderId="36" xfId="2" quotePrefix="1" applyNumberFormat="1" applyFont="1" applyFill="1" applyBorder="1" applyAlignment="1" applyProtection="1">
      <alignment horizontal="left" vertical="center"/>
    </xf>
    <xf numFmtId="4" fontId="12" fillId="0" borderId="36" xfId="2" quotePrefix="1" applyNumberFormat="1" applyFont="1" applyFill="1" applyBorder="1" applyAlignment="1" applyProtection="1">
      <alignment horizontal="right" vertical="center"/>
    </xf>
    <xf numFmtId="166" fontId="12" fillId="0" borderId="69" xfId="0" applyNumberFormat="1" applyFont="1" applyFill="1" applyBorder="1" applyAlignment="1">
      <alignment vertical="center"/>
    </xf>
    <xf numFmtId="166" fontId="14" fillId="0" borderId="36" xfId="0" applyNumberFormat="1" applyFont="1" applyBorder="1"/>
    <xf numFmtId="166" fontId="14" fillId="0" borderId="70" xfId="0" applyNumberFormat="1" applyFont="1" applyBorder="1"/>
    <xf numFmtId="166" fontId="14" fillId="0" borderId="16" xfId="0" applyNumberFormat="1" applyFont="1" applyFill="1" applyBorder="1"/>
    <xf numFmtId="0" fontId="12" fillId="7" borderId="1" xfId="2" applyNumberFormat="1" applyFont="1" applyFill="1" applyBorder="1" applyAlignment="1" applyProtection="1">
      <alignment vertical="center" wrapText="1"/>
    </xf>
    <xf numFmtId="0" fontId="12" fillId="7" borderId="1" xfId="2" quotePrefix="1" applyNumberFormat="1" applyFont="1" applyFill="1" applyBorder="1" applyAlignment="1" applyProtection="1">
      <alignment horizontal="center" vertical="center"/>
    </xf>
    <xf numFmtId="0" fontId="12" fillId="7" borderId="1" xfId="2" applyNumberFormat="1" applyFont="1" applyFill="1" applyBorder="1" applyAlignment="1" applyProtection="1">
      <alignment horizontal="center" vertical="center"/>
    </xf>
    <xf numFmtId="4" fontId="12" fillId="0" borderId="1" xfId="0" applyNumberFormat="1" applyFont="1" applyFill="1" applyBorder="1" applyAlignment="1">
      <alignment horizontal="right" vertical="center"/>
    </xf>
    <xf numFmtId="4" fontId="12" fillId="7" borderId="1" xfId="0" applyNumberFormat="1" applyFont="1" applyFill="1" applyBorder="1" applyAlignment="1">
      <alignment horizontal="right" vertical="center"/>
    </xf>
    <xf numFmtId="4" fontId="12" fillId="7" borderId="1" xfId="0" applyNumberFormat="1" applyFont="1" applyFill="1" applyBorder="1" applyAlignment="1">
      <alignment vertical="center"/>
    </xf>
    <xf numFmtId="166" fontId="12" fillId="0" borderId="1" xfId="2" applyNumberFormat="1" applyFont="1" applyFill="1" applyBorder="1" applyAlignment="1" applyProtection="1">
      <alignment horizontal="right" vertical="center"/>
    </xf>
    <xf numFmtId="166" fontId="12" fillId="7" borderId="1" xfId="2" applyNumberFormat="1" applyFont="1" applyFill="1" applyBorder="1" applyAlignment="1" applyProtection="1">
      <alignment horizontal="right" vertical="center"/>
    </xf>
    <xf numFmtId="166" fontId="12" fillId="7" borderId="1" xfId="0" applyNumberFormat="1" applyFont="1" applyFill="1" applyBorder="1" applyAlignment="1">
      <alignment vertical="center"/>
    </xf>
    <xf numFmtId="0" fontId="11" fillId="6" borderId="29" xfId="0" applyFont="1" applyFill="1" applyBorder="1" applyAlignment="1">
      <alignment horizontal="center" wrapText="1"/>
    </xf>
    <xf numFmtId="0" fontId="12" fillId="7" borderId="36" xfId="2" applyNumberFormat="1" applyFont="1" applyFill="1" applyBorder="1" applyAlignment="1" applyProtection="1">
      <alignment vertical="center" wrapText="1"/>
    </xf>
    <xf numFmtId="0" fontId="12" fillId="7" borderId="36" xfId="2" applyNumberFormat="1" applyFont="1" applyFill="1" applyBorder="1" applyAlignment="1" applyProtection="1">
      <alignment horizontal="center" vertical="center"/>
    </xf>
    <xf numFmtId="4" fontId="12" fillId="7" borderId="36" xfId="0" applyNumberFormat="1" applyFont="1" applyFill="1" applyBorder="1" applyAlignment="1">
      <alignment vertical="center"/>
    </xf>
    <xf numFmtId="166" fontId="10" fillId="0" borderId="16" xfId="0" applyNumberFormat="1" applyFont="1" applyFill="1" applyBorder="1" applyAlignment="1">
      <alignment vertical="center"/>
    </xf>
    <xf numFmtId="0" fontId="10" fillId="2" borderId="1" xfId="0" applyFont="1" applyFill="1" applyBorder="1" applyAlignment="1">
      <alignment horizontal="center" vertical="center" wrapText="1"/>
    </xf>
    <xf numFmtId="167" fontId="10" fillId="2" borderId="1" xfId="0" applyNumberFormat="1" applyFont="1" applyFill="1" applyBorder="1" applyAlignment="1">
      <alignment vertical="center" wrapText="1"/>
    </xf>
    <xf numFmtId="4" fontId="10" fillId="2" borderId="1" xfId="0" applyNumberFormat="1" applyFont="1" applyFill="1" applyBorder="1" applyAlignment="1">
      <alignment vertical="center" wrapText="1"/>
    </xf>
    <xf numFmtId="167" fontId="10" fillId="2" borderId="15" xfId="0" applyNumberFormat="1" applyFont="1" applyFill="1" applyBorder="1" applyAlignment="1">
      <alignment vertical="center" wrapText="1"/>
    </xf>
    <xf numFmtId="0" fontId="11" fillId="9"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4" fontId="10" fillId="1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168" fontId="12" fillId="0" borderId="1" xfId="0" applyNumberFormat="1" applyFont="1" applyFill="1" applyBorder="1" applyAlignment="1">
      <alignment vertical="center" wrapText="1"/>
    </xf>
    <xf numFmtId="168" fontId="18" fillId="0" borderId="1" xfId="0" applyNumberFormat="1" applyFont="1" applyFill="1" applyBorder="1" applyAlignment="1">
      <alignment vertical="center" wrapText="1"/>
    </xf>
    <xf numFmtId="0" fontId="12" fillId="0" borderId="53" xfId="0" applyFont="1" applyFill="1" applyBorder="1" applyAlignment="1">
      <alignment horizontal="center" vertical="center" wrapText="1"/>
    </xf>
    <xf numFmtId="4" fontId="12" fillId="0" borderId="53" xfId="0" applyNumberFormat="1" applyFont="1" applyFill="1" applyBorder="1" applyAlignment="1">
      <alignment horizontal="center" vertical="center" wrapText="1"/>
    </xf>
    <xf numFmtId="166" fontId="14" fillId="0" borderId="53" xfId="0" applyNumberFormat="1" applyFont="1" applyBorder="1"/>
    <xf numFmtId="0" fontId="11" fillId="9" borderId="27" xfId="0" applyFont="1" applyFill="1" applyBorder="1" applyAlignment="1">
      <alignment horizontal="center" vertical="center" wrapText="1"/>
    </xf>
    <xf numFmtId="0" fontId="10" fillId="10" borderId="28" xfId="0" applyFont="1" applyFill="1" applyBorder="1" applyAlignment="1">
      <alignment horizontal="center" vertical="center" wrapText="1"/>
    </xf>
    <xf numFmtId="4" fontId="10" fillId="10" borderId="28" xfId="0" applyNumberFormat="1" applyFont="1" applyFill="1" applyBorder="1" applyAlignment="1">
      <alignment horizontal="center" vertical="center" wrapText="1"/>
    </xf>
    <xf numFmtId="0" fontId="14" fillId="0" borderId="32" xfId="0" applyFont="1" applyBorder="1" applyAlignment="1">
      <alignment horizontal="center" vertical="center" wrapText="1"/>
    </xf>
    <xf numFmtId="0" fontId="14" fillId="0" borderId="35" xfId="0" applyFont="1" applyBorder="1" applyAlignment="1">
      <alignment horizontal="center" vertical="center" wrapText="1"/>
    </xf>
    <xf numFmtId="0" fontId="12" fillId="0" borderId="36" xfId="0" applyFont="1" applyFill="1" applyBorder="1" applyAlignment="1">
      <alignment vertical="center" wrapText="1"/>
    </xf>
    <xf numFmtId="0" fontId="12" fillId="0" borderId="36" xfId="0" applyFont="1" applyFill="1" applyBorder="1" applyAlignment="1">
      <alignment horizontal="center" vertical="center" wrapText="1"/>
    </xf>
    <xf numFmtId="4" fontId="12" fillId="0" borderId="36" xfId="0" applyNumberFormat="1" applyFont="1" applyFill="1" applyBorder="1" applyAlignment="1">
      <alignment horizontal="center" vertical="center" wrapText="1"/>
    </xf>
    <xf numFmtId="49" fontId="14" fillId="0" borderId="53" xfId="0" applyNumberFormat="1" applyFont="1" applyBorder="1" applyAlignment="1">
      <alignment horizontal="center" vertical="center" wrapText="1"/>
    </xf>
    <xf numFmtId="0" fontId="12" fillId="0" borderId="53" xfId="0" applyFont="1" applyFill="1" applyBorder="1" applyAlignment="1">
      <alignment vertical="center" wrapText="1"/>
    </xf>
    <xf numFmtId="49" fontId="14" fillId="0" borderId="1" xfId="0" applyNumberFormat="1" applyFont="1" applyBorder="1" applyAlignment="1">
      <alignment horizontal="center" vertical="center" wrapText="1"/>
    </xf>
    <xf numFmtId="167" fontId="12" fillId="0" borderId="1" xfId="0" applyNumberFormat="1" applyFont="1" applyFill="1" applyBorder="1" applyAlignment="1">
      <alignment vertical="center" wrapText="1"/>
    </xf>
    <xf numFmtId="0" fontId="12" fillId="0" borderId="1" xfId="0" applyNumberFormat="1" applyFont="1" applyFill="1" applyBorder="1" applyAlignment="1">
      <alignment vertical="center" wrapText="1"/>
    </xf>
    <xf numFmtId="0" fontId="18" fillId="0" borderId="1" xfId="0" applyFont="1" applyFill="1" applyBorder="1" applyAlignment="1">
      <alignment horizontal="center" vertical="center" wrapText="1"/>
    </xf>
    <xf numFmtId="166" fontId="14" fillId="0" borderId="72" xfId="0" applyNumberFormat="1" applyFont="1" applyBorder="1"/>
    <xf numFmtId="166" fontId="14" fillId="0" borderId="21" xfId="0" applyNumberFormat="1" applyFont="1" applyBorder="1"/>
    <xf numFmtId="0" fontId="12" fillId="0" borderId="1" xfId="0" quotePrefix="1" applyFont="1" applyFill="1" applyBorder="1" applyAlignment="1">
      <alignment vertical="center" wrapText="1"/>
    </xf>
    <xf numFmtId="166" fontId="14" fillId="0" borderId="26" xfId="0" applyNumberFormat="1" applyFont="1" applyFill="1" applyBorder="1"/>
    <xf numFmtId="0" fontId="11" fillId="9" borderId="1" xfId="0" applyFont="1" applyFill="1" applyBorder="1" applyAlignment="1">
      <alignment horizontal="center" vertical="center"/>
    </xf>
    <xf numFmtId="0" fontId="10" fillId="10" borderId="5" xfId="0" applyFont="1" applyFill="1" applyBorder="1" applyAlignment="1">
      <alignment horizontal="center" vertical="center" wrapText="1"/>
    </xf>
    <xf numFmtId="0" fontId="14" fillId="0" borderId="1" xfId="0" applyFont="1" applyBorder="1" applyAlignment="1">
      <alignment horizontal="center" vertical="center"/>
    </xf>
    <xf numFmtId="0" fontId="12" fillId="0" borderId="1" xfId="2" applyNumberFormat="1" applyFont="1" applyFill="1" applyBorder="1" applyAlignment="1">
      <alignment vertical="center" wrapText="1"/>
    </xf>
    <xf numFmtId="0" fontId="12" fillId="0" borderId="5" xfId="2" applyNumberFormat="1" applyFont="1" applyFill="1" applyBorder="1" applyAlignment="1">
      <alignment horizontal="center" vertical="center"/>
    </xf>
    <xf numFmtId="4" fontId="12" fillId="0" borderId="1" xfId="2" applyNumberFormat="1" applyFont="1" applyFill="1" applyBorder="1" applyAlignment="1">
      <alignment horizontal="center" vertical="center"/>
    </xf>
    <xf numFmtId="0" fontId="12" fillId="0" borderId="17" xfId="2" applyNumberFormat="1" applyFont="1" applyFill="1" applyBorder="1" applyAlignment="1">
      <alignment horizontal="center" vertical="center"/>
    </xf>
    <xf numFmtId="4" fontId="12" fillId="0" borderId="6" xfId="2" applyNumberFormat="1" applyFont="1" applyFill="1" applyBorder="1" applyAlignment="1">
      <alignment horizontal="center" vertical="center"/>
    </xf>
    <xf numFmtId="0" fontId="12" fillId="0" borderId="65" xfId="2" applyNumberFormat="1" applyFont="1" applyFill="1" applyBorder="1" applyAlignment="1">
      <alignment vertical="center" wrapText="1"/>
    </xf>
    <xf numFmtId="0" fontId="12" fillId="0" borderId="6" xfId="2" applyNumberFormat="1" applyFont="1" applyFill="1" applyBorder="1" applyAlignment="1">
      <alignment vertical="center" wrapText="1"/>
    </xf>
    <xf numFmtId="0" fontId="12" fillId="0" borderId="1" xfId="2" applyNumberFormat="1" applyFont="1" applyFill="1" applyBorder="1" applyAlignment="1">
      <alignment vertical="center"/>
    </xf>
    <xf numFmtId="169" fontId="12" fillId="0" borderId="13" xfId="4" applyNumberFormat="1" applyFont="1" applyFill="1" applyBorder="1" applyAlignment="1">
      <alignment vertical="center"/>
    </xf>
    <xf numFmtId="169" fontId="12" fillId="0" borderId="62" xfId="4" applyNumberFormat="1" applyFont="1" applyFill="1" applyBorder="1" applyAlignment="1">
      <alignment vertical="center"/>
    </xf>
    <xf numFmtId="0" fontId="11" fillId="9" borderId="27" xfId="0" applyFont="1" applyFill="1" applyBorder="1" applyAlignment="1">
      <alignment horizontal="center" vertical="center"/>
    </xf>
    <xf numFmtId="0" fontId="10" fillId="10" borderId="28" xfId="2" applyFont="1" applyFill="1" applyBorder="1" applyAlignment="1">
      <alignment horizontal="left" vertical="center"/>
    </xf>
    <xf numFmtId="0" fontId="10" fillId="10" borderId="29" xfId="0" applyFont="1" applyFill="1" applyBorder="1" applyAlignment="1">
      <alignment horizontal="center" vertical="center" wrapText="1"/>
    </xf>
    <xf numFmtId="0" fontId="14" fillId="0" borderId="32" xfId="0" applyFont="1" applyBorder="1" applyAlignment="1">
      <alignment horizontal="center" vertical="center"/>
    </xf>
    <xf numFmtId="0" fontId="14" fillId="0" borderId="35" xfId="0" applyFont="1" applyBorder="1" applyAlignment="1">
      <alignment horizontal="center" vertical="center"/>
    </xf>
    <xf numFmtId="0" fontId="12" fillId="0" borderId="36" xfId="2" applyNumberFormat="1" applyFont="1" applyFill="1" applyBorder="1" applyAlignment="1">
      <alignment vertical="center"/>
    </xf>
    <xf numFmtId="0" fontId="12" fillId="0" borderId="54" xfId="2" applyNumberFormat="1" applyFont="1" applyFill="1" applyBorder="1" applyAlignment="1">
      <alignment horizontal="center" vertical="center"/>
    </xf>
    <xf numFmtId="4" fontId="12" fillId="0" borderId="24" xfId="2" applyNumberFormat="1" applyFont="1" applyFill="1" applyBorder="1" applyAlignment="1">
      <alignment horizontal="center" vertical="center"/>
    </xf>
    <xf numFmtId="0" fontId="14" fillId="9" borderId="13" xfId="0" applyFont="1" applyFill="1" applyBorder="1" applyAlignment="1">
      <alignment horizontal="center" vertical="center"/>
    </xf>
    <xf numFmtId="0" fontId="10" fillId="10" borderId="1" xfId="2" applyNumberFormat="1" applyFont="1" applyFill="1" applyBorder="1" applyAlignment="1">
      <alignment horizontal="left" vertical="center"/>
    </xf>
    <xf numFmtId="0" fontId="10" fillId="10" borderId="13" xfId="0" applyFont="1" applyFill="1" applyBorder="1" applyAlignment="1">
      <alignment horizontal="center" vertical="center" wrapText="1"/>
    </xf>
    <xf numFmtId="0" fontId="14" fillId="0" borderId="13" xfId="0" applyFont="1" applyBorder="1" applyAlignment="1">
      <alignment horizontal="center" vertical="center"/>
    </xf>
    <xf numFmtId="0" fontId="12" fillId="0" borderId="13" xfId="2" applyNumberFormat="1" applyFont="1" applyFill="1" applyBorder="1" applyAlignment="1">
      <alignment horizontal="center" vertical="center"/>
    </xf>
    <xf numFmtId="0" fontId="12" fillId="0" borderId="1" xfId="2" applyNumberFormat="1" applyFont="1" applyFill="1" applyBorder="1" applyAlignment="1">
      <alignment horizontal="center" vertical="center"/>
    </xf>
    <xf numFmtId="169" fontId="12" fillId="0" borderId="5" xfId="4" applyNumberFormat="1" applyFont="1" applyFill="1" applyBorder="1" applyAlignment="1">
      <alignment vertical="center"/>
    </xf>
    <xf numFmtId="0" fontId="12" fillId="0" borderId="53" xfId="2" applyNumberFormat="1" applyFont="1" applyFill="1" applyBorder="1" applyAlignment="1">
      <alignment horizontal="center" vertical="center"/>
    </xf>
    <xf numFmtId="4" fontId="12" fillId="0" borderId="53" xfId="2" applyNumberFormat="1" applyFont="1" applyFill="1" applyBorder="1" applyAlignment="1">
      <alignment horizontal="center" vertical="center"/>
    </xf>
    <xf numFmtId="0" fontId="14" fillId="9" borderId="1" xfId="0" applyFont="1" applyFill="1" applyBorder="1" applyAlignment="1">
      <alignment horizontal="center" vertical="center"/>
    </xf>
    <xf numFmtId="0" fontId="10" fillId="10" borderId="1" xfId="2" applyNumberFormat="1" applyFont="1" applyFill="1" applyBorder="1" applyAlignment="1">
      <alignment vertical="center"/>
    </xf>
    <xf numFmtId="4" fontId="12" fillId="0" borderId="15" xfId="2" applyNumberFormat="1" applyFont="1" applyFill="1" applyBorder="1" applyAlignment="1">
      <alignment horizontal="center" vertical="center"/>
    </xf>
    <xf numFmtId="4" fontId="12" fillId="0" borderId="74" xfId="2" applyNumberFormat="1" applyFont="1" applyFill="1" applyBorder="1" applyAlignment="1">
      <alignment horizontal="center" vertical="center"/>
    </xf>
    <xf numFmtId="4" fontId="12" fillId="0" borderId="73" xfId="2" applyNumberFormat="1" applyFont="1" applyFill="1" applyBorder="1" applyAlignment="1">
      <alignment horizontal="center" vertical="center"/>
    </xf>
    <xf numFmtId="0" fontId="14" fillId="9" borderId="5" xfId="0" applyFont="1" applyFill="1" applyBorder="1" applyAlignment="1">
      <alignment horizontal="center" vertical="center"/>
    </xf>
    <xf numFmtId="0" fontId="12" fillId="0" borderId="5" xfId="2" applyNumberFormat="1" applyFont="1" applyFill="1" applyBorder="1" applyAlignment="1">
      <alignment vertical="center" wrapText="1"/>
    </xf>
    <xf numFmtId="0" fontId="12" fillId="0" borderId="17" xfId="2" applyNumberFormat="1" applyFont="1" applyFill="1" applyBorder="1" applyAlignment="1">
      <alignment vertical="center" wrapText="1"/>
    </xf>
    <xf numFmtId="4" fontId="10" fillId="10" borderId="5" xfId="0" applyNumberFormat="1" applyFont="1" applyFill="1" applyBorder="1" applyAlignment="1">
      <alignment horizontal="center" vertical="center" wrapText="1"/>
    </xf>
    <xf numFmtId="4" fontId="12" fillId="0" borderId="5" xfId="2" applyNumberFormat="1" applyFont="1" applyFill="1" applyBorder="1" applyAlignment="1">
      <alignment horizontal="center" vertical="center"/>
    </xf>
    <xf numFmtId="4" fontId="12" fillId="0" borderId="13" xfId="2" applyNumberFormat="1" applyFont="1" applyFill="1" applyBorder="1" applyAlignment="1">
      <alignment horizontal="center" vertical="center"/>
    </xf>
    <xf numFmtId="0" fontId="12" fillId="0" borderId="1" xfId="2" applyFont="1" applyFill="1" applyBorder="1" applyAlignment="1">
      <alignment vertical="center"/>
    </xf>
    <xf numFmtId="0" fontId="10" fillId="10" borderId="5" xfId="2" applyNumberFormat="1" applyFont="1" applyFill="1" applyBorder="1" applyAlignment="1">
      <alignment vertical="center"/>
    </xf>
    <xf numFmtId="0" fontId="14" fillId="11" borderId="1" xfId="0" applyFont="1" applyFill="1" applyBorder="1" applyAlignment="1">
      <alignment horizontal="center" vertical="center"/>
    </xf>
    <xf numFmtId="169" fontId="12" fillId="0" borderId="17" xfId="4" applyNumberFormat="1" applyFont="1" applyFill="1" applyBorder="1" applyAlignment="1">
      <alignment vertical="center"/>
    </xf>
    <xf numFmtId="0" fontId="10" fillId="12" borderId="5" xfId="0" applyFont="1" applyFill="1" applyBorder="1" applyAlignment="1">
      <alignment vertical="center"/>
    </xf>
    <xf numFmtId="0" fontId="14" fillId="0" borderId="0" xfId="0" applyFont="1" applyBorder="1" applyAlignment="1">
      <alignment horizontal="center" vertical="center"/>
    </xf>
    <xf numFmtId="0" fontId="12" fillId="0" borderId="0" xfId="2" applyFont="1" applyFill="1" applyBorder="1" applyAlignment="1">
      <alignment vertical="center"/>
    </xf>
    <xf numFmtId="169" fontId="12" fillId="0" borderId="0" xfId="4" applyNumberFormat="1" applyFont="1" applyFill="1" applyBorder="1" applyAlignment="1">
      <alignment vertical="center"/>
    </xf>
    <xf numFmtId="0" fontId="12" fillId="0" borderId="0" xfId="2" applyNumberFormat="1" applyFont="1" applyFill="1" applyBorder="1" applyAlignment="1">
      <alignment vertical="center" wrapText="1"/>
    </xf>
    <xf numFmtId="4" fontId="12" fillId="0" borderId="0" xfId="2" applyNumberFormat="1" applyFont="1" applyFill="1" applyBorder="1" applyAlignment="1" applyProtection="1">
      <alignment vertical="center"/>
    </xf>
    <xf numFmtId="4" fontId="12" fillId="0" borderId="1" xfId="2" applyNumberFormat="1" applyFont="1" applyFill="1" applyBorder="1" applyAlignment="1" applyProtection="1">
      <alignment vertical="center"/>
    </xf>
    <xf numFmtId="0" fontId="12" fillId="0" borderId="17" xfId="0" applyFont="1" applyFill="1" applyBorder="1" applyAlignment="1">
      <alignment horizontal="center" vertical="center"/>
    </xf>
    <xf numFmtId="4" fontId="12" fillId="0" borderId="5" xfId="0" applyNumberFormat="1" applyFont="1" applyFill="1" applyBorder="1" applyAlignment="1">
      <alignment vertical="center"/>
    </xf>
    <xf numFmtId="4" fontId="10" fillId="1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0" fillId="10" borderId="13" xfId="0" applyFont="1" applyFill="1" applyBorder="1" applyAlignment="1">
      <alignment horizontal="left" vertical="center"/>
    </xf>
    <xf numFmtId="0" fontId="10" fillId="10" borderId="5" xfId="0" applyFont="1" applyFill="1" applyBorder="1" applyAlignment="1">
      <alignment horizontal="center" vertical="center"/>
    </xf>
    <xf numFmtId="0" fontId="12" fillId="7" borderId="13" xfId="0" applyFont="1" applyFill="1" applyBorder="1" applyAlignment="1">
      <alignment vertical="center" wrapText="1"/>
    </xf>
    <xf numFmtId="0" fontId="12" fillId="7" borderId="5" xfId="0" applyFont="1" applyFill="1" applyBorder="1" applyAlignment="1">
      <alignment horizontal="center" vertical="center"/>
    </xf>
    <xf numFmtId="0" fontId="12" fillId="0" borderId="62" xfId="0" applyFont="1" applyFill="1" applyBorder="1" applyAlignment="1">
      <alignment vertical="center" wrapText="1"/>
    </xf>
    <xf numFmtId="0" fontId="11" fillId="0" borderId="1" xfId="0" applyFont="1" applyBorder="1" applyAlignment="1">
      <alignment horizontal="center" vertical="center"/>
    </xf>
    <xf numFmtId="0" fontId="10" fillId="9" borderId="13" xfId="0" applyFont="1" applyFill="1" applyBorder="1" applyAlignment="1">
      <alignment vertical="center"/>
    </xf>
    <xf numFmtId="0" fontId="10" fillId="9" borderId="5" xfId="0" applyFont="1" applyFill="1" applyBorder="1" applyAlignment="1">
      <alignment horizontal="center" vertical="center"/>
    </xf>
    <xf numFmtId="4" fontId="10" fillId="9" borderId="5" xfId="0" applyNumberFormat="1" applyFont="1" applyFill="1" applyBorder="1" applyAlignment="1">
      <alignment horizontal="center" vertical="center"/>
    </xf>
    <xf numFmtId="0" fontId="12" fillId="0" borderId="13" xfId="0" applyFont="1" applyFill="1" applyBorder="1" applyAlignment="1">
      <alignment vertical="center" wrapText="1"/>
    </xf>
    <xf numFmtId="0" fontId="12" fillId="0" borderId="6" xfId="0" applyFont="1" applyFill="1" applyBorder="1" applyAlignment="1">
      <alignment horizontal="center" vertical="center"/>
    </xf>
    <xf numFmtId="0" fontId="12" fillId="13" borderId="75" xfId="0" quotePrefix="1" applyNumberFormat="1" applyFont="1" applyFill="1" applyBorder="1" applyAlignment="1" applyProtection="1">
      <alignment horizontal="left" vertical="center" wrapText="1"/>
    </xf>
    <xf numFmtId="0" fontId="22" fillId="9" borderId="1" xfId="0" applyFont="1" applyFill="1" applyBorder="1" applyAlignment="1">
      <alignment horizontal="center" vertical="center"/>
    </xf>
    <xf numFmtId="0" fontId="10" fillId="9" borderId="1" xfId="0" applyFont="1" applyFill="1" applyBorder="1" applyAlignment="1">
      <alignment vertical="center" wrapText="1"/>
    </xf>
    <xf numFmtId="0" fontId="10" fillId="9" borderId="1" xfId="0" applyFont="1" applyFill="1" applyBorder="1" applyAlignment="1">
      <alignment horizontal="center" vertical="center"/>
    </xf>
    <xf numFmtId="4" fontId="10" fillId="9" borderId="1" xfId="0" applyNumberFormat="1" applyFont="1" applyFill="1" applyBorder="1" applyAlignment="1">
      <alignment horizontal="center" vertical="center"/>
    </xf>
    <xf numFmtId="0" fontId="12" fillId="0" borderId="6" xfId="0" applyFont="1" applyFill="1" applyBorder="1" applyAlignment="1">
      <alignment vertical="center" wrapText="1"/>
    </xf>
    <xf numFmtId="0" fontId="12" fillId="0" borderId="1" xfId="0" applyFont="1" applyFill="1" applyBorder="1" applyAlignment="1">
      <alignment vertical="center"/>
    </xf>
    <xf numFmtId="0" fontId="10" fillId="9" borderId="1" xfId="0" applyFont="1" applyFill="1" applyBorder="1" applyAlignment="1">
      <alignment vertical="center"/>
    </xf>
    <xf numFmtId="0" fontId="12" fillId="0" borderId="13" xfId="0" applyFont="1" applyFill="1" applyBorder="1" applyAlignment="1">
      <alignment vertical="center"/>
    </xf>
    <xf numFmtId="166" fontId="12" fillId="0" borderId="15" xfId="2" applyNumberFormat="1" applyFont="1" applyFill="1" applyBorder="1" applyAlignment="1" applyProtection="1">
      <alignment vertical="center"/>
    </xf>
    <xf numFmtId="166" fontId="12" fillId="0" borderId="15" xfId="0" applyNumberFormat="1" applyFont="1" applyFill="1" applyBorder="1" applyAlignment="1">
      <alignment vertical="center"/>
    </xf>
    <xf numFmtId="166" fontId="12" fillId="0" borderId="1" xfId="0" applyNumberFormat="1" applyFont="1" applyFill="1" applyBorder="1" applyAlignment="1">
      <alignment vertical="center"/>
    </xf>
    <xf numFmtId="166" fontId="14" fillId="0" borderId="76" xfId="0" applyNumberFormat="1" applyFont="1" applyBorder="1"/>
    <xf numFmtId="0" fontId="12" fillId="0" borderId="77" xfId="0" applyFont="1" applyFill="1" applyBorder="1" applyAlignment="1">
      <alignment horizontal="center" vertical="center"/>
    </xf>
    <xf numFmtId="4" fontId="12" fillId="0" borderId="53" xfId="0" applyNumberFormat="1" applyFont="1" applyFill="1" applyBorder="1" applyAlignment="1">
      <alignment vertical="center"/>
    </xf>
    <xf numFmtId="0" fontId="12" fillId="0" borderId="53" xfId="0" applyFont="1" applyFill="1" applyBorder="1" applyAlignment="1">
      <alignment horizontal="center" vertical="center"/>
    </xf>
    <xf numFmtId="0" fontId="10" fillId="10" borderId="28" xfId="0" applyFont="1" applyFill="1" applyBorder="1" applyAlignment="1">
      <alignment vertical="center"/>
    </xf>
    <xf numFmtId="0" fontId="10" fillId="10" borderId="28" xfId="0" applyFont="1" applyFill="1" applyBorder="1" applyAlignment="1">
      <alignment horizontal="center" vertical="center"/>
    </xf>
    <xf numFmtId="4" fontId="10" fillId="10" borderId="28" xfId="0" applyNumberFormat="1" applyFont="1" applyFill="1" applyBorder="1" applyAlignment="1">
      <alignment horizontal="center" vertical="center"/>
    </xf>
    <xf numFmtId="0" fontId="11" fillId="0" borderId="29" xfId="0" applyFont="1" applyBorder="1" applyAlignment="1">
      <alignment horizontal="center" wrapText="1"/>
    </xf>
    <xf numFmtId="166" fontId="14" fillId="0" borderId="78" xfId="0" applyNumberFormat="1" applyFont="1" applyBorder="1"/>
    <xf numFmtId="0" fontId="12" fillId="0" borderId="36" xfId="0" applyFont="1" applyFill="1" applyBorder="1" applyAlignment="1">
      <alignment horizontal="center" vertical="center"/>
    </xf>
    <xf numFmtId="4" fontId="12" fillId="0" borderId="76" xfId="0" applyNumberFormat="1" applyFont="1" applyFill="1" applyBorder="1" applyAlignment="1">
      <alignment vertical="center"/>
    </xf>
    <xf numFmtId="0" fontId="15" fillId="9" borderId="27" xfId="2" quotePrefix="1" applyNumberFormat="1" applyFont="1" applyFill="1" applyBorder="1" applyAlignment="1" applyProtection="1">
      <alignment horizontal="center" vertical="center"/>
    </xf>
    <xf numFmtId="0" fontId="10" fillId="10" borderId="28" xfId="2" quotePrefix="1" applyNumberFormat="1" applyFont="1" applyFill="1" applyBorder="1" applyAlignment="1" applyProtection="1">
      <alignment horizontal="left" vertical="center" wrapText="1"/>
    </xf>
    <xf numFmtId="0" fontId="10" fillId="10" borderId="28" xfId="2" quotePrefix="1" applyNumberFormat="1" applyFont="1" applyFill="1" applyBorder="1" applyAlignment="1" applyProtection="1">
      <alignment horizontal="center" vertical="center"/>
    </xf>
    <xf numFmtId="4" fontId="10" fillId="10" borderId="28" xfId="2" applyNumberFormat="1" applyFont="1" applyFill="1" applyBorder="1" applyAlignment="1" applyProtection="1">
      <alignment horizontal="center" vertical="center"/>
    </xf>
    <xf numFmtId="166" fontId="10" fillId="3" borderId="28" xfId="0" applyNumberFormat="1" applyFont="1" applyFill="1" applyBorder="1" applyAlignment="1">
      <alignment horizontal="center" vertical="center" wrapText="1"/>
    </xf>
    <xf numFmtId="0" fontId="13" fillId="0" borderId="32" xfId="2" applyNumberFormat="1" applyFont="1" applyFill="1" applyBorder="1" applyAlignment="1" applyProtection="1">
      <alignment horizontal="center" vertical="center"/>
    </xf>
    <xf numFmtId="0" fontId="13" fillId="0" borderId="35" xfId="2" applyNumberFormat="1" applyFont="1" applyFill="1" applyBorder="1" applyAlignment="1" applyProtection="1">
      <alignment horizontal="center" vertical="center"/>
    </xf>
    <xf numFmtId="0" fontId="12" fillId="0" borderId="60" xfId="0" applyFont="1" applyFill="1" applyBorder="1" applyAlignment="1">
      <alignment horizontal="center" vertical="center"/>
    </xf>
    <xf numFmtId="166" fontId="12" fillId="0" borderId="6" xfId="0" applyNumberFormat="1" applyFont="1" applyFill="1" applyBorder="1" applyAlignment="1">
      <alignment vertical="center"/>
    </xf>
    <xf numFmtId="0" fontId="12" fillId="0" borderId="65" xfId="0" applyFont="1" applyFill="1" applyBorder="1" applyAlignment="1">
      <alignment horizontal="center" vertical="center"/>
    </xf>
    <xf numFmtId="4" fontId="12" fillId="0" borderId="53" xfId="0" applyNumberFormat="1" applyFont="1" applyFill="1" applyBorder="1" applyAlignment="1">
      <alignment vertical="center" wrapText="1"/>
    </xf>
    <xf numFmtId="0" fontId="10" fillId="0" borderId="0" xfId="0" applyFont="1" applyFill="1" applyBorder="1" applyAlignment="1">
      <alignment horizontal="center" vertical="center" wrapText="1"/>
    </xf>
    <xf numFmtId="0" fontId="12" fillId="8" borderId="5" xfId="0" applyFont="1" applyFill="1" applyBorder="1" applyAlignment="1">
      <alignment vertical="center"/>
    </xf>
    <xf numFmtId="0" fontId="10" fillId="8" borderId="5" xfId="0" applyFont="1" applyFill="1" applyBorder="1" applyAlignment="1">
      <alignment vertical="center"/>
    </xf>
    <xf numFmtId="0" fontId="12" fillId="8" borderId="13" xfId="0" applyFont="1" applyFill="1" applyBorder="1" applyAlignment="1">
      <alignment vertical="center"/>
    </xf>
    <xf numFmtId="4" fontId="12" fillId="8" borderId="13" xfId="0" applyNumberFormat="1" applyFont="1" applyFill="1" applyBorder="1" applyAlignment="1">
      <alignment vertical="center"/>
    </xf>
    <xf numFmtId="4" fontId="10" fillId="8" borderId="1" xfId="0" applyNumberFormat="1" applyFont="1" applyFill="1" applyBorder="1" applyAlignment="1">
      <alignment vertical="center"/>
    </xf>
    <xf numFmtId="4" fontId="10" fillId="8" borderId="16" xfId="0" applyNumberFormat="1" applyFont="1" applyFill="1" applyBorder="1" applyAlignment="1">
      <alignment vertical="center"/>
    </xf>
    <xf numFmtId="0" fontId="12" fillId="8" borderId="2" xfId="0" applyFont="1" applyFill="1" applyBorder="1" applyAlignment="1">
      <alignment vertical="center"/>
    </xf>
    <xf numFmtId="0" fontId="12" fillId="8" borderId="3" xfId="0" applyFont="1" applyFill="1" applyBorder="1" applyAlignment="1">
      <alignment vertical="center"/>
    </xf>
    <xf numFmtId="4" fontId="21" fillId="8" borderId="3" xfId="0" applyNumberFormat="1" applyFont="1" applyFill="1" applyBorder="1" applyAlignment="1">
      <alignment vertical="center"/>
    </xf>
    <xf numFmtId="166" fontId="11" fillId="14" borderId="16" xfId="0" applyNumberFormat="1" applyFont="1" applyFill="1" applyBorder="1"/>
    <xf numFmtId="0" fontId="10" fillId="2" borderId="5" xfId="0" applyFont="1" applyFill="1" applyBorder="1" applyAlignment="1">
      <alignment horizontal="center" vertical="center" wrapText="1"/>
    </xf>
    <xf numFmtId="167" fontId="10" fillId="2" borderId="71" xfId="0" applyNumberFormat="1" applyFont="1" applyFill="1" applyBorder="1" applyAlignment="1">
      <alignment vertical="center" wrapText="1"/>
    </xf>
    <xf numFmtId="4" fontId="10" fillId="2" borderId="16" xfId="0" applyNumberFormat="1" applyFont="1" applyFill="1" applyBorder="1" applyAlignment="1">
      <alignment vertical="center" wrapText="1"/>
    </xf>
    <xf numFmtId="0" fontId="15" fillId="9" borderId="1" xfId="0" applyNumberFormat="1" applyFont="1" applyFill="1" applyBorder="1" applyAlignment="1" applyProtection="1">
      <alignment horizontal="center" vertical="center" wrapText="1"/>
    </xf>
    <xf numFmtId="0" fontId="10" fillId="15" borderId="80" xfId="0" quotePrefix="1" applyNumberFormat="1" applyFont="1" applyFill="1" applyBorder="1" applyAlignment="1" applyProtection="1">
      <alignment horizontal="left" vertical="center" wrapText="1"/>
    </xf>
    <xf numFmtId="4" fontId="10" fillId="15" borderId="80" xfId="0" quotePrefix="1" applyNumberFormat="1" applyFont="1" applyFill="1" applyBorder="1" applyAlignment="1" applyProtection="1">
      <alignment horizontal="right" vertical="center" wrapText="1"/>
    </xf>
    <xf numFmtId="0" fontId="13" fillId="11" borderId="81" xfId="0" quotePrefix="1" applyNumberFormat="1" applyFont="1" applyFill="1" applyBorder="1" applyAlignment="1" applyProtection="1">
      <alignment horizontal="center" vertical="center" wrapText="1"/>
    </xf>
    <xf numFmtId="0" fontId="12" fillId="13" borderId="82" xfId="0" quotePrefix="1" applyNumberFormat="1" applyFont="1" applyFill="1" applyBorder="1" applyAlignment="1" applyProtection="1">
      <alignment horizontal="left" vertical="center" wrapText="1"/>
    </xf>
    <xf numFmtId="0" fontId="12" fillId="13" borderId="83" xfId="0" quotePrefix="1" applyNumberFormat="1" applyFont="1" applyFill="1" applyBorder="1" applyAlignment="1" applyProtection="1">
      <alignment horizontal="left" vertical="center" wrapText="1"/>
    </xf>
    <xf numFmtId="4" fontId="12" fillId="13" borderId="82" xfId="0" quotePrefix="1" applyNumberFormat="1" applyFont="1" applyFill="1" applyBorder="1" applyAlignment="1" applyProtection="1">
      <alignment horizontal="right" vertical="center" wrapText="1"/>
    </xf>
    <xf numFmtId="0" fontId="13" fillId="11" borderId="84" xfId="0" quotePrefix="1" applyNumberFormat="1" applyFont="1" applyFill="1" applyBorder="1" applyAlignment="1" applyProtection="1">
      <alignment horizontal="center" vertical="center" wrapText="1"/>
    </xf>
    <xf numFmtId="0" fontId="12" fillId="13" borderId="85" xfId="0" quotePrefix="1" applyNumberFormat="1" applyFont="1" applyFill="1" applyBorder="1" applyAlignment="1" applyProtection="1">
      <alignment horizontal="left" vertical="center" wrapText="1"/>
    </xf>
    <xf numFmtId="0" fontId="12" fillId="13" borderId="86" xfId="0" quotePrefix="1" applyNumberFormat="1" applyFont="1" applyFill="1" applyBorder="1" applyAlignment="1" applyProtection="1">
      <alignment horizontal="left" vertical="center" wrapText="1"/>
    </xf>
    <xf numFmtId="4" fontId="12" fillId="7" borderId="85" xfId="0" quotePrefix="1" applyNumberFormat="1" applyFont="1" applyFill="1" applyBorder="1" applyAlignment="1" applyProtection="1">
      <alignment horizontal="right" vertical="center" wrapText="1"/>
    </xf>
    <xf numFmtId="0" fontId="12" fillId="13" borderId="87" xfId="0" quotePrefix="1" applyNumberFormat="1" applyFont="1" applyFill="1" applyBorder="1" applyAlignment="1" applyProtection="1">
      <alignment horizontal="left" vertical="center" wrapText="1"/>
    </xf>
    <xf numFmtId="4" fontId="12" fillId="7" borderId="75" xfId="0" quotePrefix="1" applyNumberFormat="1" applyFont="1" applyFill="1" applyBorder="1" applyAlignment="1" applyProtection="1">
      <alignment horizontal="right" vertical="center" wrapText="1"/>
    </xf>
    <xf numFmtId="0" fontId="12" fillId="13" borderId="75" xfId="0" quotePrefix="1" applyNumberFormat="1" applyFont="1" applyFill="1" applyBorder="1" applyAlignment="1" applyProtection="1">
      <alignment horizontal="left" vertical="center"/>
    </xf>
    <xf numFmtId="0" fontId="12" fillId="13" borderId="88" xfId="0" quotePrefix="1" applyNumberFormat="1" applyFont="1" applyFill="1" applyBorder="1" applyAlignment="1" applyProtection="1">
      <alignment horizontal="left" vertical="center" wrapText="1"/>
    </xf>
    <xf numFmtId="166" fontId="12" fillId="13" borderId="89" xfId="0" quotePrefix="1" applyNumberFormat="1" applyFont="1" applyFill="1" applyBorder="1" applyAlignment="1" applyProtection="1">
      <alignment horizontal="right" vertical="center" wrapText="1"/>
    </xf>
    <xf numFmtId="166" fontId="12" fillId="13" borderId="90" xfId="0" quotePrefix="1" applyNumberFormat="1" applyFont="1" applyFill="1" applyBorder="1" applyAlignment="1" applyProtection="1">
      <alignment horizontal="right" vertical="center" wrapText="1"/>
    </xf>
    <xf numFmtId="166" fontId="12" fillId="13" borderId="80" xfId="0" quotePrefix="1" applyNumberFormat="1" applyFont="1" applyFill="1" applyBorder="1" applyAlignment="1" applyProtection="1">
      <alignment horizontal="right" vertical="center" wrapText="1"/>
    </xf>
    <xf numFmtId="166" fontId="12" fillId="13" borderId="91" xfId="0" quotePrefix="1" applyNumberFormat="1" applyFont="1" applyFill="1" applyBorder="1" applyAlignment="1" applyProtection="1">
      <alignment horizontal="right" vertical="center" wrapText="1"/>
    </xf>
    <xf numFmtId="0" fontId="12" fillId="13" borderId="92" xfId="0" quotePrefix="1" applyNumberFormat="1" applyFont="1" applyFill="1" applyBorder="1" applyAlignment="1" applyProtection="1">
      <alignment horizontal="left" vertical="center" wrapText="1"/>
    </xf>
    <xf numFmtId="4" fontId="12" fillId="13" borderId="93" xfId="0" quotePrefix="1" applyNumberFormat="1" applyFont="1" applyFill="1" applyBorder="1" applyAlignment="1" applyProtection="1">
      <alignment horizontal="right" vertical="center" wrapText="1"/>
    </xf>
    <xf numFmtId="0" fontId="13" fillId="11" borderId="1" xfId="0" quotePrefix="1" applyNumberFormat="1" applyFont="1" applyFill="1" applyBorder="1" applyAlignment="1" applyProtection="1">
      <alignment horizontal="center" vertical="center" wrapText="1"/>
    </xf>
    <xf numFmtId="170" fontId="13" fillId="16" borderId="85" xfId="0" quotePrefix="1" applyNumberFormat="1" applyFont="1" applyFill="1" applyBorder="1" applyAlignment="1" applyProtection="1">
      <alignment horizontal="right" vertical="center" wrapText="1"/>
    </xf>
    <xf numFmtId="170" fontId="13" fillId="16" borderId="75" xfId="0" quotePrefix="1" applyNumberFormat="1" applyFont="1" applyFill="1" applyBorder="1" applyAlignment="1" applyProtection="1">
      <alignment horizontal="right" vertical="center" wrapText="1"/>
    </xf>
    <xf numFmtId="170" fontId="13" fillId="11" borderId="75" xfId="0" quotePrefix="1" applyNumberFormat="1" applyFont="1" applyFill="1" applyBorder="1" applyAlignment="1" applyProtection="1">
      <alignment horizontal="right" vertical="center" wrapText="1"/>
    </xf>
    <xf numFmtId="0" fontId="12" fillId="13" borderId="80" xfId="0" quotePrefix="1" applyNumberFormat="1" applyFont="1" applyFill="1" applyBorder="1" applyAlignment="1" applyProtection="1">
      <alignment horizontal="center" vertical="center" wrapText="1"/>
    </xf>
    <xf numFmtId="166" fontId="12" fillId="17" borderId="90" xfId="0" quotePrefix="1" applyNumberFormat="1" applyFont="1" applyFill="1" applyBorder="1" applyAlignment="1" applyProtection="1">
      <alignment horizontal="right" vertical="center" wrapText="1"/>
    </xf>
    <xf numFmtId="166" fontId="12" fillId="17" borderId="80" xfId="0" quotePrefix="1" applyNumberFormat="1" applyFont="1" applyFill="1" applyBorder="1" applyAlignment="1" applyProtection="1">
      <alignment horizontal="right" vertical="center" wrapText="1"/>
    </xf>
    <xf numFmtId="170" fontId="13" fillId="11" borderId="93" xfId="0" quotePrefix="1" applyNumberFormat="1" applyFont="1" applyFill="1" applyBorder="1" applyAlignment="1" applyProtection="1">
      <alignment horizontal="right" vertical="center" wrapText="1"/>
    </xf>
    <xf numFmtId="4" fontId="10" fillId="8" borderId="94" xfId="0" applyNumberFormat="1" applyFont="1" applyFill="1" applyBorder="1" applyAlignment="1" applyProtection="1">
      <alignment horizontal="right" vertical="center" wrapText="1"/>
    </xf>
    <xf numFmtId="0" fontId="10" fillId="8" borderId="5" xfId="0" applyNumberFormat="1" applyFont="1" applyFill="1" applyBorder="1" applyAlignment="1" applyProtection="1">
      <alignment vertical="center" wrapText="1"/>
    </xf>
    <xf numFmtId="0" fontId="12" fillId="8" borderId="13" xfId="0" applyNumberFormat="1" applyFont="1" applyFill="1" applyBorder="1" applyAlignment="1" applyProtection="1">
      <alignment vertical="center" wrapText="1"/>
    </xf>
    <xf numFmtId="4" fontId="12" fillId="8" borderId="13" xfId="0" applyNumberFormat="1" applyFont="1" applyFill="1" applyBorder="1" applyAlignment="1" applyProtection="1">
      <alignment vertical="center" wrapText="1"/>
    </xf>
    <xf numFmtId="0" fontId="12" fillId="8" borderId="63" xfId="0" applyNumberFormat="1" applyFont="1" applyFill="1" applyBorder="1" applyAlignment="1" applyProtection="1">
      <alignment vertical="center" wrapText="1"/>
    </xf>
    <xf numFmtId="0" fontId="10" fillId="2" borderId="3" xfId="0" applyFont="1" applyFill="1" applyBorder="1" applyAlignment="1">
      <alignment vertical="center"/>
    </xf>
    <xf numFmtId="0" fontId="12" fillId="2" borderId="3" xfId="0" applyFont="1" applyFill="1" applyBorder="1" applyAlignment="1">
      <alignment vertical="center"/>
    </xf>
    <xf numFmtId="4" fontId="12" fillId="2" borderId="3" xfId="0" applyNumberFormat="1" applyFont="1" applyFill="1" applyBorder="1" applyAlignment="1">
      <alignment vertical="center"/>
    </xf>
    <xf numFmtId="4" fontId="10" fillId="2" borderId="4" xfId="0" applyNumberFormat="1" applyFont="1" applyFill="1" applyBorder="1" applyAlignment="1">
      <alignment vertical="center"/>
    </xf>
    <xf numFmtId="0" fontId="10" fillId="0" borderId="1" xfId="0" applyFont="1" applyFill="1" applyBorder="1" applyAlignment="1">
      <alignment vertical="center"/>
    </xf>
    <xf numFmtId="10" fontId="10" fillId="0" borderId="1" xfId="6" applyNumberFormat="1" applyFont="1" applyFill="1" applyBorder="1"/>
    <xf numFmtId="171" fontId="10" fillId="0" borderId="1" xfId="5" applyNumberFormat="1" applyFont="1" applyFill="1" applyBorder="1"/>
    <xf numFmtId="10" fontId="12" fillId="0" borderId="1" xfId="6" applyNumberFormat="1" applyFont="1" applyFill="1" applyBorder="1"/>
    <xf numFmtId="171" fontId="12" fillId="0" borderId="1" xfId="5" applyNumberFormat="1" applyFont="1" applyFill="1" applyBorder="1"/>
    <xf numFmtId="0" fontId="10" fillId="2" borderId="1" xfId="0" applyFont="1" applyFill="1" applyBorder="1" applyAlignment="1">
      <alignment vertical="center"/>
    </xf>
    <xf numFmtId="10" fontId="10" fillId="2" borderId="1" xfId="6" applyNumberFormat="1" applyFont="1" applyFill="1" applyBorder="1"/>
    <xf numFmtId="0" fontId="10" fillId="2" borderId="1" xfId="0" applyFont="1" applyFill="1" applyBorder="1"/>
    <xf numFmtId="171" fontId="10" fillId="2" borderId="1" xfId="5" applyNumberFormat="1" applyFont="1" applyFill="1" applyBorder="1"/>
    <xf numFmtId="0" fontId="12" fillId="0" borderId="1" xfId="0" applyFont="1" applyFill="1" applyBorder="1"/>
    <xf numFmtId="0" fontId="12" fillId="0" borderId="53" xfId="0" applyFont="1" applyFill="1" applyBorder="1" applyAlignment="1">
      <alignment vertical="center"/>
    </xf>
    <xf numFmtId="9" fontId="12" fillId="0" borderId="53" xfId="0" applyNumberFormat="1" applyFont="1" applyFill="1" applyBorder="1"/>
    <xf numFmtId="0" fontId="12" fillId="0" borderId="53" xfId="0" applyFont="1" applyFill="1" applyBorder="1"/>
    <xf numFmtId="171" fontId="12" fillId="0" borderId="53" xfId="5" applyNumberFormat="1" applyFont="1" applyFill="1" applyBorder="1"/>
    <xf numFmtId="0" fontId="10" fillId="2" borderId="3" xfId="0" applyFont="1" applyFill="1" applyBorder="1"/>
    <xf numFmtId="0" fontId="10" fillId="2" borderId="79" xfId="0" applyFont="1" applyFill="1" applyBorder="1"/>
    <xf numFmtId="171" fontId="10" fillId="2" borderId="22" xfId="5" applyNumberFormat="1" applyFont="1" applyFill="1" applyBorder="1"/>
    <xf numFmtId="166" fontId="0" fillId="0" borderId="1" xfId="0" applyNumberFormat="1" applyBorder="1"/>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14" borderId="2" xfId="2" applyNumberFormat="1" applyFont="1" applyFill="1" applyBorder="1" applyAlignment="1" applyProtection="1">
      <alignment horizontal="center" vertical="center"/>
    </xf>
    <xf numFmtId="0" fontId="10" fillId="14" borderId="3" xfId="2" applyNumberFormat="1" applyFont="1" applyFill="1" applyBorder="1" applyAlignment="1" applyProtection="1">
      <alignment horizontal="center" vertical="center"/>
    </xf>
    <xf numFmtId="0" fontId="10" fillId="14" borderId="4" xfId="2" applyNumberFormat="1" applyFont="1" applyFill="1" applyBorder="1" applyAlignment="1" applyProtection="1">
      <alignment horizontal="center" vertical="center"/>
    </xf>
    <xf numFmtId="0" fontId="4" fillId="0" borderId="1" xfId="2" applyNumberFormat="1" applyFont="1" applyFill="1" applyBorder="1" applyAlignment="1" applyProtection="1">
      <alignment horizontal="center"/>
    </xf>
    <xf numFmtId="0" fontId="10" fillId="0" borderId="2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164" fontId="6" fillId="0" borderId="1" xfId="3" applyNumberFormat="1" applyFont="1" applyFill="1" applyBorder="1" applyAlignment="1" applyProtection="1">
      <alignment horizontal="center" vertical="center"/>
    </xf>
    <xf numFmtId="0" fontId="7" fillId="0" borderId="1" xfId="2" applyNumberFormat="1" applyFont="1" applyFill="1" applyBorder="1" applyAlignment="1" applyProtection="1">
      <alignment horizontal="center" wrapText="1"/>
    </xf>
    <xf numFmtId="0" fontId="8" fillId="0" borderId="1" xfId="2" applyNumberFormat="1" applyFont="1" applyFill="1" applyBorder="1" applyAlignment="1" applyProtection="1">
      <alignment horizont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6" fillId="0" borderId="2"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0" fillId="0" borderId="71" xfId="0" applyFont="1" applyFill="1" applyBorder="1" applyAlignment="1">
      <alignment horizontal="center" vertical="center" wrapText="1"/>
    </xf>
    <xf numFmtId="0" fontId="5" fillId="0" borderId="1" xfId="2" applyNumberFormat="1" applyFont="1" applyFill="1" applyBorder="1" applyAlignment="1" applyProtection="1">
      <alignment horizontal="left"/>
    </xf>
    <xf numFmtId="0" fontId="10" fillId="2" borderId="20"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3" fillId="0" borderId="1" xfId="2" applyNumberFormat="1" applyFont="1" applyFill="1" applyBorder="1" applyAlignment="1" applyProtection="1">
      <alignment horizontal="center"/>
    </xf>
    <xf numFmtId="0" fontId="10" fillId="2" borderId="1"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8" borderId="2" xfId="2" applyNumberFormat="1" applyFont="1" applyFill="1" applyBorder="1" applyAlignment="1" applyProtection="1">
      <alignment horizontal="center" vertical="center" wrapText="1"/>
    </xf>
    <xf numFmtId="0" fontId="10" fillId="8" borderId="3" xfId="2" applyNumberFormat="1" applyFont="1" applyFill="1" applyBorder="1" applyAlignment="1" applyProtection="1">
      <alignment horizontal="center" vertical="center" wrapText="1"/>
    </xf>
    <xf numFmtId="0" fontId="10" fillId="8" borderId="4" xfId="2" applyNumberFormat="1" applyFont="1" applyFill="1" applyBorder="1" applyAlignment="1" applyProtection="1">
      <alignment horizontal="center" vertical="center" wrapText="1"/>
    </xf>
    <xf numFmtId="0" fontId="10" fillId="0" borderId="60" xfId="0" applyFont="1" applyFill="1" applyBorder="1" applyAlignment="1">
      <alignment horizontal="center" vertical="center" wrapText="1"/>
    </xf>
    <xf numFmtId="0" fontId="10" fillId="8" borderId="2" xfId="2" applyNumberFormat="1" applyFont="1" applyFill="1" applyBorder="1" applyAlignment="1" applyProtection="1">
      <alignment horizontal="center" vertical="center"/>
    </xf>
    <xf numFmtId="0" fontId="10" fillId="8" borderId="3" xfId="2" applyNumberFormat="1" applyFont="1" applyFill="1" applyBorder="1" applyAlignment="1" applyProtection="1">
      <alignment horizontal="center" vertical="center"/>
    </xf>
    <xf numFmtId="0" fontId="10" fillId="8" borderId="4" xfId="2" applyNumberFormat="1" applyFont="1" applyFill="1" applyBorder="1" applyAlignment="1" applyProtection="1">
      <alignment horizontal="center" vertical="center"/>
    </xf>
    <xf numFmtId="0" fontId="10" fillId="8" borderId="2" xfId="0" applyFont="1" applyFill="1" applyBorder="1" applyAlignment="1">
      <alignment horizontal="center" vertical="center"/>
    </xf>
    <xf numFmtId="0" fontId="10" fillId="8" borderId="3" xfId="0" applyFont="1" applyFill="1" applyBorder="1" applyAlignment="1">
      <alignment horizontal="center" vertical="center"/>
    </xf>
    <xf numFmtId="0" fontId="10" fillId="8" borderId="4" xfId="0" applyFont="1" applyFill="1" applyBorder="1" applyAlignment="1">
      <alignment horizontal="center" vertical="center"/>
    </xf>
  </cellXfs>
  <cellStyles count="7">
    <cellStyle name="Millares" xfId="1" builtinId="3"/>
    <cellStyle name="Millares 4" xfId="3"/>
    <cellStyle name="Moneda" xfId="5" builtinId="4"/>
    <cellStyle name="Moneda 5" xfId="4"/>
    <cellStyle name="Normal" xfId="0" builtinId="0"/>
    <cellStyle name="Normal 2 2 2" xfId="2"/>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2</xdr:row>
      <xdr:rowOff>12009</xdr:rowOff>
    </xdr:from>
    <xdr:to>
      <xdr:col>1</xdr:col>
      <xdr:colOff>1905000</xdr:colOff>
      <xdr:row>5</xdr:row>
      <xdr:rowOff>100802</xdr:rowOff>
    </xdr:to>
    <xdr:pic>
      <xdr:nvPicPr>
        <xdr:cNvPr id="4" name="1 Imagen" descr="logo.jpg"/>
        <xdr:cNvPicPr>
          <a:picLocks noChangeAspect="1"/>
        </xdr:cNvPicPr>
      </xdr:nvPicPr>
      <xdr:blipFill>
        <a:blip xmlns:r="http://schemas.openxmlformats.org/officeDocument/2006/relationships" r:embed="rId1"/>
        <a:srcRect t="9756" r="54745" b="5692"/>
        <a:stretch>
          <a:fillRect/>
        </a:stretch>
      </xdr:blipFill>
      <xdr:spPr bwMode="auto">
        <a:xfrm>
          <a:off x="28575" y="393009"/>
          <a:ext cx="2314575" cy="660293"/>
        </a:xfrm>
        <a:prstGeom prst="rect">
          <a:avLst/>
        </a:prstGeom>
        <a:noFill/>
        <a:ln w="9525">
          <a:noFill/>
          <a:miter lim="800000"/>
          <a:headEnd/>
          <a:tailEnd/>
        </a:ln>
      </xdr:spPr>
    </xdr:pic>
    <xdr:clientData/>
  </xdr:twoCellAnchor>
  <xdr:twoCellAnchor editAs="oneCell">
    <xdr:from>
      <xdr:col>5</xdr:col>
      <xdr:colOff>266701</xdr:colOff>
      <xdr:row>2</xdr:row>
      <xdr:rowOff>47626</xdr:rowOff>
    </xdr:from>
    <xdr:to>
      <xdr:col>6</xdr:col>
      <xdr:colOff>342900</xdr:colOff>
      <xdr:row>5</xdr:row>
      <xdr:rowOff>165362</xdr:rowOff>
    </xdr:to>
    <xdr:pic>
      <xdr:nvPicPr>
        <xdr:cNvPr id="5" name="2 Imagen" descr="logo.jpg"/>
        <xdr:cNvPicPr>
          <a:picLocks noChangeAspect="1"/>
        </xdr:cNvPicPr>
      </xdr:nvPicPr>
      <xdr:blipFill>
        <a:blip xmlns:r="http://schemas.openxmlformats.org/officeDocument/2006/relationships" r:embed="rId1"/>
        <a:srcRect l="76857" t="15730" b="14607"/>
        <a:stretch>
          <a:fillRect/>
        </a:stretch>
      </xdr:blipFill>
      <xdr:spPr bwMode="auto">
        <a:xfrm>
          <a:off x="6067426" y="428626"/>
          <a:ext cx="1171574" cy="68923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00"/>
  <sheetViews>
    <sheetView tabSelected="1" topLeftCell="A379" workbookViewId="0">
      <selection activeCell="F400" sqref="F400"/>
    </sheetView>
  </sheetViews>
  <sheetFormatPr baseColWidth="10" defaultRowHeight="15" x14ac:dyDescent="0.25"/>
  <cols>
    <col min="1" max="1" width="6.5703125" customWidth="1"/>
    <col min="2" max="2" width="34.7109375" customWidth="1"/>
    <col min="3" max="3" width="7.7109375" customWidth="1"/>
    <col min="4" max="4" width="10" customWidth="1"/>
    <col min="5" max="5" width="13.85546875" customWidth="1"/>
    <col min="6" max="6" width="16.42578125" customWidth="1"/>
    <col min="7" max="7" width="16.140625" customWidth="1"/>
    <col min="8" max="8" width="14.42578125" customWidth="1"/>
    <col min="11" max="11" width="19.140625" customWidth="1"/>
  </cols>
  <sheetData>
    <row r="1" spans="1:8" x14ac:dyDescent="0.25">
      <c r="A1" s="1"/>
      <c r="B1" s="2"/>
      <c r="C1" s="2"/>
      <c r="D1" s="2"/>
      <c r="E1" s="2"/>
      <c r="F1" s="2"/>
      <c r="G1" s="3"/>
    </row>
    <row r="2" spans="1:8" x14ac:dyDescent="0.25">
      <c r="A2" s="358" t="s">
        <v>0</v>
      </c>
      <c r="B2" s="358"/>
      <c r="C2" s="358"/>
      <c r="D2" s="358"/>
      <c r="E2" s="358"/>
      <c r="F2" s="358"/>
      <c r="G2" s="358"/>
    </row>
    <row r="3" spans="1:8" x14ac:dyDescent="0.25">
      <c r="A3" s="358" t="s">
        <v>1</v>
      </c>
      <c r="B3" s="358"/>
      <c r="C3" s="358"/>
      <c r="D3" s="358"/>
      <c r="E3" s="358"/>
      <c r="F3" s="358"/>
      <c r="G3" s="358"/>
    </row>
    <row r="4" spans="1:8" x14ac:dyDescent="0.25">
      <c r="A4" s="358" t="s">
        <v>2</v>
      </c>
      <c r="B4" s="358"/>
      <c r="C4" s="358"/>
      <c r="D4" s="358"/>
      <c r="E4" s="358"/>
      <c r="F4" s="358"/>
      <c r="G4" s="358"/>
    </row>
    <row r="5" spans="1:8" x14ac:dyDescent="0.25">
      <c r="A5" s="358" t="s">
        <v>3</v>
      </c>
      <c r="B5" s="358"/>
      <c r="C5" s="358"/>
      <c r="D5" s="358"/>
      <c r="E5" s="358"/>
      <c r="F5" s="358"/>
      <c r="G5" s="358"/>
    </row>
    <row r="6" spans="1:8" x14ac:dyDescent="0.25">
      <c r="A6" s="358" t="s">
        <v>4</v>
      </c>
      <c r="B6" s="358"/>
      <c r="C6" s="358"/>
      <c r="D6" s="358"/>
      <c r="E6" s="358"/>
      <c r="F6" s="358"/>
      <c r="G6" s="358"/>
    </row>
    <row r="7" spans="1:8" x14ac:dyDescent="0.25">
      <c r="A7" s="341"/>
      <c r="B7" s="341"/>
      <c r="C7" s="341"/>
      <c r="D7" s="341"/>
      <c r="E7" s="341"/>
      <c r="F7" s="341"/>
      <c r="G7" s="341"/>
    </row>
    <row r="8" spans="1:8" x14ac:dyDescent="0.25">
      <c r="A8" s="355" t="s">
        <v>5</v>
      </c>
      <c r="B8" s="355"/>
      <c r="C8" s="355"/>
      <c r="D8" s="355"/>
      <c r="E8" s="355"/>
      <c r="F8" s="355"/>
      <c r="G8" s="345" t="s">
        <v>6</v>
      </c>
    </row>
    <row r="9" spans="1:8" ht="15.75" x14ac:dyDescent="0.25">
      <c r="A9" s="346" t="s">
        <v>7</v>
      </c>
      <c r="B9" s="346"/>
      <c r="C9" s="346"/>
      <c r="D9" s="346"/>
      <c r="E9" s="346"/>
      <c r="F9" s="346"/>
      <c r="G9" s="345"/>
    </row>
    <row r="10" spans="1:8" x14ac:dyDescent="0.25">
      <c r="A10" s="4" t="s">
        <v>8</v>
      </c>
      <c r="B10" s="5" t="s">
        <v>9</v>
      </c>
      <c r="C10" s="347" t="s">
        <v>10</v>
      </c>
      <c r="D10" s="347"/>
      <c r="E10" s="6">
        <v>60439</v>
      </c>
      <c r="F10" s="5"/>
      <c r="G10" s="7">
        <v>40459</v>
      </c>
    </row>
    <row r="11" spans="1:8" ht="17.25" thickBot="1" x14ac:dyDescent="0.3">
      <c r="A11" s="8"/>
      <c r="B11" s="8"/>
      <c r="C11" s="8"/>
      <c r="D11" s="9"/>
      <c r="E11" s="8"/>
      <c r="F11" s="9"/>
    </row>
    <row r="12" spans="1:8" ht="15.75" thickBot="1" x14ac:dyDescent="0.3">
      <c r="A12" s="348" t="s">
        <v>11</v>
      </c>
      <c r="B12" s="349"/>
      <c r="C12" s="349"/>
      <c r="D12" s="349"/>
      <c r="E12" s="349"/>
      <c r="F12" s="349"/>
      <c r="G12" s="349"/>
      <c r="H12" s="350"/>
    </row>
    <row r="13" spans="1:8" ht="15.75" thickBot="1" x14ac:dyDescent="0.3"/>
    <row r="14" spans="1:8" ht="28.5" x14ac:dyDescent="0.25">
      <c r="A14" s="30" t="s">
        <v>12</v>
      </c>
      <c r="B14" s="31" t="s">
        <v>13</v>
      </c>
      <c r="C14" s="42" t="s">
        <v>14</v>
      </c>
      <c r="D14" s="33" t="s">
        <v>15</v>
      </c>
      <c r="E14" s="46" t="s">
        <v>16</v>
      </c>
      <c r="F14" s="33" t="s">
        <v>17</v>
      </c>
      <c r="G14" s="34" t="s">
        <v>18</v>
      </c>
      <c r="H14" s="35" t="s">
        <v>19</v>
      </c>
    </row>
    <row r="15" spans="1:8" ht="24.75" customHeight="1" x14ac:dyDescent="0.25">
      <c r="A15" s="36" t="s">
        <v>20</v>
      </c>
      <c r="B15" s="14" t="s">
        <v>21</v>
      </c>
      <c r="C15" s="43" t="s">
        <v>22</v>
      </c>
      <c r="D15" s="48">
        <v>18.739999999999998</v>
      </c>
      <c r="E15" s="20">
        <v>44345</v>
      </c>
      <c r="F15" s="24">
        <v>831025</v>
      </c>
      <c r="G15" s="24">
        <f>+ROUND(0.9*E15,0)</f>
        <v>39911</v>
      </c>
      <c r="H15" s="51">
        <f>+ROUND(1.1*E15,0)</f>
        <v>48780</v>
      </c>
    </row>
    <row r="16" spans="1:8" ht="22.5" customHeight="1" x14ac:dyDescent="0.25">
      <c r="A16" s="36" t="s">
        <v>23</v>
      </c>
      <c r="B16" s="14" t="s">
        <v>24</v>
      </c>
      <c r="C16" s="44" t="s">
        <v>25</v>
      </c>
      <c r="D16" s="49">
        <v>1</v>
      </c>
      <c r="E16" s="22">
        <v>461459</v>
      </c>
      <c r="F16" s="25">
        <v>461459</v>
      </c>
      <c r="G16" s="24">
        <f t="shared" ref="G16:G21" si="0">+ROUND(0.9*E16,0)</f>
        <v>415313</v>
      </c>
      <c r="H16" s="51">
        <f t="shared" ref="H16:H21" si="1">+ROUND(1.1*E16,0)</f>
        <v>507605</v>
      </c>
    </row>
    <row r="17" spans="1:8" ht="18" x14ac:dyDescent="0.25">
      <c r="A17" s="37" t="s">
        <v>26</v>
      </c>
      <c r="B17" s="14" t="s">
        <v>27</v>
      </c>
      <c r="C17" s="44" t="s">
        <v>25</v>
      </c>
      <c r="D17" s="49">
        <v>1</v>
      </c>
      <c r="E17" s="22">
        <v>1321875</v>
      </c>
      <c r="F17" s="25">
        <v>1321875</v>
      </c>
      <c r="G17" s="24">
        <f t="shared" si="0"/>
        <v>1189688</v>
      </c>
      <c r="H17" s="51">
        <f t="shared" si="1"/>
        <v>1454063</v>
      </c>
    </row>
    <row r="18" spans="1:8" x14ac:dyDescent="0.25">
      <c r="A18" s="37" t="s">
        <v>28</v>
      </c>
      <c r="B18" s="14" t="s">
        <v>29</v>
      </c>
      <c r="C18" s="44" t="s">
        <v>30</v>
      </c>
      <c r="D18" s="49">
        <v>7</v>
      </c>
      <c r="E18" s="22">
        <v>475875</v>
      </c>
      <c r="F18" s="25">
        <v>3331125</v>
      </c>
      <c r="G18" s="24">
        <f t="shared" si="0"/>
        <v>428288</v>
      </c>
      <c r="H18" s="51">
        <f t="shared" si="1"/>
        <v>523463</v>
      </c>
    </row>
    <row r="19" spans="1:8" ht="23.25" customHeight="1" x14ac:dyDescent="0.25">
      <c r="A19" s="37" t="s">
        <v>31</v>
      </c>
      <c r="B19" s="14" t="s">
        <v>32</v>
      </c>
      <c r="C19" s="44" t="s">
        <v>22</v>
      </c>
      <c r="D19" s="49">
        <v>4</v>
      </c>
      <c r="E19" s="22">
        <v>123821</v>
      </c>
      <c r="F19" s="25">
        <v>495284</v>
      </c>
      <c r="G19" s="24">
        <f t="shared" si="0"/>
        <v>111439</v>
      </c>
      <c r="H19" s="51">
        <f t="shared" si="1"/>
        <v>136203</v>
      </c>
    </row>
    <row r="20" spans="1:8" x14ac:dyDescent="0.25">
      <c r="A20" s="37" t="s">
        <v>33</v>
      </c>
      <c r="B20" s="14" t="s">
        <v>34</v>
      </c>
      <c r="C20" s="44" t="s">
        <v>30</v>
      </c>
      <c r="D20" s="49">
        <v>7</v>
      </c>
      <c r="E20" s="22">
        <v>1681425</v>
      </c>
      <c r="F20" s="25">
        <v>11769975</v>
      </c>
      <c r="G20" s="24">
        <f t="shared" si="0"/>
        <v>1513283</v>
      </c>
      <c r="H20" s="51">
        <f t="shared" si="1"/>
        <v>1849568</v>
      </c>
    </row>
    <row r="21" spans="1:8" ht="15.75" thickBot="1" x14ac:dyDescent="0.3">
      <c r="A21" s="38" t="s">
        <v>35</v>
      </c>
      <c r="B21" s="39" t="s">
        <v>36</v>
      </c>
      <c r="C21" s="45" t="s">
        <v>22</v>
      </c>
      <c r="D21" s="50">
        <v>1059.8900000000001</v>
      </c>
      <c r="E21" s="47">
        <v>8301</v>
      </c>
      <c r="F21" s="41">
        <v>8798147</v>
      </c>
      <c r="G21" s="52">
        <f t="shared" si="0"/>
        <v>7471</v>
      </c>
      <c r="H21" s="53">
        <f t="shared" si="1"/>
        <v>9131</v>
      </c>
    </row>
    <row r="22" spans="1:8" ht="15.75" thickBot="1" x14ac:dyDescent="0.3">
      <c r="C22" s="342" t="s">
        <v>37</v>
      </c>
      <c r="D22" s="343"/>
      <c r="E22" s="344"/>
      <c r="F22" s="29">
        <f>SUM(F15:F21)</f>
        <v>27008890</v>
      </c>
    </row>
    <row r="23" spans="1:8" ht="15.75" thickBot="1" x14ac:dyDescent="0.3"/>
    <row r="24" spans="1:8" ht="28.5" x14ac:dyDescent="0.25">
      <c r="A24" s="71" t="s">
        <v>38</v>
      </c>
      <c r="B24" s="31" t="s">
        <v>39</v>
      </c>
      <c r="C24" s="72" t="s">
        <v>14</v>
      </c>
      <c r="D24" s="73" t="s">
        <v>15</v>
      </c>
      <c r="E24" s="32" t="s">
        <v>16</v>
      </c>
      <c r="F24" s="74" t="s">
        <v>17</v>
      </c>
      <c r="G24" s="75" t="s">
        <v>18</v>
      </c>
      <c r="H24" s="76" t="s">
        <v>19</v>
      </c>
    </row>
    <row r="25" spans="1:8" ht="49.5" customHeight="1" x14ac:dyDescent="0.25">
      <c r="A25" s="77" t="s">
        <v>40</v>
      </c>
      <c r="B25" s="14" t="s">
        <v>41</v>
      </c>
      <c r="C25" s="55" t="s">
        <v>22</v>
      </c>
      <c r="D25" s="56">
        <v>160</v>
      </c>
      <c r="E25" s="19">
        <v>47756</v>
      </c>
      <c r="F25" s="24">
        <v>7640960</v>
      </c>
      <c r="G25" s="67">
        <f t="shared" ref="G25:G36" si="2">+ROUND(0.9*E25,0)</f>
        <v>42980</v>
      </c>
      <c r="H25" s="51">
        <f t="shared" ref="H25:H36" si="3">+ROUND(1.1*E25,0)</f>
        <v>52532</v>
      </c>
    </row>
    <row r="26" spans="1:8" ht="55.5" customHeight="1" x14ac:dyDescent="0.25">
      <c r="A26" s="77" t="s">
        <v>42</v>
      </c>
      <c r="B26" s="14" t="s">
        <v>43</v>
      </c>
      <c r="C26" s="13" t="s">
        <v>22</v>
      </c>
      <c r="D26" s="57">
        <v>135</v>
      </c>
      <c r="E26" s="21">
        <v>14379</v>
      </c>
      <c r="F26" s="25">
        <v>1941165</v>
      </c>
      <c r="G26" s="68">
        <f t="shared" si="2"/>
        <v>12941</v>
      </c>
      <c r="H26" s="60">
        <f t="shared" si="3"/>
        <v>15817</v>
      </c>
    </row>
    <row r="27" spans="1:8" ht="27" customHeight="1" x14ac:dyDescent="0.25">
      <c r="A27" s="77" t="s">
        <v>44</v>
      </c>
      <c r="B27" s="14" t="s">
        <v>45</v>
      </c>
      <c r="C27" s="13" t="s">
        <v>46</v>
      </c>
      <c r="D27" s="57">
        <v>30</v>
      </c>
      <c r="E27" s="21">
        <v>59156</v>
      </c>
      <c r="F27" s="25">
        <v>1774680</v>
      </c>
      <c r="G27" s="68">
        <f t="shared" si="2"/>
        <v>53240</v>
      </c>
      <c r="H27" s="60">
        <f t="shared" si="3"/>
        <v>65072</v>
      </c>
    </row>
    <row r="28" spans="1:8" ht="26.25" customHeight="1" x14ac:dyDescent="0.25">
      <c r="A28" s="77" t="s">
        <v>47</v>
      </c>
      <c r="B28" s="14" t="s">
        <v>48</v>
      </c>
      <c r="C28" s="15" t="s">
        <v>22</v>
      </c>
      <c r="D28" s="16">
        <v>135</v>
      </c>
      <c r="E28" s="21">
        <v>33841</v>
      </c>
      <c r="F28" s="25">
        <v>4568535</v>
      </c>
      <c r="G28" s="68">
        <f t="shared" si="2"/>
        <v>30457</v>
      </c>
      <c r="H28" s="60">
        <f t="shared" si="3"/>
        <v>37225</v>
      </c>
    </row>
    <row r="29" spans="1:8" ht="21" customHeight="1" x14ac:dyDescent="0.25">
      <c r="A29" s="77" t="s">
        <v>49</v>
      </c>
      <c r="B29" s="14" t="s">
        <v>50</v>
      </c>
      <c r="C29" s="13" t="s">
        <v>22</v>
      </c>
      <c r="D29" s="16">
        <v>135</v>
      </c>
      <c r="E29" s="62">
        <v>78561</v>
      </c>
      <c r="F29" s="64">
        <v>10605735</v>
      </c>
      <c r="G29" s="69">
        <f t="shared" si="2"/>
        <v>70705</v>
      </c>
      <c r="H29" s="65">
        <f t="shared" si="3"/>
        <v>86417</v>
      </c>
    </row>
    <row r="30" spans="1:8" ht="18" x14ac:dyDescent="0.25">
      <c r="A30" s="77" t="s">
        <v>51</v>
      </c>
      <c r="B30" s="14" t="s">
        <v>52</v>
      </c>
      <c r="C30" s="15" t="s">
        <v>22</v>
      </c>
      <c r="D30" s="17">
        <v>135</v>
      </c>
      <c r="E30" s="21">
        <v>89043</v>
      </c>
      <c r="F30" s="25">
        <v>12020805</v>
      </c>
      <c r="G30" s="68">
        <f t="shared" si="2"/>
        <v>80139</v>
      </c>
      <c r="H30" s="60">
        <f t="shared" si="3"/>
        <v>97947</v>
      </c>
    </row>
    <row r="31" spans="1:8" ht="18" x14ac:dyDescent="0.25">
      <c r="A31" s="77" t="s">
        <v>53</v>
      </c>
      <c r="B31" s="14" t="s">
        <v>54</v>
      </c>
      <c r="C31" s="13" t="s">
        <v>22</v>
      </c>
      <c r="D31" s="16">
        <v>135</v>
      </c>
      <c r="E31" s="21">
        <v>2942</v>
      </c>
      <c r="F31" s="25">
        <v>397170</v>
      </c>
      <c r="G31" s="68">
        <f t="shared" si="2"/>
        <v>2648</v>
      </c>
      <c r="H31" s="60">
        <f t="shared" si="3"/>
        <v>3236</v>
      </c>
    </row>
    <row r="32" spans="1:8" x14ac:dyDescent="0.25">
      <c r="A32" s="77" t="s">
        <v>55</v>
      </c>
      <c r="B32" s="14" t="s">
        <v>56</v>
      </c>
      <c r="C32" s="13" t="s">
        <v>22</v>
      </c>
      <c r="D32" s="16">
        <v>135</v>
      </c>
      <c r="E32" s="21">
        <v>9884</v>
      </c>
      <c r="F32" s="25">
        <v>1334340</v>
      </c>
      <c r="G32" s="68">
        <f t="shared" si="2"/>
        <v>8896</v>
      </c>
      <c r="H32" s="60">
        <f t="shared" si="3"/>
        <v>10872</v>
      </c>
    </row>
    <row r="33" spans="1:8" ht="66" customHeight="1" x14ac:dyDescent="0.25">
      <c r="A33" s="77" t="s">
        <v>57</v>
      </c>
      <c r="B33" s="14" t="s">
        <v>58</v>
      </c>
      <c r="C33" s="13" t="s">
        <v>22</v>
      </c>
      <c r="D33" s="16">
        <v>135</v>
      </c>
      <c r="E33" s="21">
        <v>57210</v>
      </c>
      <c r="F33" s="25">
        <v>7723350</v>
      </c>
      <c r="G33" s="68">
        <f t="shared" si="2"/>
        <v>51489</v>
      </c>
      <c r="H33" s="60">
        <f t="shared" si="3"/>
        <v>62931</v>
      </c>
    </row>
    <row r="34" spans="1:8" ht="18" x14ac:dyDescent="0.25">
      <c r="A34" s="36" t="s">
        <v>59</v>
      </c>
      <c r="B34" s="14" t="s">
        <v>60</v>
      </c>
      <c r="C34" s="13" t="s">
        <v>22</v>
      </c>
      <c r="D34" s="16">
        <v>135</v>
      </c>
      <c r="E34" s="21">
        <v>8332</v>
      </c>
      <c r="F34" s="25">
        <v>1124820</v>
      </c>
      <c r="G34" s="68">
        <f t="shared" si="2"/>
        <v>7499</v>
      </c>
      <c r="H34" s="60">
        <f t="shared" si="3"/>
        <v>9165</v>
      </c>
    </row>
    <row r="35" spans="1:8" ht="43.5" customHeight="1" x14ac:dyDescent="0.25">
      <c r="A35" s="36" t="s">
        <v>61</v>
      </c>
      <c r="B35" s="14" t="s">
        <v>62</v>
      </c>
      <c r="C35" s="13" t="s">
        <v>46</v>
      </c>
      <c r="D35" s="16">
        <v>6.67</v>
      </c>
      <c r="E35" s="21">
        <v>55680</v>
      </c>
      <c r="F35" s="25">
        <v>371386</v>
      </c>
      <c r="G35" s="68">
        <f t="shared" si="2"/>
        <v>50112</v>
      </c>
      <c r="H35" s="60">
        <f t="shared" si="3"/>
        <v>61248</v>
      </c>
    </row>
    <row r="36" spans="1:8" ht="52.5" customHeight="1" thickBot="1" x14ac:dyDescent="0.3">
      <c r="A36" s="78" t="s">
        <v>63</v>
      </c>
      <c r="B36" s="39" t="s">
        <v>64</v>
      </c>
      <c r="C36" s="79" t="s">
        <v>46</v>
      </c>
      <c r="D36" s="80">
        <v>144.63</v>
      </c>
      <c r="E36" s="40">
        <v>48900</v>
      </c>
      <c r="F36" s="41">
        <v>7072407</v>
      </c>
      <c r="G36" s="81">
        <f t="shared" si="2"/>
        <v>44010</v>
      </c>
      <c r="H36" s="61">
        <f t="shared" si="3"/>
        <v>53790</v>
      </c>
    </row>
    <row r="37" spans="1:8" ht="15.75" customHeight="1" thickBot="1" x14ac:dyDescent="0.3">
      <c r="C37" s="351" t="s">
        <v>37</v>
      </c>
      <c r="D37" s="352"/>
      <c r="E37" s="353"/>
      <c r="F37" s="70">
        <v>56575353</v>
      </c>
    </row>
    <row r="38" spans="1:8" ht="15.75" thickBot="1" x14ac:dyDescent="0.3"/>
    <row r="39" spans="1:8" ht="27" x14ac:dyDescent="0.25">
      <c r="A39" s="71" t="s">
        <v>65</v>
      </c>
      <c r="B39" s="31" t="s">
        <v>66</v>
      </c>
      <c r="C39" s="72" t="s">
        <v>14</v>
      </c>
      <c r="D39" s="73" t="s">
        <v>15</v>
      </c>
      <c r="E39" s="32" t="s">
        <v>16</v>
      </c>
      <c r="F39" s="74" t="s">
        <v>17</v>
      </c>
      <c r="G39" s="75" t="s">
        <v>18</v>
      </c>
      <c r="H39" s="76" t="s">
        <v>19</v>
      </c>
    </row>
    <row r="40" spans="1:8" ht="29.25" customHeight="1" x14ac:dyDescent="0.25">
      <c r="A40" s="37" t="s">
        <v>67</v>
      </c>
      <c r="B40" s="14" t="s">
        <v>68</v>
      </c>
      <c r="C40" s="15" t="s">
        <v>22</v>
      </c>
      <c r="D40" s="57">
        <v>761.68</v>
      </c>
      <c r="E40" s="19">
        <v>27431</v>
      </c>
      <c r="F40" s="24">
        <v>20893644</v>
      </c>
      <c r="G40" s="67">
        <f t="shared" ref="G40:G49" si="4">+ROUND(0.9*E40,0)</f>
        <v>24688</v>
      </c>
      <c r="H40" s="51">
        <f t="shared" ref="H40:H49" si="5">+ROUND(1.1*E40,0)</f>
        <v>30174</v>
      </c>
    </row>
    <row r="41" spans="1:8" ht="18" x14ac:dyDescent="0.25">
      <c r="A41" s="37" t="s">
        <v>69</v>
      </c>
      <c r="B41" s="14" t="s">
        <v>70</v>
      </c>
      <c r="C41" s="13" t="s">
        <v>71</v>
      </c>
      <c r="D41" s="57">
        <v>6.6</v>
      </c>
      <c r="E41" s="21">
        <v>22373</v>
      </c>
      <c r="F41" s="25">
        <v>147662</v>
      </c>
      <c r="G41" s="68">
        <f t="shared" si="4"/>
        <v>20136</v>
      </c>
      <c r="H41" s="60">
        <f t="shared" si="5"/>
        <v>24610</v>
      </c>
    </row>
    <row r="42" spans="1:8" ht="18" x14ac:dyDescent="0.25">
      <c r="A42" s="37" t="s">
        <v>72</v>
      </c>
      <c r="B42" s="14" t="s">
        <v>73</v>
      </c>
      <c r="C42" s="13" t="s">
        <v>22</v>
      </c>
      <c r="D42" s="57">
        <v>165.27</v>
      </c>
      <c r="E42" s="21">
        <v>6046</v>
      </c>
      <c r="F42" s="25">
        <v>999222</v>
      </c>
      <c r="G42" s="68">
        <f t="shared" si="4"/>
        <v>5441</v>
      </c>
      <c r="H42" s="60">
        <f t="shared" si="5"/>
        <v>6651</v>
      </c>
    </row>
    <row r="43" spans="1:8" ht="49.5" customHeight="1" x14ac:dyDescent="0.25">
      <c r="A43" s="37" t="s">
        <v>74</v>
      </c>
      <c r="B43" s="14" t="s">
        <v>75</v>
      </c>
      <c r="C43" s="13" t="s">
        <v>46</v>
      </c>
      <c r="D43" s="57">
        <v>122.39</v>
      </c>
      <c r="E43" s="21">
        <v>101189</v>
      </c>
      <c r="F43" s="25">
        <v>12384522</v>
      </c>
      <c r="G43" s="68">
        <f t="shared" si="4"/>
        <v>91070</v>
      </c>
      <c r="H43" s="60">
        <f t="shared" si="5"/>
        <v>111308</v>
      </c>
    </row>
    <row r="44" spans="1:8" ht="61.5" customHeight="1" x14ac:dyDescent="0.25">
      <c r="A44" s="37" t="s">
        <v>76</v>
      </c>
      <c r="B44" s="14" t="s">
        <v>77</v>
      </c>
      <c r="C44" s="13" t="s">
        <v>22</v>
      </c>
      <c r="D44" s="57">
        <v>165.27</v>
      </c>
      <c r="E44" s="21">
        <v>28345</v>
      </c>
      <c r="F44" s="25">
        <v>4684578</v>
      </c>
      <c r="G44" s="68">
        <f t="shared" si="4"/>
        <v>25511</v>
      </c>
      <c r="H44" s="60">
        <f t="shared" si="5"/>
        <v>31180</v>
      </c>
    </row>
    <row r="45" spans="1:8" ht="40.5" customHeight="1" x14ac:dyDescent="0.25">
      <c r="A45" s="37" t="s">
        <v>78</v>
      </c>
      <c r="B45" s="14" t="s">
        <v>79</v>
      </c>
      <c r="C45" s="13" t="s">
        <v>22</v>
      </c>
      <c r="D45" s="57">
        <v>165.27</v>
      </c>
      <c r="E45" s="21">
        <v>52854</v>
      </c>
      <c r="F45" s="25">
        <v>8735181</v>
      </c>
      <c r="G45" s="68">
        <f t="shared" si="4"/>
        <v>47569</v>
      </c>
      <c r="H45" s="60">
        <f t="shared" si="5"/>
        <v>58139</v>
      </c>
    </row>
    <row r="46" spans="1:8" ht="18" x14ac:dyDescent="0.25">
      <c r="A46" s="37" t="s">
        <v>80</v>
      </c>
      <c r="B46" s="14" t="s">
        <v>81</v>
      </c>
      <c r="C46" s="13" t="s">
        <v>22</v>
      </c>
      <c r="D46" s="57">
        <v>165.27</v>
      </c>
      <c r="E46" s="21">
        <v>23740</v>
      </c>
      <c r="F46" s="25">
        <v>3923510</v>
      </c>
      <c r="G46" s="68">
        <f t="shared" si="4"/>
        <v>21366</v>
      </c>
      <c r="H46" s="60">
        <f t="shared" si="5"/>
        <v>26114</v>
      </c>
    </row>
    <row r="47" spans="1:8" ht="24" customHeight="1" x14ac:dyDescent="0.25">
      <c r="A47" s="37" t="s">
        <v>82</v>
      </c>
      <c r="B47" s="14" t="s">
        <v>83</v>
      </c>
      <c r="C47" s="13" t="s">
        <v>22</v>
      </c>
      <c r="D47" s="57">
        <v>1377</v>
      </c>
      <c r="E47" s="21">
        <v>4983</v>
      </c>
      <c r="F47" s="25">
        <v>6861591</v>
      </c>
      <c r="G47" s="68">
        <f t="shared" si="4"/>
        <v>4485</v>
      </c>
      <c r="H47" s="60">
        <f t="shared" si="5"/>
        <v>5481</v>
      </c>
    </row>
    <row r="48" spans="1:8" ht="25.5" customHeight="1" x14ac:dyDescent="0.25">
      <c r="A48" s="37" t="s">
        <v>84</v>
      </c>
      <c r="B48" s="14" t="s">
        <v>85</v>
      </c>
      <c r="C48" s="13" t="s">
        <v>22</v>
      </c>
      <c r="D48" s="57">
        <v>2395.41</v>
      </c>
      <c r="E48" s="21">
        <v>10544</v>
      </c>
      <c r="F48" s="25">
        <v>25257203</v>
      </c>
      <c r="G48" s="68">
        <f t="shared" si="4"/>
        <v>9490</v>
      </c>
      <c r="H48" s="60">
        <f t="shared" si="5"/>
        <v>11598</v>
      </c>
    </row>
    <row r="49" spans="1:10" ht="27.75" thickBot="1" x14ac:dyDescent="0.3">
      <c r="A49" s="38" t="s">
        <v>86</v>
      </c>
      <c r="B49" s="39" t="s">
        <v>87</v>
      </c>
      <c r="C49" s="84" t="s">
        <v>46</v>
      </c>
      <c r="D49" s="80">
        <v>178.99</v>
      </c>
      <c r="E49" s="40">
        <v>12449</v>
      </c>
      <c r="F49" s="41">
        <v>2228247</v>
      </c>
      <c r="G49" s="81">
        <f t="shared" si="4"/>
        <v>11204</v>
      </c>
      <c r="H49" s="61">
        <f t="shared" si="5"/>
        <v>13694</v>
      </c>
    </row>
    <row r="50" spans="1:10" ht="15.75" thickBot="1" x14ac:dyDescent="0.3">
      <c r="C50" s="351" t="s">
        <v>37</v>
      </c>
      <c r="D50" s="352"/>
      <c r="E50" s="353"/>
      <c r="F50" s="27">
        <v>86115360</v>
      </c>
    </row>
    <row r="51" spans="1:10" ht="15.75" thickBot="1" x14ac:dyDescent="0.3">
      <c r="E51" s="18"/>
      <c r="F51" s="18"/>
    </row>
    <row r="52" spans="1:10" ht="28.5" x14ac:dyDescent="0.25">
      <c r="A52" s="71" t="s">
        <v>88</v>
      </c>
      <c r="B52" s="31" t="s">
        <v>89</v>
      </c>
      <c r="C52" s="72" t="s">
        <v>14</v>
      </c>
      <c r="D52" s="73" t="s">
        <v>15</v>
      </c>
      <c r="E52" s="32" t="s">
        <v>16</v>
      </c>
      <c r="F52" s="73" t="s">
        <v>17</v>
      </c>
      <c r="G52" s="92" t="s">
        <v>18</v>
      </c>
      <c r="H52" s="76" t="s">
        <v>19</v>
      </c>
    </row>
    <row r="53" spans="1:10" ht="42.75" customHeight="1" x14ac:dyDescent="0.25">
      <c r="A53" s="37" t="s">
        <v>90</v>
      </c>
      <c r="B53" s="14" t="s">
        <v>91</v>
      </c>
      <c r="C53" s="13" t="s">
        <v>46</v>
      </c>
      <c r="D53" s="87">
        <v>101.65</v>
      </c>
      <c r="E53" s="63">
        <v>587740</v>
      </c>
      <c r="F53" s="24">
        <v>59743771</v>
      </c>
      <c r="G53" s="24">
        <f t="shared" ref="G53:G69" si="6">+ROUND(0.9*E53,0)</f>
        <v>528966</v>
      </c>
      <c r="H53" s="51">
        <f t="shared" ref="H53:H69" si="7">+ROUND(1.1*E53,0)</f>
        <v>646514</v>
      </c>
    </row>
    <row r="54" spans="1:10" ht="36" x14ac:dyDescent="0.25">
      <c r="A54" s="37" t="s">
        <v>92</v>
      </c>
      <c r="B54" s="14" t="s">
        <v>93</v>
      </c>
      <c r="C54" s="15" t="s">
        <v>25</v>
      </c>
      <c r="D54" s="88">
        <v>34</v>
      </c>
      <c r="E54" s="63">
        <v>133254</v>
      </c>
      <c r="F54" s="25">
        <v>4530636</v>
      </c>
      <c r="G54" s="25">
        <f t="shared" si="6"/>
        <v>119929</v>
      </c>
      <c r="H54" s="60">
        <f t="shared" si="7"/>
        <v>146579</v>
      </c>
    </row>
    <row r="55" spans="1:10" ht="18" x14ac:dyDescent="0.25">
      <c r="A55" s="37" t="s">
        <v>94</v>
      </c>
      <c r="B55" s="14" t="s">
        <v>95</v>
      </c>
      <c r="C55" s="15" t="s">
        <v>25</v>
      </c>
      <c r="D55" s="88">
        <v>63</v>
      </c>
      <c r="E55" s="22">
        <v>100123</v>
      </c>
      <c r="F55" s="83">
        <v>6307749</v>
      </c>
      <c r="G55" s="25">
        <f t="shared" si="6"/>
        <v>90111</v>
      </c>
      <c r="H55" s="60">
        <f t="shared" si="7"/>
        <v>110135</v>
      </c>
      <c r="I55" s="86"/>
    </row>
    <row r="56" spans="1:10" ht="23.25" customHeight="1" x14ac:dyDescent="0.25">
      <c r="A56" s="37" t="s">
        <v>96</v>
      </c>
      <c r="B56" s="14" t="s">
        <v>97</v>
      </c>
      <c r="C56" s="15" t="s">
        <v>46</v>
      </c>
      <c r="D56" s="88">
        <v>13.2</v>
      </c>
      <c r="E56" s="28">
        <v>69679</v>
      </c>
      <c r="F56" s="26">
        <v>919763</v>
      </c>
      <c r="G56" s="64">
        <f t="shared" si="6"/>
        <v>62711</v>
      </c>
      <c r="H56" s="65">
        <f t="shared" si="7"/>
        <v>76647</v>
      </c>
      <c r="I56" s="86"/>
      <c r="J56" s="86"/>
    </row>
    <row r="57" spans="1:10" ht="43.5" customHeight="1" x14ac:dyDescent="0.25">
      <c r="A57" s="37" t="s">
        <v>98</v>
      </c>
      <c r="B57" s="14" t="s">
        <v>99</v>
      </c>
      <c r="C57" s="15" t="s">
        <v>25</v>
      </c>
      <c r="D57" s="90">
        <v>8</v>
      </c>
      <c r="E57" s="23">
        <v>603228</v>
      </c>
      <c r="F57" s="25">
        <v>4825824</v>
      </c>
      <c r="G57" s="25">
        <f t="shared" si="6"/>
        <v>542905</v>
      </c>
      <c r="H57" s="60">
        <f t="shared" si="7"/>
        <v>663551</v>
      </c>
      <c r="I57" s="86"/>
    </row>
    <row r="58" spans="1:10" ht="18" x14ac:dyDescent="0.25">
      <c r="A58" s="37" t="s">
        <v>100</v>
      </c>
      <c r="B58" s="14" t="s">
        <v>101</v>
      </c>
      <c r="C58" s="15" t="s">
        <v>25</v>
      </c>
      <c r="D58" s="88">
        <v>36</v>
      </c>
      <c r="E58" s="21">
        <v>23198</v>
      </c>
      <c r="F58" s="25">
        <v>835128</v>
      </c>
      <c r="G58" s="25">
        <f t="shared" si="6"/>
        <v>20878</v>
      </c>
      <c r="H58" s="60">
        <f t="shared" si="7"/>
        <v>25518</v>
      </c>
    </row>
    <row r="59" spans="1:10" ht="26.25" customHeight="1" x14ac:dyDescent="0.25">
      <c r="A59" s="37" t="s">
        <v>102</v>
      </c>
      <c r="B59" s="14" t="s">
        <v>103</v>
      </c>
      <c r="C59" s="15" t="s">
        <v>25</v>
      </c>
      <c r="D59" s="88">
        <v>77</v>
      </c>
      <c r="E59" s="21">
        <v>172877</v>
      </c>
      <c r="F59" s="25">
        <v>13311529</v>
      </c>
      <c r="G59" s="25">
        <f t="shared" si="6"/>
        <v>155589</v>
      </c>
      <c r="H59" s="60">
        <f t="shared" si="7"/>
        <v>190165</v>
      </c>
    </row>
    <row r="60" spans="1:10" ht="18" x14ac:dyDescent="0.25">
      <c r="A60" s="37" t="s">
        <v>104</v>
      </c>
      <c r="B60" s="14" t="s">
        <v>105</v>
      </c>
      <c r="C60" s="15" t="s">
        <v>46</v>
      </c>
      <c r="D60" s="88">
        <v>280.29000000000002</v>
      </c>
      <c r="E60" s="21">
        <v>43547</v>
      </c>
      <c r="F60" s="25">
        <v>12205789</v>
      </c>
      <c r="G60" s="25">
        <f t="shared" si="6"/>
        <v>39192</v>
      </c>
      <c r="H60" s="60">
        <f t="shared" si="7"/>
        <v>47902</v>
      </c>
    </row>
    <row r="61" spans="1:10" ht="27" x14ac:dyDescent="0.25">
      <c r="A61" s="37" t="s">
        <v>106</v>
      </c>
      <c r="B61" s="14" t="s">
        <v>107</v>
      </c>
      <c r="C61" s="15" t="s">
        <v>46</v>
      </c>
      <c r="D61" s="91">
        <v>69.56</v>
      </c>
      <c r="E61" s="23">
        <v>140962</v>
      </c>
      <c r="F61" s="25">
        <v>9805317</v>
      </c>
      <c r="G61" s="25">
        <f t="shared" si="6"/>
        <v>126866</v>
      </c>
      <c r="H61" s="60">
        <f t="shared" si="7"/>
        <v>155058</v>
      </c>
    </row>
    <row r="62" spans="1:10" ht="27" x14ac:dyDescent="0.25">
      <c r="A62" s="37" t="s">
        <v>108</v>
      </c>
      <c r="B62" s="14" t="s">
        <v>109</v>
      </c>
      <c r="C62" s="15" t="s">
        <v>46</v>
      </c>
      <c r="D62" s="91">
        <v>69.56</v>
      </c>
      <c r="E62" s="66">
        <v>28767</v>
      </c>
      <c r="F62" s="64">
        <v>2001033</v>
      </c>
      <c r="G62" s="64">
        <f t="shared" si="6"/>
        <v>25890</v>
      </c>
      <c r="H62" s="65">
        <f t="shared" si="7"/>
        <v>31644</v>
      </c>
    </row>
    <row r="63" spans="1:10" ht="18" x14ac:dyDescent="0.25">
      <c r="A63" s="37" t="s">
        <v>110</v>
      </c>
      <c r="B63" s="14" t="s">
        <v>111</v>
      </c>
      <c r="C63" s="15" t="s">
        <v>46</v>
      </c>
      <c r="D63" s="89">
        <v>247.15</v>
      </c>
      <c r="E63" s="21">
        <v>13032</v>
      </c>
      <c r="F63" s="25">
        <v>3220859</v>
      </c>
      <c r="G63" s="25">
        <f t="shared" si="6"/>
        <v>11729</v>
      </c>
      <c r="H63" s="60">
        <f t="shared" si="7"/>
        <v>14335</v>
      </c>
    </row>
    <row r="64" spans="1:10" ht="30" customHeight="1" x14ac:dyDescent="0.25">
      <c r="A64" s="37" t="s">
        <v>112</v>
      </c>
      <c r="B64" s="14" t="s">
        <v>113</v>
      </c>
      <c r="C64" s="15" t="s">
        <v>46</v>
      </c>
      <c r="D64" s="89">
        <v>69.56</v>
      </c>
      <c r="E64" s="21">
        <v>14234</v>
      </c>
      <c r="F64" s="25">
        <v>990117</v>
      </c>
      <c r="G64" s="25">
        <f t="shared" si="6"/>
        <v>12811</v>
      </c>
      <c r="H64" s="60">
        <f t="shared" si="7"/>
        <v>15657</v>
      </c>
    </row>
    <row r="65" spans="1:10" ht="31.5" customHeight="1" x14ac:dyDescent="0.25">
      <c r="A65" s="37" t="s">
        <v>114</v>
      </c>
      <c r="B65" s="14" t="s">
        <v>115</v>
      </c>
      <c r="C65" s="15" t="s">
        <v>46</v>
      </c>
      <c r="D65" s="89">
        <v>150.53</v>
      </c>
      <c r="E65" s="21">
        <v>15737</v>
      </c>
      <c r="F65" s="25">
        <v>2368891</v>
      </c>
      <c r="G65" s="25">
        <f t="shared" si="6"/>
        <v>14163</v>
      </c>
      <c r="H65" s="60">
        <f t="shared" si="7"/>
        <v>17311</v>
      </c>
    </row>
    <row r="66" spans="1:10" ht="30" customHeight="1" x14ac:dyDescent="0.25">
      <c r="A66" s="37" t="s">
        <v>116</v>
      </c>
      <c r="B66" s="14" t="s">
        <v>117</v>
      </c>
      <c r="C66" s="15" t="s">
        <v>22</v>
      </c>
      <c r="D66" s="91">
        <v>44.98</v>
      </c>
      <c r="E66" s="23">
        <v>394034</v>
      </c>
      <c r="F66" s="25">
        <v>17723649</v>
      </c>
      <c r="G66" s="25">
        <f>+ROUND(0.9*E66,0)</f>
        <v>354631</v>
      </c>
      <c r="H66" s="60">
        <f>+ROUND(1.1*E66,0)</f>
        <v>433437</v>
      </c>
    </row>
    <row r="67" spans="1:10" ht="31.5" customHeight="1" x14ac:dyDescent="0.25">
      <c r="A67" s="37" t="s">
        <v>118</v>
      </c>
      <c r="B67" s="14" t="s">
        <v>119</v>
      </c>
      <c r="C67" s="13" t="s">
        <v>22</v>
      </c>
      <c r="D67" s="91">
        <v>2.2000000000000002</v>
      </c>
      <c r="E67" s="23">
        <v>360229</v>
      </c>
      <c r="F67" s="25">
        <v>792504</v>
      </c>
      <c r="G67" s="25">
        <f t="shared" si="6"/>
        <v>324206</v>
      </c>
      <c r="H67" s="60">
        <f t="shared" si="7"/>
        <v>396252</v>
      </c>
    </row>
    <row r="68" spans="1:10" ht="39" customHeight="1" x14ac:dyDescent="0.25">
      <c r="A68" s="37" t="s">
        <v>120</v>
      </c>
      <c r="B68" s="14" t="s">
        <v>121</v>
      </c>
      <c r="C68" s="13" t="s">
        <v>22</v>
      </c>
      <c r="D68" s="89">
        <v>52.36</v>
      </c>
      <c r="E68" s="21">
        <v>743454</v>
      </c>
      <c r="F68" s="25">
        <v>38927251</v>
      </c>
      <c r="G68" s="25">
        <f t="shared" si="6"/>
        <v>669109</v>
      </c>
      <c r="H68" s="60">
        <f t="shared" si="7"/>
        <v>817799</v>
      </c>
    </row>
    <row r="69" spans="1:10" ht="36.75" customHeight="1" thickBot="1" x14ac:dyDescent="0.3">
      <c r="A69" s="38" t="s">
        <v>122</v>
      </c>
      <c r="B69" s="39" t="s">
        <v>123</v>
      </c>
      <c r="C69" s="84" t="s">
        <v>22</v>
      </c>
      <c r="D69" s="93">
        <v>13.2</v>
      </c>
      <c r="E69" s="94">
        <v>740123</v>
      </c>
      <c r="F69" s="41">
        <v>9769624</v>
      </c>
      <c r="G69" s="82">
        <f t="shared" si="6"/>
        <v>666111</v>
      </c>
      <c r="H69" s="59">
        <f t="shared" si="7"/>
        <v>814135</v>
      </c>
    </row>
    <row r="70" spans="1:10" ht="15.75" thickBot="1" x14ac:dyDescent="0.3">
      <c r="C70" s="351" t="s">
        <v>37</v>
      </c>
      <c r="D70" s="352"/>
      <c r="E70" s="353"/>
      <c r="F70" s="27">
        <f>SUM(F53:F69)</f>
        <v>188279434</v>
      </c>
    </row>
    <row r="71" spans="1:10" ht="15.75" thickBot="1" x14ac:dyDescent="0.3"/>
    <row r="72" spans="1:10" ht="28.5" x14ac:dyDescent="0.25">
      <c r="A72" s="71" t="s">
        <v>125</v>
      </c>
      <c r="B72" s="31" t="s">
        <v>124</v>
      </c>
      <c r="C72" s="72" t="s">
        <v>14</v>
      </c>
      <c r="D72" s="73" t="s">
        <v>15</v>
      </c>
      <c r="E72" s="32" t="s">
        <v>16</v>
      </c>
      <c r="F72" s="73" t="s">
        <v>17</v>
      </c>
      <c r="G72" s="105" t="s">
        <v>18</v>
      </c>
      <c r="H72" s="106" t="s">
        <v>19</v>
      </c>
    </row>
    <row r="73" spans="1:10" ht="33.75" customHeight="1" x14ac:dyDescent="0.25">
      <c r="A73" s="107" t="s">
        <v>126</v>
      </c>
      <c r="B73" s="14" t="s">
        <v>127</v>
      </c>
      <c r="C73" s="95" t="s">
        <v>22</v>
      </c>
      <c r="D73" s="16">
        <v>955.83</v>
      </c>
      <c r="E73" s="96">
        <v>24930</v>
      </c>
      <c r="F73" s="103">
        <f>+ROUND(E73*D73,0)</f>
        <v>23828842</v>
      </c>
      <c r="G73" s="103">
        <f t="shared" ref="G73:G92" si="8">+ROUND(0.9*E73,0)</f>
        <v>22437</v>
      </c>
      <c r="H73" s="101">
        <f t="shared" ref="H73:H92" si="9">+ROUND(1.1*E73,0)</f>
        <v>27423</v>
      </c>
    </row>
    <row r="74" spans="1:10" ht="21.75" customHeight="1" x14ac:dyDescent="0.25">
      <c r="A74" s="107" t="s">
        <v>128</v>
      </c>
      <c r="B74" s="14" t="s">
        <v>129</v>
      </c>
      <c r="C74" s="95" t="s">
        <v>46</v>
      </c>
      <c r="D74" s="16">
        <v>69.56</v>
      </c>
      <c r="E74" s="96">
        <v>43025</v>
      </c>
      <c r="F74" s="103">
        <f t="shared" ref="F74:F92" si="10">+ROUND(E74*D74,0)</f>
        <v>2992819</v>
      </c>
      <c r="G74" s="103">
        <f t="shared" si="8"/>
        <v>38723</v>
      </c>
      <c r="H74" s="101">
        <f t="shared" si="9"/>
        <v>47328</v>
      </c>
      <c r="J74" s="18">
        <f>+ROUND(E74*1.0575,0)</f>
        <v>45499</v>
      </c>
    </row>
    <row r="75" spans="1:10" ht="47.25" customHeight="1" x14ac:dyDescent="0.25">
      <c r="A75" s="107" t="s">
        <v>130</v>
      </c>
      <c r="B75" s="14" t="s">
        <v>131</v>
      </c>
      <c r="C75" s="95" t="s">
        <v>22</v>
      </c>
      <c r="D75" s="16">
        <v>48</v>
      </c>
      <c r="E75" s="96">
        <v>85110</v>
      </c>
      <c r="F75" s="103">
        <f t="shared" si="10"/>
        <v>4085280</v>
      </c>
      <c r="G75" s="103">
        <f t="shared" si="8"/>
        <v>76599</v>
      </c>
      <c r="H75" s="101">
        <f t="shared" si="9"/>
        <v>93621</v>
      </c>
      <c r="J75" s="18">
        <f t="shared" ref="J75:J92" si="11">+ROUND(E75*1.0575,0)</f>
        <v>90004</v>
      </c>
    </row>
    <row r="76" spans="1:10" ht="21.75" customHeight="1" x14ac:dyDescent="0.25">
      <c r="A76" s="107" t="s">
        <v>132</v>
      </c>
      <c r="B76" s="14" t="s">
        <v>133</v>
      </c>
      <c r="C76" s="95" t="s">
        <v>22</v>
      </c>
      <c r="D76" s="16">
        <v>468.33</v>
      </c>
      <c r="E76" s="96">
        <v>31719</v>
      </c>
      <c r="F76" s="103">
        <f t="shared" si="10"/>
        <v>14854959</v>
      </c>
      <c r="G76" s="103">
        <f t="shared" si="8"/>
        <v>28547</v>
      </c>
      <c r="H76" s="101">
        <f t="shared" si="9"/>
        <v>34891</v>
      </c>
      <c r="J76" s="18">
        <f t="shared" si="11"/>
        <v>33543</v>
      </c>
    </row>
    <row r="77" spans="1:10" ht="24.75" customHeight="1" x14ac:dyDescent="0.25">
      <c r="A77" s="107" t="s">
        <v>134</v>
      </c>
      <c r="B77" s="14" t="s">
        <v>135</v>
      </c>
      <c r="C77" s="95" t="s">
        <v>46</v>
      </c>
      <c r="D77" s="16">
        <v>547.42999999999995</v>
      </c>
      <c r="E77" s="96">
        <v>40294</v>
      </c>
      <c r="F77" s="103">
        <f t="shared" si="10"/>
        <v>22058144</v>
      </c>
      <c r="G77" s="103">
        <f t="shared" si="8"/>
        <v>36265</v>
      </c>
      <c r="H77" s="101">
        <f t="shared" si="9"/>
        <v>44323</v>
      </c>
      <c r="J77" s="18">
        <f t="shared" si="11"/>
        <v>42611</v>
      </c>
    </row>
    <row r="78" spans="1:10" ht="28.5" customHeight="1" x14ac:dyDescent="0.25">
      <c r="A78" s="107" t="s">
        <v>136</v>
      </c>
      <c r="B78" s="14" t="s">
        <v>137</v>
      </c>
      <c r="C78" s="95" t="s">
        <v>22</v>
      </c>
      <c r="D78" s="16">
        <v>187.36</v>
      </c>
      <c r="E78" s="96">
        <v>28719</v>
      </c>
      <c r="F78" s="103">
        <f t="shared" si="10"/>
        <v>5380792</v>
      </c>
      <c r="G78" s="103">
        <f t="shared" si="8"/>
        <v>25847</v>
      </c>
      <c r="H78" s="101">
        <f t="shared" si="9"/>
        <v>31591</v>
      </c>
      <c r="J78" s="18">
        <f t="shared" si="11"/>
        <v>30370</v>
      </c>
    </row>
    <row r="79" spans="1:10" ht="27" customHeight="1" x14ac:dyDescent="0.25">
      <c r="A79" s="107" t="s">
        <v>138</v>
      </c>
      <c r="B79" s="14" t="s">
        <v>139</v>
      </c>
      <c r="C79" s="95" t="s">
        <v>46</v>
      </c>
      <c r="D79" s="16">
        <v>90.35</v>
      </c>
      <c r="E79" s="96">
        <v>41070</v>
      </c>
      <c r="F79" s="103">
        <f t="shared" si="10"/>
        <v>3710675</v>
      </c>
      <c r="G79" s="103">
        <f t="shared" si="8"/>
        <v>36963</v>
      </c>
      <c r="H79" s="101">
        <f t="shared" si="9"/>
        <v>45177</v>
      </c>
      <c r="J79" s="18">
        <f t="shared" si="11"/>
        <v>43432</v>
      </c>
    </row>
    <row r="80" spans="1:10" ht="18" x14ac:dyDescent="0.25">
      <c r="A80" s="107" t="s">
        <v>140</v>
      </c>
      <c r="B80" s="14" t="s">
        <v>141</v>
      </c>
      <c r="C80" s="95" t="s">
        <v>22</v>
      </c>
      <c r="D80" s="16">
        <v>38.29</v>
      </c>
      <c r="E80" s="96">
        <v>44943</v>
      </c>
      <c r="F80" s="103">
        <f t="shared" si="10"/>
        <v>1720867</v>
      </c>
      <c r="G80" s="103">
        <f t="shared" si="8"/>
        <v>40449</v>
      </c>
      <c r="H80" s="101">
        <f t="shared" si="9"/>
        <v>49437</v>
      </c>
      <c r="J80" s="18">
        <f t="shared" si="11"/>
        <v>47527</v>
      </c>
    </row>
    <row r="81" spans="1:10" ht="18" x14ac:dyDescent="0.25">
      <c r="A81" s="107" t="s">
        <v>142</v>
      </c>
      <c r="B81" s="14" t="s">
        <v>143</v>
      </c>
      <c r="C81" s="95" t="s">
        <v>22</v>
      </c>
      <c r="D81" s="16">
        <v>49.45</v>
      </c>
      <c r="E81" s="96">
        <v>439877</v>
      </c>
      <c r="F81" s="103">
        <f t="shared" si="10"/>
        <v>21751918</v>
      </c>
      <c r="G81" s="103">
        <f t="shared" si="8"/>
        <v>395889</v>
      </c>
      <c r="H81" s="101">
        <f t="shared" si="9"/>
        <v>483865</v>
      </c>
      <c r="J81" s="18">
        <f t="shared" si="11"/>
        <v>465170</v>
      </c>
    </row>
    <row r="82" spans="1:10" ht="33" customHeight="1" x14ac:dyDescent="0.25">
      <c r="A82" s="107" t="s">
        <v>144</v>
      </c>
      <c r="B82" s="14" t="s">
        <v>145</v>
      </c>
      <c r="C82" s="95" t="s">
        <v>46</v>
      </c>
      <c r="D82" s="16">
        <v>6.24</v>
      </c>
      <c r="E82" s="96">
        <v>85350</v>
      </c>
      <c r="F82" s="103">
        <f t="shared" si="10"/>
        <v>532584</v>
      </c>
      <c r="G82" s="103">
        <f t="shared" si="8"/>
        <v>76815</v>
      </c>
      <c r="H82" s="101">
        <f t="shared" si="9"/>
        <v>93885</v>
      </c>
      <c r="J82" s="18">
        <f t="shared" si="11"/>
        <v>90258</v>
      </c>
    </row>
    <row r="83" spans="1:10" ht="45.75" customHeight="1" x14ac:dyDescent="0.25">
      <c r="A83" s="107" t="s">
        <v>146</v>
      </c>
      <c r="B83" s="14" t="s">
        <v>147</v>
      </c>
      <c r="C83" s="95" t="s">
        <v>46</v>
      </c>
      <c r="D83" s="16">
        <v>24.88</v>
      </c>
      <c r="E83" s="96">
        <v>47114</v>
      </c>
      <c r="F83" s="103">
        <f t="shared" si="10"/>
        <v>1172196</v>
      </c>
      <c r="G83" s="103">
        <f t="shared" si="8"/>
        <v>42403</v>
      </c>
      <c r="H83" s="101">
        <f t="shared" si="9"/>
        <v>51825</v>
      </c>
      <c r="J83" s="18">
        <f t="shared" si="11"/>
        <v>49823</v>
      </c>
    </row>
    <row r="84" spans="1:10" ht="27" customHeight="1" x14ac:dyDescent="0.25">
      <c r="A84" s="107" t="s">
        <v>148</v>
      </c>
      <c r="B84" s="14" t="s">
        <v>149</v>
      </c>
      <c r="C84" s="95" t="s">
        <v>46</v>
      </c>
      <c r="D84" s="16">
        <v>29.06</v>
      </c>
      <c r="E84" s="96">
        <v>55636</v>
      </c>
      <c r="F84" s="103">
        <f t="shared" si="10"/>
        <v>1616782</v>
      </c>
      <c r="G84" s="103">
        <f t="shared" si="8"/>
        <v>50072</v>
      </c>
      <c r="H84" s="101">
        <f t="shared" si="9"/>
        <v>61200</v>
      </c>
      <c r="J84" s="18">
        <f t="shared" si="11"/>
        <v>58835</v>
      </c>
    </row>
    <row r="85" spans="1:10" ht="48.75" customHeight="1" x14ac:dyDescent="0.25">
      <c r="A85" s="107" t="s">
        <v>150</v>
      </c>
      <c r="B85" s="14" t="s">
        <v>151</v>
      </c>
      <c r="C85" s="95" t="s">
        <v>46</v>
      </c>
      <c r="D85" s="16">
        <v>31.38</v>
      </c>
      <c r="E85" s="96">
        <v>47760</v>
      </c>
      <c r="F85" s="103">
        <f t="shared" si="10"/>
        <v>1498709</v>
      </c>
      <c r="G85" s="103">
        <f t="shared" si="8"/>
        <v>42984</v>
      </c>
      <c r="H85" s="101">
        <f t="shared" si="9"/>
        <v>52536</v>
      </c>
      <c r="J85" s="18">
        <f t="shared" si="11"/>
        <v>50506</v>
      </c>
    </row>
    <row r="86" spans="1:10" ht="66" customHeight="1" x14ac:dyDescent="0.25">
      <c r="A86" s="107" t="s">
        <v>152</v>
      </c>
      <c r="B86" s="14" t="s">
        <v>153</v>
      </c>
      <c r="C86" s="95" t="s">
        <v>46</v>
      </c>
      <c r="D86" s="17">
        <v>27.34</v>
      </c>
      <c r="E86" s="96">
        <v>42061</v>
      </c>
      <c r="F86" s="103">
        <f t="shared" si="10"/>
        <v>1149948</v>
      </c>
      <c r="G86" s="103">
        <f t="shared" si="8"/>
        <v>37855</v>
      </c>
      <c r="H86" s="101">
        <f t="shared" si="9"/>
        <v>46267</v>
      </c>
      <c r="J86" s="18">
        <f t="shared" si="11"/>
        <v>44480</v>
      </c>
    </row>
    <row r="87" spans="1:10" ht="47.25" customHeight="1" x14ac:dyDescent="0.25">
      <c r="A87" s="107" t="s">
        <v>154</v>
      </c>
      <c r="B87" s="14" t="s">
        <v>155</v>
      </c>
      <c r="C87" s="95" t="s">
        <v>46</v>
      </c>
      <c r="D87" s="16">
        <v>37.51</v>
      </c>
      <c r="E87" s="96">
        <v>145385</v>
      </c>
      <c r="F87" s="103">
        <f t="shared" si="10"/>
        <v>5453391</v>
      </c>
      <c r="G87" s="103">
        <f t="shared" si="8"/>
        <v>130847</v>
      </c>
      <c r="H87" s="101">
        <f t="shared" si="9"/>
        <v>159924</v>
      </c>
      <c r="J87" s="18">
        <f t="shared" si="11"/>
        <v>153745</v>
      </c>
    </row>
    <row r="88" spans="1:10" ht="34.5" customHeight="1" x14ac:dyDescent="0.25">
      <c r="A88" s="107" t="s">
        <v>156</v>
      </c>
      <c r="B88" s="14" t="s">
        <v>157</v>
      </c>
      <c r="C88" s="95" t="s">
        <v>46</v>
      </c>
      <c r="D88" s="16">
        <v>48.27</v>
      </c>
      <c r="E88" s="96">
        <v>43280</v>
      </c>
      <c r="F88" s="103">
        <f t="shared" si="10"/>
        <v>2089126</v>
      </c>
      <c r="G88" s="103">
        <f t="shared" si="8"/>
        <v>38952</v>
      </c>
      <c r="H88" s="101">
        <f t="shared" si="9"/>
        <v>47608</v>
      </c>
      <c r="J88" s="18">
        <f t="shared" si="11"/>
        <v>45769</v>
      </c>
    </row>
    <row r="89" spans="1:10" ht="75.75" customHeight="1" x14ac:dyDescent="0.25">
      <c r="A89" s="107" t="s">
        <v>158</v>
      </c>
      <c r="B89" s="14" t="s">
        <v>159</v>
      </c>
      <c r="C89" s="95" t="s">
        <v>22</v>
      </c>
      <c r="D89" s="16">
        <v>743.43</v>
      </c>
      <c r="E89" s="96">
        <v>26583</v>
      </c>
      <c r="F89" s="103">
        <f t="shared" si="10"/>
        <v>19762600</v>
      </c>
      <c r="G89" s="103">
        <f t="shared" si="8"/>
        <v>23925</v>
      </c>
      <c r="H89" s="101">
        <f t="shared" si="9"/>
        <v>29241</v>
      </c>
      <c r="J89" s="18">
        <f t="shared" si="11"/>
        <v>28112</v>
      </c>
    </row>
    <row r="90" spans="1:10" ht="31.5" customHeight="1" thickBot="1" x14ac:dyDescent="0.3">
      <c r="A90" s="107" t="s">
        <v>160</v>
      </c>
      <c r="B90" s="14" t="s">
        <v>161</v>
      </c>
      <c r="C90" s="95" t="s">
        <v>22</v>
      </c>
      <c r="D90" s="16">
        <v>67.83</v>
      </c>
      <c r="E90" s="96">
        <v>39348</v>
      </c>
      <c r="F90" s="104">
        <f t="shared" si="10"/>
        <v>2668975</v>
      </c>
      <c r="G90" s="104">
        <f t="shared" si="8"/>
        <v>35413</v>
      </c>
      <c r="H90" s="70">
        <f t="shared" si="9"/>
        <v>43283</v>
      </c>
      <c r="J90" s="18">
        <f t="shared" si="11"/>
        <v>41611</v>
      </c>
    </row>
    <row r="91" spans="1:10" ht="35.25" customHeight="1" x14ac:dyDescent="0.25">
      <c r="A91" s="107" t="s">
        <v>162</v>
      </c>
      <c r="B91" s="14" t="s">
        <v>163</v>
      </c>
      <c r="C91" s="95" t="s">
        <v>46</v>
      </c>
      <c r="D91" s="16">
        <v>29.3</v>
      </c>
      <c r="E91" s="100">
        <v>29308</v>
      </c>
      <c r="F91" s="104">
        <f t="shared" si="10"/>
        <v>858724</v>
      </c>
      <c r="G91" s="104">
        <f t="shared" si="8"/>
        <v>26377</v>
      </c>
      <c r="H91" s="102">
        <f t="shared" si="9"/>
        <v>32239</v>
      </c>
      <c r="J91" s="18">
        <f t="shared" si="11"/>
        <v>30993</v>
      </c>
    </row>
    <row r="92" spans="1:10" ht="31.5" customHeight="1" thickBot="1" x14ac:dyDescent="0.3">
      <c r="A92" s="108" t="s">
        <v>164</v>
      </c>
      <c r="B92" s="39" t="s">
        <v>165</v>
      </c>
      <c r="C92" s="109" t="s">
        <v>46</v>
      </c>
      <c r="D92" s="110">
        <v>90.35</v>
      </c>
      <c r="E92" s="111">
        <v>27714</v>
      </c>
      <c r="F92" s="112">
        <f t="shared" si="10"/>
        <v>2503960</v>
      </c>
      <c r="G92" s="113">
        <f t="shared" si="8"/>
        <v>24943</v>
      </c>
      <c r="H92" s="53">
        <f t="shared" si="9"/>
        <v>30485</v>
      </c>
      <c r="J92" s="18">
        <f t="shared" si="11"/>
        <v>29308</v>
      </c>
    </row>
    <row r="93" spans="1:10" ht="15.75" thickBot="1" x14ac:dyDescent="0.3">
      <c r="A93" s="97"/>
      <c r="B93" s="98"/>
      <c r="C93" s="335" t="s">
        <v>37</v>
      </c>
      <c r="D93" s="336"/>
      <c r="E93" s="354"/>
      <c r="F93" s="114">
        <f>SUM(F73:F92)</f>
        <v>139691291</v>
      </c>
    </row>
    <row r="94" spans="1:10" ht="15.75" thickBot="1" x14ac:dyDescent="0.3"/>
    <row r="95" spans="1:10" ht="28.5" x14ac:dyDescent="0.25">
      <c r="A95" s="71" t="s">
        <v>166</v>
      </c>
      <c r="B95" s="31" t="s">
        <v>167</v>
      </c>
      <c r="C95" s="72" t="s">
        <v>14</v>
      </c>
      <c r="D95" s="73" t="s">
        <v>15</v>
      </c>
      <c r="E95" s="46" t="s">
        <v>16</v>
      </c>
      <c r="F95" s="73" t="s">
        <v>17</v>
      </c>
      <c r="G95" s="124" t="s">
        <v>18</v>
      </c>
      <c r="H95" s="76" t="s">
        <v>19</v>
      </c>
    </row>
    <row r="96" spans="1:10" ht="15.75" thickBot="1" x14ac:dyDescent="0.3">
      <c r="A96" s="37" t="s">
        <v>168</v>
      </c>
      <c r="B96" s="14" t="s">
        <v>169</v>
      </c>
      <c r="C96" s="13" t="s">
        <v>22</v>
      </c>
      <c r="D96" s="118">
        <v>621</v>
      </c>
      <c r="E96" s="103">
        <f>+ROUND(J96*1.0575,0)</f>
        <v>8989</v>
      </c>
      <c r="F96" s="112">
        <f t="shared" ref="F96:F108" si="12">+ROUND(E96*D96,0)</f>
        <v>5582169</v>
      </c>
      <c r="G96" s="113">
        <f t="shared" ref="G96:G108" si="13">+ROUND(0.9*E96,0)</f>
        <v>8090</v>
      </c>
      <c r="H96" s="53">
        <f t="shared" ref="H96:H108" si="14">+ROUND(1.1*E96,0)</f>
        <v>9888</v>
      </c>
      <c r="J96" s="121">
        <v>8500</v>
      </c>
    </row>
    <row r="97" spans="1:10" ht="42" customHeight="1" thickBot="1" x14ac:dyDescent="0.3">
      <c r="A97" s="37" t="s">
        <v>170</v>
      </c>
      <c r="B97" s="14" t="s">
        <v>171</v>
      </c>
      <c r="C97" s="13" t="s">
        <v>46</v>
      </c>
      <c r="D97" s="118">
        <v>43.8</v>
      </c>
      <c r="E97" s="103">
        <f t="shared" ref="E97:E108" si="15">+ROUND(J97*1.0575,0)</f>
        <v>157373</v>
      </c>
      <c r="F97" s="112">
        <f t="shared" si="12"/>
        <v>6892937</v>
      </c>
      <c r="G97" s="113">
        <f t="shared" si="13"/>
        <v>141636</v>
      </c>
      <c r="H97" s="53">
        <f t="shared" si="14"/>
        <v>173110</v>
      </c>
      <c r="J97" s="121">
        <v>148816.35625000001</v>
      </c>
    </row>
    <row r="98" spans="1:10" ht="15.75" thickBot="1" x14ac:dyDescent="0.3">
      <c r="A98" s="37" t="s">
        <v>172</v>
      </c>
      <c r="B98" s="14" t="s">
        <v>173</v>
      </c>
      <c r="C98" s="13" t="s">
        <v>25</v>
      </c>
      <c r="D98" s="118">
        <v>7</v>
      </c>
      <c r="E98" s="103">
        <f t="shared" si="15"/>
        <v>462108</v>
      </c>
      <c r="F98" s="112">
        <f t="shared" si="12"/>
        <v>3234756</v>
      </c>
      <c r="G98" s="113">
        <f t="shared" si="13"/>
        <v>415897</v>
      </c>
      <c r="H98" s="53">
        <f t="shared" si="14"/>
        <v>508319</v>
      </c>
      <c r="J98" s="121">
        <v>436982</v>
      </c>
    </row>
    <row r="99" spans="1:10" ht="18.75" thickBot="1" x14ac:dyDescent="0.3">
      <c r="A99" s="37" t="s">
        <v>174</v>
      </c>
      <c r="B99" s="14" t="s">
        <v>175</v>
      </c>
      <c r="C99" s="13" t="s">
        <v>25</v>
      </c>
      <c r="D99" s="118">
        <v>1</v>
      </c>
      <c r="E99" s="103">
        <f t="shared" si="15"/>
        <v>177272</v>
      </c>
      <c r="F99" s="112">
        <f t="shared" si="12"/>
        <v>177272</v>
      </c>
      <c r="G99" s="113">
        <f t="shared" si="13"/>
        <v>159545</v>
      </c>
      <c r="H99" s="53">
        <f t="shared" si="14"/>
        <v>194999</v>
      </c>
      <c r="J99" s="121">
        <v>167633.12599999999</v>
      </c>
    </row>
    <row r="100" spans="1:10" ht="18.75" thickBot="1" x14ac:dyDescent="0.3">
      <c r="A100" s="37" t="s">
        <v>176</v>
      </c>
      <c r="B100" s="14" t="s">
        <v>177</v>
      </c>
      <c r="C100" s="13" t="s">
        <v>22</v>
      </c>
      <c r="D100" s="118">
        <v>21.39</v>
      </c>
      <c r="E100" s="103">
        <f t="shared" si="15"/>
        <v>951761</v>
      </c>
      <c r="F100" s="112">
        <f t="shared" si="12"/>
        <v>20358168</v>
      </c>
      <c r="G100" s="113">
        <f t="shared" si="13"/>
        <v>856585</v>
      </c>
      <c r="H100" s="53">
        <f t="shared" si="14"/>
        <v>1046937</v>
      </c>
      <c r="J100" s="121">
        <v>900010</v>
      </c>
    </row>
    <row r="101" spans="1:10" ht="15.75" thickBot="1" x14ac:dyDescent="0.3">
      <c r="A101" s="37" t="s">
        <v>178</v>
      </c>
      <c r="B101" s="115" t="s">
        <v>179</v>
      </c>
      <c r="C101" s="116" t="s">
        <v>180</v>
      </c>
      <c r="D101" s="119">
        <v>1</v>
      </c>
      <c r="E101" s="103">
        <f t="shared" si="15"/>
        <v>2117563</v>
      </c>
      <c r="F101" s="112">
        <f t="shared" si="12"/>
        <v>2117563</v>
      </c>
      <c r="G101" s="113">
        <f t="shared" si="13"/>
        <v>1905807</v>
      </c>
      <c r="H101" s="53">
        <f t="shared" si="14"/>
        <v>2329319</v>
      </c>
      <c r="J101" s="122">
        <v>2002424</v>
      </c>
    </row>
    <row r="102" spans="1:10" ht="18.75" thickBot="1" x14ac:dyDescent="0.3">
      <c r="A102" s="37" t="s">
        <v>181</v>
      </c>
      <c r="B102" s="115" t="s">
        <v>182</v>
      </c>
      <c r="C102" s="116" t="s">
        <v>180</v>
      </c>
      <c r="D102" s="120">
        <v>1</v>
      </c>
      <c r="E102" s="103">
        <f t="shared" si="15"/>
        <v>571050</v>
      </c>
      <c r="F102" s="112">
        <f t="shared" si="12"/>
        <v>571050</v>
      </c>
      <c r="G102" s="113">
        <f t="shared" si="13"/>
        <v>513945</v>
      </c>
      <c r="H102" s="53">
        <f t="shared" si="14"/>
        <v>628155</v>
      </c>
      <c r="J102" s="123">
        <v>540000</v>
      </c>
    </row>
    <row r="103" spans="1:10" ht="18.75" thickBot="1" x14ac:dyDescent="0.3">
      <c r="A103" s="37" t="s">
        <v>183</v>
      </c>
      <c r="B103" s="115" t="s">
        <v>184</v>
      </c>
      <c r="C103" s="116" t="s">
        <v>180</v>
      </c>
      <c r="D103" s="120">
        <v>2</v>
      </c>
      <c r="E103" s="103">
        <f t="shared" si="15"/>
        <v>571050</v>
      </c>
      <c r="F103" s="112">
        <f t="shared" si="12"/>
        <v>1142100</v>
      </c>
      <c r="G103" s="113">
        <f t="shared" si="13"/>
        <v>513945</v>
      </c>
      <c r="H103" s="53">
        <f t="shared" si="14"/>
        <v>628155</v>
      </c>
      <c r="J103" s="123">
        <v>540000</v>
      </c>
    </row>
    <row r="104" spans="1:10" ht="15.75" thickBot="1" x14ac:dyDescent="0.3">
      <c r="A104" s="37" t="s">
        <v>185</v>
      </c>
      <c r="B104" s="115" t="s">
        <v>186</v>
      </c>
      <c r="C104" s="117" t="s">
        <v>180</v>
      </c>
      <c r="D104" s="120">
        <v>1</v>
      </c>
      <c r="E104" s="103">
        <f t="shared" si="15"/>
        <v>359550</v>
      </c>
      <c r="F104" s="112">
        <f t="shared" si="12"/>
        <v>359550</v>
      </c>
      <c r="G104" s="113">
        <f t="shared" si="13"/>
        <v>323595</v>
      </c>
      <c r="H104" s="53">
        <f t="shared" si="14"/>
        <v>395505</v>
      </c>
      <c r="J104" s="123">
        <v>340000</v>
      </c>
    </row>
    <row r="105" spans="1:10" ht="15.75" thickBot="1" x14ac:dyDescent="0.3">
      <c r="A105" s="37" t="s">
        <v>187</v>
      </c>
      <c r="B105" s="115" t="s">
        <v>188</v>
      </c>
      <c r="C105" s="117" t="s">
        <v>180</v>
      </c>
      <c r="D105" s="120">
        <v>4</v>
      </c>
      <c r="E105" s="103">
        <f t="shared" si="15"/>
        <v>216788</v>
      </c>
      <c r="F105" s="112">
        <f t="shared" si="12"/>
        <v>867152</v>
      </c>
      <c r="G105" s="113">
        <f t="shared" si="13"/>
        <v>195109</v>
      </c>
      <c r="H105" s="53">
        <f t="shared" si="14"/>
        <v>238467</v>
      </c>
      <c r="J105" s="123">
        <v>205000</v>
      </c>
    </row>
    <row r="106" spans="1:10" ht="24" customHeight="1" thickBot="1" x14ac:dyDescent="0.3">
      <c r="A106" s="37" t="s">
        <v>189</v>
      </c>
      <c r="B106" s="115" t="s">
        <v>190</v>
      </c>
      <c r="C106" s="117" t="s">
        <v>191</v>
      </c>
      <c r="D106" s="120">
        <v>3.5</v>
      </c>
      <c r="E106" s="103">
        <f t="shared" si="15"/>
        <v>650363</v>
      </c>
      <c r="F106" s="112">
        <f t="shared" si="12"/>
        <v>2276271</v>
      </c>
      <c r="G106" s="113">
        <f t="shared" si="13"/>
        <v>585327</v>
      </c>
      <c r="H106" s="53">
        <f t="shared" si="14"/>
        <v>715399</v>
      </c>
      <c r="J106" s="123">
        <v>615000</v>
      </c>
    </row>
    <row r="107" spans="1:10" ht="24" customHeight="1" thickBot="1" x14ac:dyDescent="0.3">
      <c r="A107" s="37" t="s">
        <v>192</v>
      </c>
      <c r="B107" s="115" t="s">
        <v>193</v>
      </c>
      <c r="C107" s="117" t="s">
        <v>71</v>
      </c>
      <c r="D107" s="120">
        <v>14</v>
      </c>
      <c r="E107" s="103">
        <f t="shared" si="15"/>
        <v>100463</v>
      </c>
      <c r="F107" s="112">
        <f t="shared" si="12"/>
        <v>1406482</v>
      </c>
      <c r="G107" s="113">
        <f t="shared" si="13"/>
        <v>90417</v>
      </c>
      <c r="H107" s="53">
        <f t="shared" si="14"/>
        <v>110509</v>
      </c>
      <c r="J107" s="123">
        <v>95000</v>
      </c>
    </row>
    <row r="108" spans="1:10" ht="15.75" thickBot="1" x14ac:dyDescent="0.3">
      <c r="A108" s="38" t="s">
        <v>194</v>
      </c>
      <c r="B108" s="125" t="s">
        <v>195</v>
      </c>
      <c r="C108" s="126" t="s">
        <v>71</v>
      </c>
      <c r="D108" s="127">
        <v>28</v>
      </c>
      <c r="E108" s="112">
        <f t="shared" si="15"/>
        <v>63450</v>
      </c>
      <c r="F108" s="112">
        <f t="shared" si="12"/>
        <v>1776600</v>
      </c>
      <c r="G108" s="113">
        <f t="shared" si="13"/>
        <v>57105</v>
      </c>
      <c r="H108" s="53">
        <f t="shared" si="14"/>
        <v>69795</v>
      </c>
      <c r="J108" s="123">
        <v>60000</v>
      </c>
    </row>
    <row r="109" spans="1:10" ht="15.75" thickBot="1" x14ac:dyDescent="0.3">
      <c r="C109" s="335" t="s">
        <v>37</v>
      </c>
      <c r="D109" s="336"/>
      <c r="E109" s="354"/>
      <c r="F109" s="128">
        <f>SUM(F96:F108)</f>
        <v>46762070</v>
      </c>
    </row>
    <row r="111" spans="1:10" x14ac:dyDescent="0.25">
      <c r="A111" s="129"/>
      <c r="B111" s="359" t="s">
        <v>196</v>
      </c>
      <c r="C111" s="359"/>
      <c r="D111" s="360"/>
      <c r="E111" s="132"/>
      <c r="F111" s="131">
        <f>+F109+F93+F70+F50+F37+F22</f>
        <v>544432398</v>
      </c>
      <c r="G111" s="130">
        <f>+ROUND(0.8*F111,0)</f>
        <v>435545918</v>
      </c>
      <c r="H111" s="131">
        <f>+F111</f>
        <v>544432398</v>
      </c>
    </row>
    <row r="113" spans="1:10" ht="15.75" thickBot="1" x14ac:dyDescent="0.3"/>
    <row r="114" spans="1:10" ht="15.75" thickBot="1" x14ac:dyDescent="0.3">
      <c r="A114" s="361" t="s">
        <v>197</v>
      </c>
      <c r="B114" s="362"/>
      <c r="C114" s="362"/>
      <c r="D114" s="362"/>
      <c r="E114" s="362"/>
      <c r="F114" s="362"/>
      <c r="G114" s="362"/>
      <c r="H114" s="363"/>
    </row>
    <row r="115" spans="1:10" ht="15.75" thickBot="1" x14ac:dyDescent="0.3"/>
    <row r="116" spans="1:10" ht="28.5" x14ac:dyDescent="0.25">
      <c r="A116" s="146" t="s">
        <v>198</v>
      </c>
      <c r="B116" s="147" t="s">
        <v>199</v>
      </c>
      <c r="C116" s="147" t="s">
        <v>200</v>
      </c>
      <c r="D116" s="148" t="s">
        <v>15</v>
      </c>
      <c r="E116" s="32" t="s">
        <v>16</v>
      </c>
      <c r="F116" s="73" t="s">
        <v>17</v>
      </c>
      <c r="G116" s="92" t="s">
        <v>18</v>
      </c>
      <c r="H116" s="76" t="s">
        <v>19</v>
      </c>
    </row>
    <row r="117" spans="1:10" ht="31.5" customHeight="1" thickBot="1" x14ac:dyDescent="0.3">
      <c r="A117" s="149" t="s">
        <v>201</v>
      </c>
      <c r="B117" s="137" t="s">
        <v>202</v>
      </c>
      <c r="C117" s="138" t="s">
        <v>180</v>
      </c>
      <c r="D117" s="139">
        <v>1</v>
      </c>
      <c r="E117" s="112">
        <f t="shared" ref="E117:E122" si="16">+ROUND(J117*1.0575,0)</f>
        <v>898293</v>
      </c>
      <c r="F117" s="112">
        <f t="shared" ref="F117:F122" si="17">+ROUND(E117*D117,0)</f>
        <v>898293</v>
      </c>
      <c r="G117" s="113">
        <f t="shared" ref="G117:G122" si="18">+ROUND(0.9*E117,0)</f>
        <v>808464</v>
      </c>
      <c r="H117" s="53">
        <f t="shared" ref="H117:H122" si="19">+ROUND(1.1*E117,0)</f>
        <v>988122</v>
      </c>
      <c r="J117" s="141">
        <v>849450</v>
      </c>
    </row>
    <row r="118" spans="1:10" ht="21.75" customHeight="1" thickBot="1" x14ac:dyDescent="0.3">
      <c r="A118" s="149" t="s">
        <v>203</v>
      </c>
      <c r="B118" s="137" t="s">
        <v>204</v>
      </c>
      <c r="C118" s="138" t="s">
        <v>191</v>
      </c>
      <c r="D118" s="139">
        <v>30</v>
      </c>
      <c r="E118" s="112">
        <f t="shared" si="16"/>
        <v>7329</v>
      </c>
      <c r="F118" s="112">
        <f t="shared" si="17"/>
        <v>219870</v>
      </c>
      <c r="G118" s="113">
        <f t="shared" si="18"/>
        <v>6596</v>
      </c>
      <c r="H118" s="53">
        <f t="shared" si="19"/>
        <v>8062</v>
      </c>
      <c r="J118" s="141">
        <v>6930.5249999999996</v>
      </c>
    </row>
    <row r="119" spans="1:10" ht="15.75" thickBot="1" x14ac:dyDescent="0.3">
      <c r="A119" s="149" t="s">
        <v>205</v>
      </c>
      <c r="B119" s="137" t="s">
        <v>206</v>
      </c>
      <c r="C119" s="138" t="s">
        <v>207</v>
      </c>
      <c r="D119" s="140">
        <v>5</v>
      </c>
      <c r="E119" s="112">
        <f t="shared" si="16"/>
        <v>357012</v>
      </c>
      <c r="F119" s="112">
        <f t="shared" si="17"/>
        <v>1785060</v>
      </c>
      <c r="G119" s="113">
        <f t="shared" si="18"/>
        <v>321311</v>
      </c>
      <c r="H119" s="53">
        <f t="shared" si="19"/>
        <v>392713</v>
      </c>
      <c r="J119" s="142">
        <v>337600</v>
      </c>
    </row>
    <row r="120" spans="1:10" ht="23.25" customHeight="1" thickBot="1" x14ac:dyDescent="0.3">
      <c r="A120" s="149" t="s">
        <v>208</v>
      </c>
      <c r="B120" s="137" t="s">
        <v>209</v>
      </c>
      <c r="C120" s="138" t="s">
        <v>210</v>
      </c>
      <c r="D120" s="139">
        <v>1</v>
      </c>
      <c r="E120" s="112">
        <f t="shared" si="16"/>
        <v>238398</v>
      </c>
      <c r="F120" s="112">
        <f t="shared" si="17"/>
        <v>238398</v>
      </c>
      <c r="G120" s="113">
        <f t="shared" si="18"/>
        <v>214558</v>
      </c>
      <c r="H120" s="53">
        <f t="shared" si="19"/>
        <v>262238</v>
      </c>
      <c r="J120" s="141">
        <v>225435</v>
      </c>
    </row>
    <row r="121" spans="1:10" ht="18.75" thickBot="1" x14ac:dyDescent="0.3">
      <c r="A121" s="149" t="s">
        <v>211</v>
      </c>
      <c r="B121" s="137" t="s">
        <v>212</v>
      </c>
      <c r="C121" s="138" t="s">
        <v>210</v>
      </c>
      <c r="D121" s="139">
        <v>1</v>
      </c>
      <c r="E121" s="112">
        <f t="shared" si="16"/>
        <v>8460000</v>
      </c>
      <c r="F121" s="112">
        <f t="shared" si="17"/>
        <v>8460000</v>
      </c>
      <c r="G121" s="113">
        <f t="shared" si="18"/>
        <v>7614000</v>
      </c>
      <c r="H121" s="53">
        <f t="shared" si="19"/>
        <v>9306000</v>
      </c>
      <c r="J121" s="141">
        <v>8000000</v>
      </c>
    </row>
    <row r="122" spans="1:10" ht="15.75" thickBot="1" x14ac:dyDescent="0.3">
      <c r="A122" s="150" t="s">
        <v>213</v>
      </c>
      <c r="B122" s="151" t="s">
        <v>214</v>
      </c>
      <c r="C122" s="152" t="s">
        <v>215</v>
      </c>
      <c r="D122" s="153">
        <v>115</v>
      </c>
      <c r="E122" s="112">
        <f t="shared" si="16"/>
        <v>403256</v>
      </c>
      <c r="F122" s="112">
        <f t="shared" si="17"/>
        <v>46374440</v>
      </c>
      <c r="G122" s="113">
        <f t="shared" si="18"/>
        <v>362930</v>
      </c>
      <c r="H122" s="53">
        <f t="shared" si="19"/>
        <v>443582</v>
      </c>
      <c r="J122" s="141">
        <v>381329.3</v>
      </c>
    </row>
    <row r="123" spans="1:10" ht="15.75" thickBot="1" x14ac:dyDescent="0.3">
      <c r="C123" s="335" t="s">
        <v>37</v>
      </c>
      <c r="D123" s="336"/>
      <c r="E123" s="354"/>
      <c r="F123" s="29">
        <f>SUM(F117:F122)</f>
        <v>57976061</v>
      </c>
    </row>
    <row r="125" spans="1:10" ht="28.5" x14ac:dyDescent="0.25">
      <c r="A125" s="133" t="s">
        <v>216</v>
      </c>
      <c r="B125" s="134" t="s">
        <v>217</v>
      </c>
      <c r="C125" s="134" t="s">
        <v>200</v>
      </c>
      <c r="D125" s="135" t="s">
        <v>15</v>
      </c>
      <c r="E125" s="10" t="s">
        <v>16</v>
      </c>
      <c r="F125" s="54" t="s">
        <v>17</v>
      </c>
      <c r="G125" s="11" t="s">
        <v>18</v>
      </c>
      <c r="H125" s="12" t="s">
        <v>19</v>
      </c>
    </row>
    <row r="126" spans="1:10" ht="15.75" thickBot="1" x14ac:dyDescent="0.3">
      <c r="A126" s="154" t="s">
        <v>218</v>
      </c>
      <c r="B126" s="155" t="s">
        <v>219</v>
      </c>
      <c r="C126" s="138" t="s">
        <v>71</v>
      </c>
      <c r="D126" s="139">
        <v>468.69</v>
      </c>
      <c r="E126" s="112">
        <f t="shared" ref="E126" si="20">+ROUND(J126*1.0575,0)</f>
        <v>2498</v>
      </c>
      <c r="F126" s="112">
        <f t="shared" ref="F126" si="21">+ROUND(E126*D126,0)</f>
        <v>1170788</v>
      </c>
      <c r="G126" s="113">
        <f t="shared" ref="G126" si="22">+ROUND(0.9*E126,0)</f>
        <v>2248</v>
      </c>
      <c r="H126" s="53">
        <f t="shared" ref="H126" si="23">+ROUND(1.1*E126,0)</f>
        <v>2748</v>
      </c>
      <c r="J126" s="157">
        <v>2362.5</v>
      </c>
    </row>
    <row r="127" spans="1:10" ht="35.25" customHeight="1" thickBot="1" x14ac:dyDescent="0.3">
      <c r="A127" s="154" t="s">
        <v>220</v>
      </c>
      <c r="B127" s="137" t="s">
        <v>221</v>
      </c>
      <c r="C127" s="138" t="s">
        <v>71</v>
      </c>
      <c r="D127" s="139">
        <v>100</v>
      </c>
      <c r="E127" s="112">
        <f t="shared" ref="E127:E142" si="24">+ROUND(J127*1.0575,0)</f>
        <v>72271</v>
      </c>
      <c r="F127" s="112">
        <f t="shared" ref="F127:F142" si="25">+ROUND(E127*D127,0)</f>
        <v>7227100</v>
      </c>
      <c r="G127" s="113">
        <f t="shared" ref="G127:G142" si="26">+ROUND(0.9*E127,0)</f>
        <v>65044</v>
      </c>
      <c r="H127" s="53">
        <f t="shared" ref="H127:H142" si="27">+ROUND(1.1*E127,0)</f>
        <v>79498</v>
      </c>
      <c r="J127" s="141">
        <v>68341.14</v>
      </c>
    </row>
    <row r="128" spans="1:10" ht="25.5" customHeight="1" thickBot="1" x14ac:dyDescent="0.3">
      <c r="A128" s="154" t="s">
        <v>222</v>
      </c>
      <c r="B128" s="137" t="s">
        <v>223</v>
      </c>
      <c r="C128" s="138" t="s">
        <v>71</v>
      </c>
      <c r="D128" s="139">
        <v>20</v>
      </c>
      <c r="E128" s="112">
        <f t="shared" si="24"/>
        <v>5124</v>
      </c>
      <c r="F128" s="112">
        <f t="shared" si="25"/>
        <v>102480</v>
      </c>
      <c r="G128" s="113">
        <f t="shared" si="26"/>
        <v>4612</v>
      </c>
      <c r="H128" s="53">
        <f t="shared" si="27"/>
        <v>5636</v>
      </c>
      <c r="J128" s="141">
        <v>4845.5969999999998</v>
      </c>
    </row>
    <row r="129" spans="1:10" ht="18.75" thickBot="1" x14ac:dyDescent="0.3">
      <c r="A129" s="154" t="s">
        <v>224</v>
      </c>
      <c r="B129" s="137" t="s">
        <v>225</v>
      </c>
      <c r="C129" s="138" t="s">
        <v>71</v>
      </c>
      <c r="D129" s="139">
        <v>2</v>
      </c>
      <c r="E129" s="112">
        <f t="shared" si="24"/>
        <v>129691</v>
      </c>
      <c r="F129" s="112">
        <f t="shared" si="25"/>
        <v>259382</v>
      </c>
      <c r="G129" s="113">
        <f t="shared" si="26"/>
        <v>116722</v>
      </c>
      <c r="H129" s="53">
        <f t="shared" si="27"/>
        <v>142660</v>
      </c>
      <c r="J129" s="141">
        <v>122639</v>
      </c>
    </row>
    <row r="130" spans="1:10" ht="18.75" thickBot="1" x14ac:dyDescent="0.3">
      <c r="A130" s="154" t="s">
        <v>226</v>
      </c>
      <c r="B130" s="137" t="s">
        <v>227</v>
      </c>
      <c r="C130" s="138" t="s">
        <v>180</v>
      </c>
      <c r="D130" s="139">
        <v>1</v>
      </c>
      <c r="E130" s="112">
        <f t="shared" si="24"/>
        <v>770886</v>
      </c>
      <c r="F130" s="112">
        <f t="shared" si="25"/>
        <v>770886</v>
      </c>
      <c r="G130" s="113">
        <f t="shared" si="26"/>
        <v>693797</v>
      </c>
      <c r="H130" s="53">
        <f t="shared" si="27"/>
        <v>847975</v>
      </c>
      <c r="J130" s="157">
        <v>728970.28</v>
      </c>
    </row>
    <row r="131" spans="1:10" ht="18.75" thickBot="1" x14ac:dyDescent="0.3">
      <c r="A131" s="154" t="s">
        <v>228</v>
      </c>
      <c r="B131" s="137" t="s">
        <v>229</v>
      </c>
      <c r="C131" s="138" t="s">
        <v>180</v>
      </c>
      <c r="D131" s="139">
        <v>3</v>
      </c>
      <c r="E131" s="112">
        <f t="shared" si="24"/>
        <v>373604</v>
      </c>
      <c r="F131" s="112">
        <f t="shared" si="25"/>
        <v>1120812</v>
      </c>
      <c r="G131" s="113">
        <f t="shared" si="26"/>
        <v>336244</v>
      </c>
      <c r="H131" s="53">
        <f t="shared" si="27"/>
        <v>410964</v>
      </c>
      <c r="J131" s="157">
        <v>353290.27999999997</v>
      </c>
    </row>
    <row r="132" spans="1:10" ht="27" customHeight="1" thickBot="1" x14ac:dyDescent="0.3">
      <c r="A132" s="154" t="s">
        <v>230</v>
      </c>
      <c r="B132" s="137" t="s">
        <v>231</v>
      </c>
      <c r="C132" s="138" t="s">
        <v>191</v>
      </c>
      <c r="D132" s="139">
        <v>50</v>
      </c>
      <c r="E132" s="112">
        <f t="shared" si="24"/>
        <v>18848</v>
      </c>
      <c r="F132" s="112">
        <f t="shared" si="25"/>
        <v>942400</v>
      </c>
      <c r="G132" s="113">
        <f t="shared" si="26"/>
        <v>16963</v>
      </c>
      <c r="H132" s="53">
        <f t="shared" si="27"/>
        <v>20733</v>
      </c>
      <c r="J132" s="157">
        <v>17823.605</v>
      </c>
    </row>
    <row r="133" spans="1:10" ht="40.5" customHeight="1" thickBot="1" x14ac:dyDescent="0.3">
      <c r="A133" s="154" t="s">
        <v>232</v>
      </c>
      <c r="B133" s="137" t="s">
        <v>233</v>
      </c>
      <c r="C133" s="138" t="s">
        <v>191</v>
      </c>
      <c r="D133" s="139">
        <v>5</v>
      </c>
      <c r="E133" s="112">
        <f t="shared" si="24"/>
        <v>347370</v>
      </c>
      <c r="F133" s="112">
        <f t="shared" si="25"/>
        <v>1736850</v>
      </c>
      <c r="G133" s="113">
        <f t="shared" si="26"/>
        <v>312633</v>
      </c>
      <c r="H133" s="53">
        <f t="shared" si="27"/>
        <v>382107</v>
      </c>
      <c r="J133" s="157">
        <v>328482.5</v>
      </c>
    </row>
    <row r="134" spans="1:10" ht="27" customHeight="1" thickBot="1" x14ac:dyDescent="0.3">
      <c r="A134" s="154" t="s">
        <v>234</v>
      </c>
      <c r="B134" s="137" t="s">
        <v>235</v>
      </c>
      <c r="C134" s="138" t="s">
        <v>180</v>
      </c>
      <c r="D134" s="139">
        <v>1</v>
      </c>
      <c r="E134" s="112">
        <f t="shared" si="24"/>
        <v>475045</v>
      </c>
      <c r="F134" s="112">
        <f t="shared" si="25"/>
        <v>475045</v>
      </c>
      <c r="G134" s="113">
        <f t="shared" si="26"/>
        <v>427541</v>
      </c>
      <c r="H134" s="53">
        <f t="shared" si="27"/>
        <v>522550</v>
      </c>
      <c r="J134" s="157">
        <v>449215</v>
      </c>
    </row>
    <row r="135" spans="1:10" ht="25.5" customHeight="1" thickBot="1" x14ac:dyDescent="0.3">
      <c r="A135" s="154" t="s">
        <v>236</v>
      </c>
      <c r="B135" s="137" t="s">
        <v>237</v>
      </c>
      <c r="C135" s="138" t="s">
        <v>238</v>
      </c>
      <c r="D135" s="139">
        <v>1</v>
      </c>
      <c r="E135" s="112">
        <f t="shared" si="24"/>
        <v>2046072</v>
      </c>
      <c r="F135" s="112">
        <f t="shared" si="25"/>
        <v>2046072</v>
      </c>
      <c r="G135" s="113">
        <f t="shared" si="26"/>
        <v>1841465</v>
      </c>
      <c r="H135" s="53">
        <f t="shared" si="27"/>
        <v>2250679</v>
      </c>
      <c r="J135" s="157">
        <v>1934820</v>
      </c>
    </row>
    <row r="136" spans="1:10" ht="39.75" customHeight="1" thickBot="1" x14ac:dyDescent="0.3">
      <c r="A136" s="154" t="s">
        <v>239</v>
      </c>
      <c r="B136" s="137" t="s">
        <v>240</v>
      </c>
      <c r="C136" s="138" t="s">
        <v>71</v>
      </c>
      <c r="D136" s="139">
        <v>249</v>
      </c>
      <c r="E136" s="112">
        <f t="shared" si="24"/>
        <v>24426</v>
      </c>
      <c r="F136" s="112">
        <f t="shared" si="25"/>
        <v>6082074</v>
      </c>
      <c r="G136" s="113">
        <f t="shared" si="26"/>
        <v>21983</v>
      </c>
      <c r="H136" s="53">
        <f t="shared" si="27"/>
        <v>26869</v>
      </c>
      <c r="J136" s="157">
        <v>23097.5</v>
      </c>
    </row>
    <row r="137" spans="1:10" ht="15.75" thickBot="1" x14ac:dyDescent="0.3">
      <c r="A137" s="154" t="s">
        <v>241</v>
      </c>
      <c r="B137" s="137" t="s">
        <v>242</v>
      </c>
      <c r="C137" s="138" t="s">
        <v>191</v>
      </c>
      <c r="D137" s="139">
        <v>100</v>
      </c>
      <c r="E137" s="112">
        <f t="shared" si="24"/>
        <v>14231</v>
      </c>
      <c r="F137" s="112">
        <f t="shared" si="25"/>
        <v>1423100</v>
      </c>
      <c r="G137" s="113">
        <f t="shared" si="26"/>
        <v>12808</v>
      </c>
      <c r="H137" s="53">
        <f t="shared" si="27"/>
        <v>15654</v>
      </c>
      <c r="J137" s="158">
        <v>13457</v>
      </c>
    </row>
    <row r="138" spans="1:10" ht="21" customHeight="1" thickBot="1" x14ac:dyDescent="0.3">
      <c r="A138" s="154" t="s">
        <v>243</v>
      </c>
      <c r="B138" s="137" t="s">
        <v>244</v>
      </c>
      <c r="C138" s="138" t="s">
        <v>180</v>
      </c>
      <c r="D138" s="139">
        <v>30</v>
      </c>
      <c r="E138" s="112">
        <f t="shared" si="24"/>
        <v>203040</v>
      </c>
      <c r="F138" s="112">
        <f t="shared" si="25"/>
        <v>6091200</v>
      </c>
      <c r="G138" s="113">
        <f t="shared" si="26"/>
        <v>182736</v>
      </c>
      <c r="H138" s="53">
        <f t="shared" si="27"/>
        <v>223344</v>
      </c>
      <c r="J138" s="158">
        <v>192000</v>
      </c>
    </row>
    <row r="139" spans="1:10" ht="15.75" thickBot="1" x14ac:dyDescent="0.3">
      <c r="A139" s="154" t="s">
        <v>245</v>
      </c>
      <c r="B139" s="137" t="s">
        <v>246</v>
      </c>
      <c r="C139" s="138" t="s">
        <v>180</v>
      </c>
      <c r="D139" s="139">
        <v>30</v>
      </c>
      <c r="E139" s="112">
        <f t="shared" si="24"/>
        <v>211394</v>
      </c>
      <c r="F139" s="112">
        <f t="shared" si="25"/>
        <v>6341820</v>
      </c>
      <c r="G139" s="113">
        <f t="shared" si="26"/>
        <v>190255</v>
      </c>
      <c r="H139" s="53">
        <f t="shared" si="27"/>
        <v>232533</v>
      </c>
      <c r="J139" s="158">
        <v>199900</v>
      </c>
    </row>
    <row r="140" spans="1:10" ht="15.75" thickBot="1" x14ac:dyDescent="0.3">
      <c r="A140" s="154" t="s">
        <v>247</v>
      </c>
      <c r="B140" s="137" t="s">
        <v>248</v>
      </c>
      <c r="C140" s="138" t="s">
        <v>180</v>
      </c>
      <c r="D140" s="139">
        <v>12</v>
      </c>
      <c r="E140" s="112">
        <f t="shared" si="24"/>
        <v>64508</v>
      </c>
      <c r="F140" s="112">
        <f t="shared" si="25"/>
        <v>774096</v>
      </c>
      <c r="G140" s="113">
        <f t="shared" si="26"/>
        <v>58057</v>
      </c>
      <c r="H140" s="53">
        <f t="shared" si="27"/>
        <v>70959</v>
      </c>
      <c r="J140" s="158">
        <v>61000</v>
      </c>
    </row>
    <row r="141" spans="1:10" ht="15.75" thickBot="1" x14ac:dyDescent="0.3">
      <c r="A141" s="154" t="s">
        <v>249</v>
      </c>
      <c r="B141" s="137" t="s">
        <v>250</v>
      </c>
      <c r="C141" s="138" t="s">
        <v>180</v>
      </c>
      <c r="D141" s="139">
        <v>30</v>
      </c>
      <c r="E141" s="112">
        <f t="shared" si="24"/>
        <v>99405</v>
      </c>
      <c r="F141" s="112">
        <f t="shared" si="25"/>
        <v>2982150</v>
      </c>
      <c r="G141" s="113">
        <f t="shared" si="26"/>
        <v>89465</v>
      </c>
      <c r="H141" s="53">
        <f t="shared" si="27"/>
        <v>109346</v>
      </c>
      <c r="J141" s="158">
        <v>94000</v>
      </c>
    </row>
    <row r="142" spans="1:10" ht="42.75" customHeight="1" thickBot="1" x14ac:dyDescent="0.3">
      <c r="A142" s="156" t="s">
        <v>251</v>
      </c>
      <c r="B142" s="137" t="s">
        <v>252</v>
      </c>
      <c r="C142" s="143" t="s">
        <v>253</v>
      </c>
      <c r="D142" s="144">
        <v>196</v>
      </c>
      <c r="E142" s="145">
        <f t="shared" si="24"/>
        <v>162644</v>
      </c>
      <c r="F142" s="145">
        <f t="shared" si="25"/>
        <v>31878224</v>
      </c>
      <c r="G142" s="113">
        <f t="shared" si="26"/>
        <v>146380</v>
      </c>
      <c r="H142" s="53">
        <f t="shared" si="27"/>
        <v>178908</v>
      </c>
      <c r="J142" s="158">
        <v>153800</v>
      </c>
    </row>
    <row r="143" spans="1:10" ht="15.75" thickBot="1" x14ac:dyDescent="0.3">
      <c r="C143" s="335" t="s">
        <v>37</v>
      </c>
      <c r="D143" s="336"/>
      <c r="E143" s="354"/>
      <c r="F143" s="27">
        <f>SUM(F126:F142)</f>
        <v>71424479</v>
      </c>
    </row>
    <row r="144" spans="1:10" ht="15.75" thickBot="1" x14ac:dyDescent="0.3"/>
    <row r="145" spans="1:10" ht="28.5" x14ac:dyDescent="0.25">
      <c r="A145" s="146">
        <v>2.2999999999999998</v>
      </c>
      <c r="B145" s="147" t="s">
        <v>254</v>
      </c>
      <c r="C145" s="147" t="s">
        <v>200</v>
      </c>
      <c r="D145" s="148" t="s">
        <v>15</v>
      </c>
      <c r="E145" s="32" t="s">
        <v>16</v>
      </c>
      <c r="F145" s="73" t="s">
        <v>17</v>
      </c>
      <c r="G145" s="92" t="s">
        <v>18</v>
      </c>
      <c r="H145" s="76" t="s">
        <v>19</v>
      </c>
    </row>
    <row r="146" spans="1:10" ht="33" customHeight="1" thickBot="1" x14ac:dyDescent="0.3">
      <c r="A146" s="149" t="s">
        <v>255</v>
      </c>
      <c r="B146" s="137" t="s">
        <v>256</v>
      </c>
      <c r="C146" s="138" t="s">
        <v>215</v>
      </c>
      <c r="D146" s="139">
        <v>315</v>
      </c>
      <c r="E146" s="145">
        <f t="shared" ref="E146:E164" si="28">+ROUND(J146*1.0575,0)</f>
        <v>65790</v>
      </c>
      <c r="F146" s="145">
        <f t="shared" ref="F146:F164" si="29">+ROUND(E146*D146,0)</f>
        <v>20723850</v>
      </c>
      <c r="G146" s="113">
        <f t="shared" ref="G146:G164" si="30">+ROUND(0.9*E146,0)</f>
        <v>59211</v>
      </c>
      <c r="H146" s="53">
        <f t="shared" ref="H146:H164" si="31">+ROUND(1.1*E146,0)</f>
        <v>72369</v>
      </c>
      <c r="J146" s="141">
        <v>62212.5</v>
      </c>
    </row>
    <row r="147" spans="1:10" ht="15.75" thickBot="1" x14ac:dyDescent="0.3">
      <c r="A147" s="149" t="s">
        <v>257</v>
      </c>
      <c r="B147" s="137" t="s">
        <v>258</v>
      </c>
      <c r="C147" s="138" t="s">
        <v>215</v>
      </c>
      <c r="D147" s="139">
        <f>D152*0.3</f>
        <v>132.29999999999998</v>
      </c>
      <c r="E147" s="145">
        <f t="shared" si="28"/>
        <v>74395</v>
      </c>
      <c r="F147" s="145">
        <f t="shared" si="29"/>
        <v>9842459</v>
      </c>
      <c r="G147" s="113">
        <f t="shared" si="30"/>
        <v>66956</v>
      </c>
      <c r="H147" s="53">
        <f t="shared" si="31"/>
        <v>81835</v>
      </c>
      <c r="J147" s="141">
        <v>70350</v>
      </c>
    </row>
    <row r="148" spans="1:10" ht="15.75" thickBot="1" x14ac:dyDescent="0.3">
      <c r="A148" s="149" t="s">
        <v>259</v>
      </c>
      <c r="B148" s="137" t="s">
        <v>260</v>
      </c>
      <c r="C148" s="138" t="s">
        <v>215</v>
      </c>
      <c r="D148" s="139">
        <v>39.200000000000003</v>
      </c>
      <c r="E148" s="145">
        <f t="shared" si="28"/>
        <v>76283</v>
      </c>
      <c r="F148" s="145">
        <f t="shared" si="29"/>
        <v>2990294</v>
      </c>
      <c r="G148" s="113">
        <f t="shared" si="30"/>
        <v>68655</v>
      </c>
      <c r="H148" s="53">
        <f t="shared" si="31"/>
        <v>83911</v>
      </c>
      <c r="J148" s="141">
        <v>72135</v>
      </c>
    </row>
    <row r="149" spans="1:10" ht="33" customHeight="1" thickBot="1" x14ac:dyDescent="0.3">
      <c r="A149" s="149" t="s">
        <v>261</v>
      </c>
      <c r="B149" s="137" t="s">
        <v>262</v>
      </c>
      <c r="C149" s="138" t="s">
        <v>215</v>
      </c>
      <c r="D149" s="140">
        <v>47</v>
      </c>
      <c r="E149" s="145">
        <f t="shared" si="28"/>
        <v>93560</v>
      </c>
      <c r="F149" s="145">
        <f t="shared" si="29"/>
        <v>4397320</v>
      </c>
      <c r="G149" s="113">
        <f t="shared" si="30"/>
        <v>84204</v>
      </c>
      <c r="H149" s="53">
        <f t="shared" si="31"/>
        <v>102916</v>
      </c>
      <c r="J149" s="142">
        <v>88473</v>
      </c>
    </row>
    <row r="150" spans="1:10" ht="18.75" thickBot="1" x14ac:dyDescent="0.3">
      <c r="A150" s="149" t="s">
        <v>263</v>
      </c>
      <c r="B150" s="137" t="s">
        <v>264</v>
      </c>
      <c r="C150" s="138" t="s">
        <v>265</v>
      </c>
      <c r="D150" s="139">
        <v>432</v>
      </c>
      <c r="E150" s="145">
        <f t="shared" si="28"/>
        <v>4053</v>
      </c>
      <c r="F150" s="145">
        <f t="shared" si="29"/>
        <v>1750896</v>
      </c>
      <c r="G150" s="113">
        <f t="shared" si="30"/>
        <v>3648</v>
      </c>
      <c r="H150" s="53">
        <f t="shared" si="31"/>
        <v>4458</v>
      </c>
      <c r="J150" s="141">
        <v>3832.5</v>
      </c>
    </row>
    <row r="151" spans="1:10" ht="44.25" customHeight="1" thickBot="1" x14ac:dyDescent="0.3">
      <c r="A151" s="149" t="s">
        <v>266</v>
      </c>
      <c r="B151" s="137" t="s">
        <v>267</v>
      </c>
      <c r="C151" s="138" t="s">
        <v>265</v>
      </c>
      <c r="D151" s="139">
        <v>235.5</v>
      </c>
      <c r="E151" s="145">
        <f t="shared" si="28"/>
        <v>6179</v>
      </c>
      <c r="F151" s="145">
        <f t="shared" si="29"/>
        <v>1455155</v>
      </c>
      <c r="G151" s="113">
        <f t="shared" si="30"/>
        <v>5561</v>
      </c>
      <c r="H151" s="53">
        <f t="shared" si="31"/>
        <v>6797</v>
      </c>
      <c r="J151" s="141">
        <v>5843</v>
      </c>
    </row>
    <row r="152" spans="1:10" ht="74.25" customHeight="1" thickBot="1" x14ac:dyDescent="0.3">
      <c r="A152" s="149" t="s">
        <v>268</v>
      </c>
      <c r="B152" s="137" t="s">
        <v>269</v>
      </c>
      <c r="C152" s="138" t="s">
        <v>215</v>
      </c>
      <c r="D152" s="139">
        <v>441</v>
      </c>
      <c r="E152" s="145">
        <f t="shared" si="28"/>
        <v>804361</v>
      </c>
      <c r="F152" s="145">
        <f t="shared" si="29"/>
        <v>354723201</v>
      </c>
      <c r="G152" s="113">
        <f t="shared" si="30"/>
        <v>723925</v>
      </c>
      <c r="H152" s="53">
        <f t="shared" si="31"/>
        <v>884797</v>
      </c>
      <c r="J152" s="141">
        <v>760625.29</v>
      </c>
    </row>
    <row r="153" spans="1:10" ht="24.75" customHeight="1" thickBot="1" x14ac:dyDescent="0.3">
      <c r="A153" s="149" t="s">
        <v>270</v>
      </c>
      <c r="B153" s="137" t="s">
        <v>271</v>
      </c>
      <c r="C153" s="138" t="s">
        <v>71</v>
      </c>
      <c r="D153" s="139">
        <v>154</v>
      </c>
      <c r="E153" s="145">
        <f t="shared" si="28"/>
        <v>31124</v>
      </c>
      <c r="F153" s="145">
        <f t="shared" si="29"/>
        <v>4793096</v>
      </c>
      <c r="G153" s="113">
        <f t="shared" si="30"/>
        <v>28012</v>
      </c>
      <c r="H153" s="53">
        <f t="shared" si="31"/>
        <v>34236</v>
      </c>
      <c r="J153" s="141">
        <v>29431.5</v>
      </c>
    </row>
    <row r="154" spans="1:10" ht="42.75" customHeight="1" thickBot="1" x14ac:dyDescent="0.3">
      <c r="A154" s="149" t="s">
        <v>272</v>
      </c>
      <c r="B154" s="137" t="s">
        <v>273</v>
      </c>
      <c r="C154" s="138" t="s">
        <v>191</v>
      </c>
      <c r="D154" s="139">
        <v>2045.59</v>
      </c>
      <c r="E154" s="145">
        <f t="shared" si="28"/>
        <v>32032</v>
      </c>
      <c r="F154" s="145">
        <f t="shared" si="29"/>
        <v>65524339</v>
      </c>
      <c r="G154" s="113">
        <f t="shared" si="30"/>
        <v>28829</v>
      </c>
      <c r="H154" s="53">
        <f t="shared" si="31"/>
        <v>35235</v>
      </c>
      <c r="J154" s="141">
        <v>30290.3</v>
      </c>
    </row>
    <row r="155" spans="1:10" ht="36.75" thickBot="1" x14ac:dyDescent="0.3">
      <c r="A155" s="149" t="s">
        <v>274</v>
      </c>
      <c r="B155" s="137" t="s">
        <v>275</v>
      </c>
      <c r="C155" s="138" t="s">
        <v>191</v>
      </c>
      <c r="D155" s="139">
        <v>4523.59</v>
      </c>
      <c r="E155" s="145">
        <f t="shared" si="28"/>
        <v>26723</v>
      </c>
      <c r="F155" s="145">
        <f t="shared" si="29"/>
        <v>120883896</v>
      </c>
      <c r="G155" s="113">
        <f t="shared" si="30"/>
        <v>24051</v>
      </c>
      <c r="H155" s="53">
        <f t="shared" si="31"/>
        <v>29395</v>
      </c>
      <c r="J155" s="141">
        <v>25269.75</v>
      </c>
    </row>
    <row r="156" spans="1:10" ht="45.75" thickBot="1" x14ac:dyDescent="0.3">
      <c r="A156" s="149" t="s">
        <v>276</v>
      </c>
      <c r="B156" s="137" t="s">
        <v>277</v>
      </c>
      <c r="C156" s="138" t="s">
        <v>191</v>
      </c>
      <c r="D156" s="139">
        <v>2739.45</v>
      </c>
      <c r="E156" s="145">
        <f t="shared" si="28"/>
        <v>36558</v>
      </c>
      <c r="F156" s="145">
        <f t="shared" si="29"/>
        <v>100148813</v>
      </c>
      <c r="G156" s="113">
        <f t="shared" si="30"/>
        <v>32902</v>
      </c>
      <c r="H156" s="53">
        <f t="shared" si="31"/>
        <v>40214</v>
      </c>
      <c r="J156" s="141">
        <v>34569.75</v>
      </c>
    </row>
    <row r="157" spans="1:10" ht="36.75" customHeight="1" thickBot="1" x14ac:dyDescent="0.3">
      <c r="A157" s="149" t="s">
        <v>278</v>
      </c>
      <c r="B157" s="137" t="s">
        <v>279</v>
      </c>
      <c r="C157" s="138" t="s">
        <v>191</v>
      </c>
      <c r="D157" s="139">
        <v>1660</v>
      </c>
      <c r="E157" s="145">
        <f t="shared" si="28"/>
        <v>1060</v>
      </c>
      <c r="F157" s="145">
        <f t="shared" si="29"/>
        <v>1759600</v>
      </c>
      <c r="G157" s="113">
        <f t="shared" si="30"/>
        <v>954</v>
      </c>
      <c r="H157" s="53">
        <f t="shared" si="31"/>
        <v>1166</v>
      </c>
      <c r="J157" s="141">
        <v>1002.2</v>
      </c>
    </row>
    <row r="158" spans="1:10" ht="33.75" customHeight="1" thickBot="1" x14ac:dyDescent="0.3">
      <c r="A158" s="149" t="s">
        <v>280</v>
      </c>
      <c r="B158" s="137" t="s">
        <v>281</v>
      </c>
      <c r="C158" s="138" t="s">
        <v>215</v>
      </c>
      <c r="D158" s="139">
        <v>72.3</v>
      </c>
      <c r="E158" s="145">
        <f t="shared" si="28"/>
        <v>710978</v>
      </c>
      <c r="F158" s="145">
        <f t="shared" si="29"/>
        <v>51403709</v>
      </c>
      <c r="G158" s="113">
        <f t="shared" si="30"/>
        <v>639880</v>
      </c>
      <c r="H158" s="53">
        <f t="shared" si="31"/>
        <v>782076</v>
      </c>
      <c r="J158" s="141">
        <v>672319.18</v>
      </c>
    </row>
    <row r="159" spans="1:10" ht="18.75" thickBot="1" x14ac:dyDescent="0.3">
      <c r="A159" s="149" t="s">
        <v>282</v>
      </c>
      <c r="B159" s="137" t="s">
        <v>283</v>
      </c>
      <c r="C159" s="138" t="s">
        <v>215</v>
      </c>
      <c r="D159" s="139">
        <v>69.5</v>
      </c>
      <c r="E159" s="145">
        <f t="shared" si="28"/>
        <v>641228</v>
      </c>
      <c r="F159" s="145">
        <f t="shared" si="29"/>
        <v>44565346</v>
      </c>
      <c r="G159" s="113">
        <f t="shared" si="30"/>
        <v>577105</v>
      </c>
      <c r="H159" s="53">
        <f t="shared" si="31"/>
        <v>705351</v>
      </c>
      <c r="J159" s="141">
        <v>606362.4</v>
      </c>
    </row>
    <row r="160" spans="1:10" ht="27.75" thickBot="1" x14ac:dyDescent="0.3">
      <c r="A160" s="149" t="s">
        <v>284</v>
      </c>
      <c r="B160" s="137" t="s">
        <v>285</v>
      </c>
      <c r="C160" s="138" t="s">
        <v>180</v>
      </c>
      <c r="D160" s="139">
        <v>162</v>
      </c>
      <c r="E160" s="145">
        <f t="shared" si="28"/>
        <v>30013</v>
      </c>
      <c r="F160" s="145">
        <f t="shared" si="29"/>
        <v>4862106</v>
      </c>
      <c r="G160" s="113">
        <f t="shared" si="30"/>
        <v>27012</v>
      </c>
      <c r="H160" s="53">
        <f t="shared" si="31"/>
        <v>33014</v>
      </c>
      <c r="J160" s="141">
        <v>28381</v>
      </c>
    </row>
    <row r="161" spans="1:10" ht="18.75" thickBot="1" x14ac:dyDescent="0.3">
      <c r="A161" s="149" t="s">
        <v>286</v>
      </c>
      <c r="B161" s="137" t="s">
        <v>287</v>
      </c>
      <c r="C161" s="138" t="s">
        <v>215</v>
      </c>
      <c r="D161" s="139">
        <v>2</v>
      </c>
      <c r="E161" s="145">
        <f t="shared" si="28"/>
        <v>541780</v>
      </c>
      <c r="F161" s="145">
        <f t="shared" si="29"/>
        <v>1083560</v>
      </c>
      <c r="G161" s="113">
        <f t="shared" si="30"/>
        <v>487602</v>
      </c>
      <c r="H161" s="53">
        <f t="shared" si="31"/>
        <v>595958</v>
      </c>
      <c r="J161" s="141">
        <v>512321.12400000001</v>
      </c>
    </row>
    <row r="162" spans="1:10" ht="45.75" thickBot="1" x14ac:dyDescent="0.3">
      <c r="A162" s="149" t="s">
        <v>288</v>
      </c>
      <c r="B162" s="137" t="s">
        <v>289</v>
      </c>
      <c r="C162" s="138" t="s">
        <v>71</v>
      </c>
      <c r="D162" s="139">
        <v>12</v>
      </c>
      <c r="E162" s="145">
        <f t="shared" si="28"/>
        <v>59524</v>
      </c>
      <c r="F162" s="145">
        <f t="shared" si="29"/>
        <v>714288</v>
      </c>
      <c r="G162" s="113">
        <f t="shared" si="30"/>
        <v>53572</v>
      </c>
      <c r="H162" s="53">
        <f t="shared" si="31"/>
        <v>65476</v>
      </c>
      <c r="J162" s="141">
        <v>56287</v>
      </c>
    </row>
    <row r="163" spans="1:10" ht="15.75" thickBot="1" x14ac:dyDescent="0.3">
      <c r="A163" s="149" t="s">
        <v>290</v>
      </c>
      <c r="B163" s="137" t="s">
        <v>291</v>
      </c>
      <c r="C163" s="138" t="s">
        <v>180</v>
      </c>
      <c r="D163" s="139">
        <v>3</v>
      </c>
      <c r="E163" s="145">
        <f t="shared" si="28"/>
        <v>49746</v>
      </c>
      <c r="F163" s="145">
        <f t="shared" si="29"/>
        <v>149238</v>
      </c>
      <c r="G163" s="113">
        <f t="shared" si="30"/>
        <v>44771</v>
      </c>
      <c r="H163" s="53">
        <f t="shared" si="31"/>
        <v>54721</v>
      </c>
      <c r="J163" s="141">
        <v>47041</v>
      </c>
    </row>
    <row r="164" spans="1:10" ht="18.75" thickBot="1" x14ac:dyDescent="0.3">
      <c r="A164" s="150" t="s">
        <v>292</v>
      </c>
      <c r="B164" s="151" t="s">
        <v>293</v>
      </c>
      <c r="C164" s="152" t="s">
        <v>215</v>
      </c>
      <c r="D164" s="153">
        <v>315</v>
      </c>
      <c r="E164" s="112">
        <f t="shared" si="28"/>
        <v>32667</v>
      </c>
      <c r="F164" s="112">
        <f t="shared" si="29"/>
        <v>10290105</v>
      </c>
      <c r="G164" s="113">
        <f t="shared" si="30"/>
        <v>29400</v>
      </c>
      <c r="H164" s="53">
        <f t="shared" si="31"/>
        <v>35934</v>
      </c>
      <c r="J164" s="141">
        <v>30891</v>
      </c>
    </row>
    <row r="165" spans="1:10" ht="15.75" thickBot="1" x14ac:dyDescent="0.3">
      <c r="C165" s="342" t="s">
        <v>37</v>
      </c>
      <c r="D165" s="343"/>
      <c r="E165" s="364"/>
      <c r="F165" s="29">
        <f>SUM(F146:F164)</f>
        <v>802061271</v>
      </c>
    </row>
    <row r="167" spans="1:10" ht="28.5" x14ac:dyDescent="0.25">
      <c r="A167" s="133" t="s">
        <v>294</v>
      </c>
      <c r="B167" s="134" t="s">
        <v>295</v>
      </c>
      <c r="C167" s="134" t="s">
        <v>200</v>
      </c>
      <c r="D167" s="135" t="s">
        <v>15</v>
      </c>
      <c r="E167" s="10" t="s">
        <v>16</v>
      </c>
      <c r="F167" s="54" t="s">
        <v>17</v>
      </c>
      <c r="G167" s="11" t="s">
        <v>18</v>
      </c>
      <c r="H167" s="12" t="s">
        <v>19</v>
      </c>
    </row>
    <row r="168" spans="1:10" ht="18.75" thickBot="1" x14ac:dyDescent="0.3">
      <c r="A168" s="136" t="s">
        <v>296</v>
      </c>
      <c r="B168" s="137" t="s">
        <v>297</v>
      </c>
      <c r="C168" s="138" t="s">
        <v>191</v>
      </c>
      <c r="D168" s="139">
        <v>372.54</v>
      </c>
      <c r="E168" s="112">
        <f t="shared" ref="E168:E183" si="32">+ROUND(J168*1.0575,0)</f>
        <v>197848</v>
      </c>
      <c r="F168" s="112">
        <f t="shared" ref="F168:F183" si="33">+ROUND(E168*D168,0)</f>
        <v>73706294</v>
      </c>
      <c r="G168" s="113">
        <f t="shared" ref="G168:G183" si="34">+ROUND(0.9*E168,0)</f>
        <v>178063</v>
      </c>
      <c r="H168" s="53">
        <f t="shared" ref="H168:H183" si="35">+ROUND(1.1*E168,0)</f>
        <v>217633</v>
      </c>
      <c r="J168" s="141">
        <v>187090.78</v>
      </c>
    </row>
    <row r="169" spans="1:10" ht="15.75" thickBot="1" x14ac:dyDescent="0.3">
      <c r="A169" s="136" t="s">
        <v>298</v>
      </c>
      <c r="B169" s="137" t="s">
        <v>299</v>
      </c>
      <c r="C169" s="138" t="s">
        <v>71</v>
      </c>
      <c r="D169" s="139">
        <v>641.54</v>
      </c>
      <c r="E169" s="112">
        <f t="shared" si="32"/>
        <v>220108</v>
      </c>
      <c r="F169" s="112">
        <f t="shared" si="33"/>
        <v>141208086</v>
      </c>
      <c r="G169" s="113">
        <f t="shared" si="34"/>
        <v>198097</v>
      </c>
      <c r="H169" s="53">
        <f t="shared" si="35"/>
        <v>242119</v>
      </c>
      <c r="J169" s="141">
        <v>208140.3</v>
      </c>
    </row>
    <row r="170" spans="1:10" ht="21.75" customHeight="1" thickBot="1" x14ac:dyDescent="0.3">
      <c r="A170" s="136" t="s">
        <v>300</v>
      </c>
      <c r="B170" s="137" t="s">
        <v>301</v>
      </c>
      <c r="C170" s="138" t="s">
        <v>71</v>
      </c>
      <c r="D170" s="140">
        <v>43</v>
      </c>
      <c r="E170" s="112">
        <f t="shared" si="32"/>
        <v>427062</v>
      </c>
      <c r="F170" s="112">
        <f t="shared" si="33"/>
        <v>18363666</v>
      </c>
      <c r="G170" s="113">
        <f t="shared" si="34"/>
        <v>384356</v>
      </c>
      <c r="H170" s="53">
        <f t="shared" si="35"/>
        <v>469768</v>
      </c>
      <c r="J170" s="141">
        <v>403841.14</v>
      </c>
    </row>
    <row r="171" spans="1:10" ht="25.5" customHeight="1" thickBot="1" x14ac:dyDescent="0.3">
      <c r="A171" s="136" t="s">
        <v>302</v>
      </c>
      <c r="B171" s="137" t="s">
        <v>303</v>
      </c>
      <c r="C171" s="138" t="s">
        <v>71</v>
      </c>
      <c r="D171" s="139">
        <v>641.54</v>
      </c>
      <c r="E171" s="112">
        <f t="shared" si="32"/>
        <v>100710</v>
      </c>
      <c r="F171" s="112">
        <f t="shared" si="33"/>
        <v>64609493</v>
      </c>
      <c r="G171" s="113">
        <f t="shared" si="34"/>
        <v>90639</v>
      </c>
      <c r="H171" s="53">
        <f t="shared" si="35"/>
        <v>110781</v>
      </c>
      <c r="J171" s="141">
        <v>95234.335000000006</v>
      </c>
    </row>
    <row r="172" spans="1:10" ht="18.75" thickBot="1" x14ac:dyDescent="0.3">
      <c r="A172" s="136" t="s">
        <v>304</v>
      </c>
      <c r="B172" s="137" t="s">
        <v>305</v>
      </c>
      <c r="C172" s="159" t="s">
        <v>71</v>
      </c>
      <c r="D172" s="139">
        <v>641.54</v>
      </c>
      <c r="E172" s="112">
        <f t="shared" si="32"/>
        <v>65768</v>
      </c>
      <c r="F172" s="112">
        <f t="shared" si="33"/>
        <v>42192803</v>
      </c>
      <c r="G172" s="113">
        <f t="shared" si="34"/>
        <v>59191</v>
      </c>
      <c r="H172" s="53">
        <f t="shared" si="35"/>
        <v>72345</v>
      </c>
      <c r="J172" s="141">
        <v>62192.057300000008</v>
      </c>
    </row>
    <row r="173" spans="1:10" ht="15.75" thickBot="1" x14ac:dyDescent="0.3">
      <c r="A173" s="136" t="s">
        <v>306</v>
      </c>
      <c r="B173" s="137" t="s">
        <v>307</v>
      </c>
      <c r="C173" s="138" t="s">
        <v>191</v>
      </c>
      <c r="D173" s="139">
        <v>19.53</v>
      </c>
      <c r="E173" s="112">
        <f t="shared" si="32"/>
        <v>214795</v>
      </c>
      <c r="F173" s="112">
        <f t="shared" si="33"/>
        <v>4194946</v>
      </c>
      <c r="G173" s="113">
        <f t="shared" si="34"/>
        <v>193316</v>
      </c>
      <c r="H173" s="53">
        <f t="shared" si="35"/>
        <v>236275</v>
      </c>
      <c r="J173" s="141">
        <v>203116.14</v>
      </c>
    </row>
    <row r="174" spans="1:10" ht="18.75" thickBot="1" x14ac:dyDescent="0.3">
      <c r="A174" s="136" t="s">
        <v>308</v>
      </c>
      <c r="B174" s="137" t="s">
        <v>309</v>
      </c>
      <c r="C174" s="138" t="s">
        <v>191</v>
      </c>
      <c r="D174" s="139">
        <v>66</v>
      </c>
      <c r="E174" s="112">
        <f t="shared" si="32"/>
        <v>222765</v>
      </c>
      <c r="F174" s="112">
        <f t="shared" si="33"/>
        <v>14702490</v>
      </c>
      <c r="G174" s="113">
        <f t="shared" si="34"/>
        <v>200489</v>
      </c>
      <c r="H174" s="53">
        <f t="shared" si="35"/>
        <v>245042</v>
      </c>
      <c r="J174" s="141">
        <v>210652.81</v>
      </c>
    </row>
    <row r="175" spans="1:10" ht="15.75" thickBot="1" x14ac:dyDescent="0.3">
      <c r="A175" s="136" t="s">
        <v>310</v>
      </c>
      <c r="B175" s="137" t="s">
        <v>311</v>
      </c>
      <c r="C175" s="138" t="s">
        <v>191</v>
      </c>
      <c r="D175" s="139">
        <v>9.6</v>
      </c>
      <c r="E175" s="112">
        <f t="shared" si="32"/>
        <v>323758</v>
      </c>
      <c r="F175" s="112">
        <f t="shared" si="33"/>
        <v>3108077</v>
      </c>
      <c r="G175" s="113">
        <f t="shared" si="34"/>
        <v>291382</v>
      </c>
      <c r="H175" s="53">
        <f t="shared" si="35"/>
        <v>356134</v>
      </c>
      <c r="J175" s="141">
        <v>306153.96999999997</v>
      </c>
    </row>
    <row r="176" spans="1:10" ht="15.75" thickBot="1" x14ac:dyDescent="0.3">
      <c r="A176" s="136" t="s">
        <v>312</v>
      </c>
      <c r="B176" s="137" t="s">
        <v>313</v>
      </c>
      <c r="C176" s="138" t="s">
        <v>191</v>
      </c>
      <c r="D176" s="139">
        <v>140.27000000000001</v>
      </c>
      <c r="E176" s="112">
        <f t="shared" si="32"/>
        <v>171947</v>
      </c>
      <c r="F176" s="112">
        <f t="shared" si="33"/>
        <v>24119006</v>
      </c>
      <c r="G176" s="113">
        <f t="shared" si="34"/>
        <v>154752</v>
      </c>
      <c r="H176" s="53">
        <f t="shared" si="35"/>
        <v>189142</v>
      </c>
      <c r="J176" s="141">
        <v>162597.45000000001</v>
      </c>
    </row>
    <row r="177" spans="1:10" ht="15.75" thickBot="1" x14ac:dyDescent="0.3">
      <c r="A177" s="136" t="s">
        <v>314</v>
      </c>
      <c r="B177" s="137" t="s">
        <v>315</v>
      </c>
      <c r="C177" s="138" t="s">
        <v>71</v>
      </c>
      <c r="D177" s="139">
        <v>641.54</v>
      </c>
      <c r="E177" s="112">
        <f t="shared" si="32"/>
        <v>26826</v>
      </c>
      <c r="F177" s="112">
        <f t="shared" si="33"/>
        <v>17209952</v>
      </c>
      <c r="G177" s="113">
        <f t="shared" si="34"/>
        <v>24143</v>
      </c>
      <c r="H177" s="53">
        <f t="shared" si="35"/>
        <v>29509</v>
      </c>
      <c r="J177" s="141">
        <v>25366.965</v>
      </c>
    </row>
    <row r="178" spans="1:10" ht="15.75" thickBot="1" x14ac:dyDescent="0.3">
      <c r="A178" s="136" t="s">
        <v>316</v>
      </c>
      <c r="B178" s="137" t="s">
        <v>317</v>
      </c>
      <c r="C178" s="138" t="s">
        <v>191</v>
      </c>
      <c r="D178" s="139">
        <v>106.97</v>
      </c>
      <c r="E178" s="112">
        <f t="shared" si="32"/>
        <v>26387</v>
      </c>
      <c r="F178" s="112">
        <f t="shared" si="33"/>
        <v>2822617</v>
      </c>
      <c r="G178" s="113">
        <f t="shared" si="34"/>
        <v>23748</v>
      </c>
      <c r="H178" s="53">
        <f t="shared" si="35"/>
        <v>29026</v>
      </c>
      <c r="J178" s="141">
        <v>24952.66</v>
      </c>
    </row>
    <row r="179" spans="1:10" ht="15.75" thickBot="1" x14ac:dyDescent="0.3">
      <c r="A179" s="136" t="s">
        <v>318</v>
      </c>
      <c r="B179" s="137" t="s">
        <v>319</v>
      </c>
      <c r="C179" s="138" t="s">
        <v>191</v>
      </c>
      <c r="D179" s="139">
        <v>86.58</v>
      </c>
      <c r="E179" s="112">
        <f t="shared" si="32"/>
        <v>175445</v>
      </c>
      <c r="F179" s="112">
        <f t="shared" si="33"/>
        <v>15190028</v>
      </c>
      <c r="G179" s="113">
        <f t="shared" si="34"/>
        <v>157901</v>
      </c>
      <c r="H179" s="53">
        <f t="shared" si="35"/>
        <v>192990</v>
      </c>
      <c r="J179" s="141">
        <v>165905.34</v>
      </c>
    </row>
    <row r="180" spans="1:10" ht="15.75" thickBot="1" x14ac:dyDescent="0.3">
      <c r="A180" s="136" t="s">
        <v>320</v>
      </c>
      <c r="B180" s="137" t="s">
        <v>321</v>
      </c>
      <c r="C180" s="138" t="s">
        <v>191</v>
      </c>
      <c r="D180" s="139">
        <v>77</v>
      </c>
      <c r="E180" s="112">
        <f t="shared" si="32"/>
        <v>56888</v>
      </c>
      <c r="F180" s="112">
        <f t="shared" si="33"/>
        <v>4380376</v>
      </c>
      <c r="G180" s="113">
        <f t="shared" si="34"/>
        <v>51199</v>
      </c>
      <c r="H180" s="53">
        <f t="shared" si="35"/>
        <v>62577</v>
      </c>
      <c r="J180" s="141">
        <v>53794.962299999999</v>
      </c>
    </row>
    <row r="181" spans="1:10" ht="21" customHeight="1" thickBot="1" x14ac:dyDescent="0.3">
      <c r="A181" s="136" t="s">
        <v>322</v>
      </c>
      <c r="B181" s="137" t="s">
        <v>323</v>
      </c>
      <c r="C181" s="138" t="s">
        <v>191</v>
      </c>
      <c r="D181" s="139">
        <v>9.5500000000000007</v>
      </c>
      <c r="E181" s="112">
        <f t="shared" si="32"/>
        <v>74382</v>
      </c>
      <c r="F181" s="112">
        <f t="shared" si="33"/>
        <v>710348</v>
      </c>
      <c r="G181" s="113">
        <f t="shared" si="34"/>
        <v>66944</v>
      </c>
      <c r="H181" s="53">
        <f t="shared" si="35"/>
        <v>81820</v>
      </c>
      <c r="J181" s="141">
        <v>70337.77</v>
      </c>
    </row>
    <row r="182" spans="1:10" ht="15.75" thickBot="1" x14ac:dyDescent="0.3">
      <c r="A182" s="136" t="s">
        <v>324</v>
      </c>
      <c r="B182" s="137" t="s">
        <v>325</v>
      </c>
      <c r="C182" s="138" t="s">
        <v>191</v>
      </c>
      <c r="D182" s="139">
        <v>16.97</v>
      </c>
      <c r="E182" s="112">
        <f t="shared" si="32"/>
        <v>25873</v>
      </c>
      <c r="F182" s="112">
        <f t="shared" si="33"/>
        <v>439065</v>
      </c>
      <c r="G182" s="113">
        <f t="shared" si="34"/>
        <v>23286</v>
      </c>
      <c r="H182" s="53">
        <f t="shared" si="35"/>
        <v>28460</v>
      </c>
      <c r="J182" s="141">
        <v>24466.237000000001</v>
      </c>
    </row>
    <row r="183" spans="1:10" ht="22.5" customHeight="1" thickBot="1" x14ac:dyDescent="0.3">
      <c r="A183" s="136" t="s">
        <v>326</v>
      </c>
      <c r="B183" s="137" t="s">
        <v>327</v>
      </c>
      <c r="C183" s="143" t="s">
        <v>191</v>
      </c>
      <c r="D183" s="144">
        <v>93</v>
      </c>
      <c r="E183" s="160">
        <f t="shared" si="32"/>
        <v>56718</v>
      </c>
      <c r="F183" s="145">
        <f t="shared" si="33"/>
        <v>5274774</v>
      </c>
      <c r="G183" s="113">
        <f t="shared" si="34"/>
        <v>51046</v>
      </c>
      <c r="H183" s="53">
        <f t="shared" si="35"/>
        <v>62390</v>
      </c>
      <c r="J183" s="141">
        <v>53634</v>
      </c>
    </row>
    <row r="184" spans="1:10" ht="15.75" thickBot="1" x14ac:dyDescent="0.3">
      <c r="C184" s="335" t="s">
        <v>37</v>
      </c>
      <c r="D184" s="336"/>
      <c r="E184" s="337"/>
      <c r="F184" s="27">
        <f>SUM(F168:F183)</f>
        <v>432232021</v>
      </c>
    </row>
    <row r="185" spans="1:10" ht="15.75" thickBot="1" x14ac:dyDescent="0.3"/>
    <row r="186" spans="1:10" ht="29.25" thickBot="1" x14ac:dyDescent="0.3">
      <c r="A186" s="146">
        <v>2.5</v>
      </c>
      <c r="B186" s="147" t="s">
        <v>328</v>
      </c>
      <c r="C186" s="147" t="s">
        <v>200</v>
      </c>
      <c r="D186" s="148" t="s">
        <v>15</v>
      </c>
      <c r="E186" s="32" t="s">
        <v>16</v>
      </c>
      <c r="F186" s="73" t="s">
        <v>17</v>
      </c>
      <c r="G186" s="92" t="s">
        <v>18</v>
      </c>
      <c r="H186" s="76" t="s">
        <v>19</v>
      </c>
    </row>
    <row r="187" spans="1:10" ht="15.75" thickBot="1" x14ac:dyDescent="0.3">
      <c r="A187" s="149" t="s">
        <v>329</v>
      </c>
      <c r="B187" s="137" t="s">
        <v>330</v>
      </c>
      <c r="C187" s="138" t="s">
        <v>71</v>
      </c>
      <c r="D187" s="139">
        <v>390.42</v>
      </c>
      <c r="E187" s="160">
        <f t="shared" ref="E187:E195" si="36">+ROUND(J187*1.0575,0)</f>
        <v>1754</v>
      </c>
      <c r="F187" s="145">
        <f t="shared" ref="F187:F195" si="37">+ROUND(E187*D187,0)</f>
        <v>684797</v>
      </c>
      <c r="G187" s="113">
        <f t="shared" ref="G187:G195" si="38">+ROUND(0.9*E187,0)</f>
        <v>1579</v>
      </c>
      <c r="H187" s="53">
        <f t="shared" ref="H187:H195" si="39">+ROUND(1.1*E187,0)</f>
        <v>1929</v>
      </c>
      <c r="J187" s="141">
        <v>1659</v>
      </c>
    </row>
    <row r="188" spans="1:10" ht="15.75" thickBot="1" x14ac:dyDescent="0.3">
      <c r="A188" s="149" t="s">
        <v>331</v>
      </c>
      <c r="B188" s="137" t="s">
        <v>332</v>
      </c>
      <c r="C188" s="138" t="s">
        <v>71</v>
      </c>
      <c r="D188" s="139">
        <v>55.07</v>
      </c>
      <c r="E188" s="160">
        <f t="shared" si="36"/>
        <v>49555</v>
      </c>
      <c r="F188" s="145">
        <f t="shared" si="37"/>
        <v>2728994</v>
      </c>
      <c r="G188" s="113">
        <f t="shared" si="38"/>
        <v>44600</v>
      </c>
      <c r="H188" s="53">
        <f t="shared" si="39"/>
        <v>54511</v>
      </c>
      <c r="J188" s="141">
        <v>46860.6682</v>
      </c>
    </row>
    <row r="189" spans="1:10" ht="15.75" thickBot="1" x14ac:dyDescent="0.3">
      <c r="A189" s="149" t="s">
        <v>333</v>
      </c>
      <c r="B189" s="137" t="s">
        <v>334</v>
      </c>
      <c r="C189" s="138" t="s">
        <v>71</v>
      </c>
      <c r="D189" s="139">
        <v>183.13</v>
      </c>
      <c r="E189" s="160">
        <f t="shared" si="36"/>
        <v>85233</v>
      </c>
      <c r="F189" s="145">
        <f t="shared" si="37"/>
        <v>15608719</v>
      </c>
      <c r="G189" s="113">
        <f t="shared" si="38"/>
        <v>76710</v>
      </c>
      <c r="H189" s="53">
        <f t="shared" si="39"/>
        <v>93756</v>
      </c>
      <c r="J189" s="141">
        <v>80598.758736000003</v>
      </c>
    </row>
    <row r="190" spans="1:10" ht="24" customHeight="1" thickBot="1" x14ac:dyDescent="0.3">
      <c r="A190" s="149" t="s">
        <v>335</v>
      </c>
      <c r="B190" s="137" t="s">
        <v>336</v>
      </c>
      <c r="C190" s="138" t="s">
        <v>191</v>
      </c>
      <c r="D190" s="139">
        <v>13.1</v>
      </c>
      <c r="E190" s="160">
        <f t="shared" si="36"/>
        <v>32503</v>
      </c>
      <c r="F190" s="145">
        <f t="shared" si="37"/>
        <v>425789</v>
      </c>
      <c r="G190" s="113">
        <f t="shared" si="38"/>
        <v>29253</v>
      </c>
      <c r="H190" s="53">
        <f t="shared" si="39"/>
        <v>35753</v>
      </c>
      <c r="J190" s="141">
        <v>30736.075660000002</v>
      </c>
    </row>
    <row r="191" spans="1:10" ht="25.5" customHeight="1" thickBot="1" x14ac:dyDescent="0.3">
      <c r="A191" s="149" t="s">
        <v>337</v>
      </c>
      <c r="B191" s="137" t="s">
        <v>338</v>
      </c>
      <c r="C191" s="138" t="s">
        <v>71</v>
      </c>
      <c r="D191" s="139">
        <v>91.56</v>
      </c>
      <c r="E191" s="160">
        <f t="shared" si="36"/>
        <v>68773</v>
      </c>
      <c r="F191" s="145">
        <f t="shared" si="37"/>
        <v>6296856</v>
      </c>
      <c r="G191" s="113">
        <f t="shared" si="38"/>
        <v>61896</v>
      </c>
      <c r="H191" s="53">
        <f t="shared" si="39"/>
        <v>75650</v>
      </c>
      <c r="J191" s="141">
        <v>65034.036319999999</v>
      </c>
    </row>
    <row r="192" spans="1:10" ht="19.5" customHeight="1" thickBot="1" x14ac:dyDescent="0.3">
      <c r="A192" s="149" t="s">
        <v>339</v>
      </c>
      <c r="B192" s="137" t="s">
        <v>340</v>
      </c>
      <c r="C192" s="138" t="s">
        <v>71</v>
      </c>
      <c r="D192" s="139">
        <v>38.770000000000003</v>
      </c>
      <c r="E192" s="160">
        <f t="shared" si="36"/>
        <v>329923</v>
      </c>
      <c r="F192" s="145">
        <f t="shared" si="37"/>
        <v>12791115</v>
      </c>
      <c r="G192" s="113">
        <f t="shared" si="38"/>
        <v>296931</v>
      </c>
      <c r="H192" s="53">
        <f t="shared" si="39"/>
        <v>362915</v>
      </c>
      <c r="J192" s="141">
        <v>311983.70079999999</v>
      </c>
    </row>
    <row r="193" spans="1:10" ht="21.75" customHeight="1" thickBot="1" x14ac:dyDescent="0.3">
      <c r="A193" s="149" t="s">
        <v>341</v>
      </c>
      <c r="B193" s="137" t="s">
        <v>342</v>
      </c>
      <c r="C193" s="138" t="s">
        <v>71</v>
      </c>
      <c r="D193" s="139">
        <v>55.59</v>
      </c>
      <c r="E193" s="160">
        <f t="shared" si="36"/>
        <v>36755</v>
      </c>
      <c r="F193" s="145">
        <f t="shared" si="37"/>
        <v>2043210</v>
      </c>
      <c r="G193" s="113">
        <f t="shared" si="38"/>
        <v>33080</v>
      </c>
      <c r="H193" s="53">
        <f t="shared" si="39"/>
        <v>40431</v>
      </c>
      <c r="J193" s="141">
        <v>34756.427300000003</v>
      </c>
    </row>
    <row r="194" spans="1:10" ht="18.75" thickBot="1" x14ac:dyDescent="0.3">
      <c r="A194" s="149" t="s">
        <v>343</v>
      </c>
      <c r="B194" s="137" t="s">
        <v>344</v>
      </c>
      <c r="C194" s="138" t="s">
        <v>191</v>
      </c>
      <c r="D194" s="139">
        <v>13.1</v>
      </c>
      <c r="E194" s="160">
        <f t="shared" si="36"/>
        <v>128845</v>
      </c>
      <c r="F194" s="145">
        <f t="shared" si="37"/>
        <v>1687870</v>
      </c>
      <c r="G194" s="113">
        <f t="shared" si="38"/>
        <v>115961</v>
      </c>
      <c r="H194" s="53">
        <f t="shared" si="39"/>
        <v>141730</v>
      </c>
      <c r="J194" s="141">
        <v>121838.95532000001</v>
      </c>
    </row>
    <row r="195" spans="1:10" ht="18.75" thickBot="1" x14ac:dyDescent="0.3">
      <c r="A195" s="150" t="s">
        <v>345</v>
      </c>
      <c r="B195" s="151" t="s">
        <v>346</v>
      </c>
      <c r="C195" s="152" t="s">
        <v>71</v>
      </c>
      <c r="D195" s="153">
        <v>94.49</v>
      </c>
      <c r="E195" s="161">
        <f t="shared" si="36"/>
        <v>10928</v>
      </c>
      <c r="F195" s="112">
        <f t="shared" si="37"/>
        <v>1032587</v>
      </c>
      <c r="G195" s="113">
        <f t="shared" si="38"/>
        <v>9835</v>
      </c>
      <c r="H195" s="53">
        <f t="shared" si="39"/>
        <v>12021</v>
      </c>
      <c r="J195" s="141">
        <v>10333.8788</v>
      </c>
    </row>
    <row r="196" spans="1:10" ht="15.75" thickBot="1" x14ac:dyDescent="0.3">
      <c r="C196" s="342" t="s">
        <v>37</v>
      </c>
      <c r="D196" s="343"/>
      <c r="E196" s="344"/>
      <c r="F196" s="29">
        <f>SUM(F187:F195)</f>
        <v>43299937</v>
      </c>
    </row>
    <row r="199" spans="1:10" ht="27.75" thickBot="1" x14ac:dyDescent="0.3">
      <c r="A199" s="133" t="s">
        <v>347</v>
      </c>
      <c r="B199" s="134" t="s">
        <v>348</v>
      </c>
      <c r="C199" s="134" t="s">
        <v>200</v>
      </c>
      <c r="D199" s="135" t="s">
        <v>15</v>
      </c>
      <c r="E199" s="10" t="s">
        <v>16</v>
      </c>
      <c r="F199" s="54" t="s">
        <v>17</v>
      </c>
      <c r="G199" s="11" t="s">
        <v>18</v>
      </c>
      <c r="H199" s="12" t="s">
        <v>19</v>
      </c>
    </row>
    <row r="200" spans="1:10" ht="15.75" thickBot="1" x14ac:dyDescent="0.3">
      <c r="A200" s="136" t="s">
        <v>349</v>
      </c>
      <c r="B200" s="137" t="s">
        <v>350</v>
      </c>
      <c r="C200" s="138" t="s">
        <v>71</v>
      </c>
      <c r="D200" s="139">
        <v>309.39</v>
      </c>
      <c r="E200" s="161">
        <f t="shared" ref="E200:E206" si="40">+ROUND(J200*1.0575,0)</f>
        <v>36124</v>
      </c>
      <c r="F200" s="112">
        <f t="shared" ref="F200:F206" si="41">+ROUND(E200*D200,0)</f>
        <v>11176404</v>
      </c>
      <c r="G200" s="113">
        <f t="shared" ref="G200:G206" si="42">+ROUND(0.9*E200,0)</f>
        <v>32512</v>
      </c>
      <c r="H200" s="53">
        <f t="shared" ref="H200:H206" si="43">+ROUND(1.1*E200,0)</f>
        <v>39736</v>
      </c>
      <c r="J200" s="141">
        <v>34159.659999999996</v>
      </c>
    </row>
    <row r="201" spans="1:10" ht="15.75" thickBot="1" x14ac:dyDescent="0.3">
      <c r="A201" s="136" t="s">
        <v>351</v>
      </c>
      <c r="B201" s="137" t="s">
        <v>352</v>
      </c>
      <c r="C201" s="138" t="s">
        <v>71</v>
      </c>
      <c r="D201" s="139">
        <v>1037</v>
      </c>
      <c r="E201" s="161">
        <f t="shared" si="40"/>
        <v>2947</v>
      </c>
      <c r="F201" s="112">
        <f t="shared" si="41"/>
        <v>3056039</v>
      </c>
      <c r="G201" s="113">
        <f t="shared" si="42"/>
        <v>2652</v>
      </c>
      <c r="H201" s="53">
        <f t="shared" si="43"/>
        <v>3242</v>
      </c>
      <c r="J201" s="141">
        <v>2786.9</v>
      </c>
    </row>
    <row r="202" spans="1:10" ht="15.75" thickBot="1" x14ac:dyDescent="0.3">
      <c r="A202" s="136" t="s">
        <v>353</v>
      </c>
      <c r="B202" s="137" t="s">
        <v>354</v>
      </c>
      <c r="C202" s="138" t="s">
        <v>71</v>
      </c>
      <c r="D202" s="139">
        <v>1037</v>
      </c>
      <c r="E202" s="161">
        <f t="shared" si="40"/>
        <v>5695</v>
      </c>
      <c r="F202" s="112">
        <f t="shared" si="41"/>
        <v>5905715</v>
      </c>
      <c r="G202" s="113">
        <f t="shared" si="42"/>
        <v>5126</v>
      </c>
      <c r="H202" s="53">
        <f t="shared" si="43"/>
        <v>6265</v>
      </c>
      <c r="J202" s="141">
        <v>5385.65</v>
      </c>
    </row>
    <row r="203" spans="1:10" ht="15.75" thickBot="1" x14ac:dyDescent="0.3">
      <c r="A203" s="136" t="s">
        <v>355</v>
      </c>
      <c r="B203" s="137" t="s">
        <v>356</v>
      </c>
      <c r="C203" s="138" t="s">
        <v>191</v>
      </c>
      <c r="D203" s="139">
        <v>285.3</v>
      </c>
      <c r="E203" s="161">
        <f t="shared" si="40"/>
        <v>9910</v>
      </c>
      <c r="F203" s="112">
        <f t="shared" si="41"/>
        <v>2827323</v>
      </c>
      <c r="G203" s="113">
        <f t="shared" si="42"/>
        <v>8919</v>
      </c>
      <c r="H203" s="53">
        <f t="shared" si="43"/>
        <v>10901</v>
      </c>
      <c r="J203" s="141">
        <v>9370.7430000000004</v>
      </c>
    </row>
    <row r="204" spans="1:10" ht="15.75" thickBot="1" x14ac:dyDescent="0.3">
      <c r="A204" s="136" t="s">
        <v>357</v>
      </c>
      <c r="B204" s="137" t="s">
        <v>358</v>
      </c>
      <c r="C204" s="138" t="s">
        <v>71</v>
      </c>
      <c r="D204" s="139">
        <v>641.54</v>
      </c>
      <c r="E204" s="161">
        <f t="shared" si="40"/>
        <v>12101</v>
      </c>
      <c r="F204" s="112">
        <f t="shared" si="41"/>
        <v>7763276</v>
      </c>
      <c r="G204" s="113">
        <f t="shared" si="42"/>
        <v>10891</v>
      </c>
      <c r="H204" s="53">
        <f t="shared" si="43"/>
        <v>13311</v>
      </c>
      <c r="J204" s="141">
        <v>11442.929599999999</v>
      </c>
    </row>
    <row r="205" spans="1:10" ht="15.75" thickBot="1" x14ac:dyDescent="0.3">
      <c r="A205" s="136" t="s">
        <v>359</v>
      </c>
      <c r="B205" s="137" t="s">
        <v>360</v>
      </c>
      <c r="C205" s="138" t="s">
        <v>191</v>
      </c>
      <c r="D205" s="139">
        <v>1693.83</v>
      </c>
      <c r="E205" s="161">
        <f t="shared" si="40"/>
        <v>5560</v>
      </c>
      <c r="F205" s="112">
        <f t="shared" si="41"/>
        <v>9417695</v>
      </c>
      <c r="G205" s="113">
        <f t="shared" si="42"/>
        <v>5004</v>
      </c>
      <c r="H205" s="53">
        <f t="shared" si="43"/>
        <v>6116</v>
      </c>
      <c r="J205" s="141">
        <v>5257.8</v>
      </c>
    </row>
    <row r="206" spans="1:10" ht="24" customHeight="1" thickBot="1" x14ac:dyDescent="0.3">
      <c r="A206" s="136" t="s">
        <v>361</v>
      </c>
      <c r="B206" s="137" t="s">
        <v>362</v>
      </c>
      <c r="C206" s="143" t="s">
        <v>191</v>
      </c>
      <c r="D206" s="144">
        <v>30</v>
      </c>
      <c r="E206" s="160">
        <f t="shared" si="40"/>
        <v>66846</v>
      </c>
      <c r="F206" s="112">
        <f t="shared" si="41"/>
        <v>2005380</v>
      </c>
      <c r="G206" s="113">
        <f t="shared" si="42"/>
        <v>60161</v>
      </c>
      <c r="H206" s="53">
        <f t="shared" si="43"/>
        <v>73531</v>
      </c>
      <c r="J206" s="141">
        <v>63211.808199999999</v>
      </c>
    </row>
    <row r="207" spans="1:10" ht="15.75" thickBot="1" x14ac:dyDescent="0.3">
      <c r="C207" s="342" t="s">
        <v>37</v>
      </c>
      <c r="D207" s="343"/>
      <c r="E207" s="344"/>
      <c r="F207" s="27">
        <f>SUM(F200:F206)</f>
        <v>42151832</v>
      </c>
    </row>
    <row r="208" spans="1:10" ht="15.75" thickBot="1" x14ac:dyDescent="0.3"/>
    <row r="209" spans="1:10" ht="29.25" thickBot="1" x14ac:dyDescent="0.3">
      <c r="A209" s="146" t="s">
        <v>363</v>
      </c>
      <c r="B209" s="147" t="s">
        <v>364</v>
      </c>
      <c r="C209" s="147" t="s">
        <v>200</v>
      </c>
      <c r="D209" s="148" t="s">
        <v>15</v>
      </c>
      <c r="E209" s="32" t="s">
        <v>16</v>
      </c>
      <c r="F209" s="73" t="s">
        <v>17</v>
      </c>
      <c r="G209" s="92" t="s">
        <v>18</v>
      </c>
      <c r="H209" s="76" t="s">
        <v>19</v>
      </c>
    </row>
    <row r="210" spans="1:10" ht="15.75" thickBot="1" x14ac:dyDescent="0.3">
      <c r="A210" s="149" t="s">
        <v>365</v>
      </c>
      <c r="B210" s="137" t="s">
        <v>366</v>
      </c>
      <c r="C210" s="138" t="s">
        <v>71</v>
      </c>
      <c r="D210" s="139">
        <v>1.26</v>
      </c>
      <c r="E210" s="160">
        <f t="shared" ref="E210:E217" si="44">+ROUND(J210*1.0575,0)</f>
        <v>359855</v>
      </c>
      <c r="F210" s="112">
        <f t="shared" ref="F210:F217" si="45">+ROUND(E210*D210,0)</f>
        <v>453417</v>
      </c>
      <c r="G210" s="113">
        <f t="shared" ref="G210:G217" si="46">+ROUND(0.9*E210,0)</f>
        <v>323870</v>
      </c>
      <c r="H210" s="53">
        <f t="shared" ref="H210:H217" si="47">+ROUND(1.1*E210,0)</f>
        <v>395841</v>
      </c>
      <c r="J210" s="141">
        <v>340288.65</v>
      </c>
    </row>
    <row r="211" spans="1:10" ht="15.75" thickBot="1" x14ac:dyDescent="0.3">
      <c r="A211" s="149" t="s">
        <v>367</v>
      </c>
      <c r="B211" s="137" t="s">
        <v>368</v>
      </c>
      <c r="C211" s="138" t="s">
        <v>71</v>
      </c>
      <c r="D211" s="139">
        <v>10.79</v>
      </c>
      <c r="E211" s="160">
        <f t="shared" si="44"/>
        <v>216191</v>
      </c>
      <c r="F211" s="112">
        <f t="shared" si="45"/>
        <v>2332701</v>
      </c>
      <c r="G211" s="113">
        <f t="shared" si="46"/>
        <v>194572</v>
      </c>
      <c r="H211" s="53">
        <f t="shared" si="47"/>
        <v>237810</v>
      </c>
      <c r="J211" s="141">
        <v>204435.62</v>
      </c>
    </row>
    <row r="212" spans="1:10" ht="18.75" thickBot="1" x14ac:dyDescent="0.3">
      <c r="A212" s="149" t="s">
        <v>369</v>
      </c>
      <c r="B212" s="162" t="s">
        <v>370</v>
      </c>
      <c r="C212" s="138" t="s">
        <v>71</v>
      </c>
      <c r="D212" s="139">
        <v>12.48</v>
      </c>
      <c r="E212" s="160">
        <f t="shared" si="44"/>
        <v>232743</v>
      </c>
      <c r="F212" s="112">
        <f t="shared" si="45"/>
        <v>2904633</v>
      </c>
      <c r="G212" s="113">
        <f t="shared" si="46"/>
        <v>209469</v>
      </c>
      <c r="H212" s="53">
        <f t="shared" si="47"/>
        <v>256017</v>
      </c>
      <c r="J212" s="141">
        <v>220088.02</v>
      </c>
    </row>
    <row r="213" spans="1:10" ht="15.75" thickBot="1" x14ac:dyDescent="0.3">
      <c r="A213" s="149" t="s">
        <v>371</v>
      </c>
      <c r="B213" s="162" t="s">
        <v>372</v>
      </c>
      <c r="C213" s="138" t="s">
        <v>71</v>
      </c>
      <c r="D213" s="139">
        <v>13.66</v>
      </c>
      <c r="E213" s="160">
        <f t="shared" si="44"/>
        <v>226873</v>
      </c>
      <c r="F213" s="112">
        <f t="shared" si="45"/>
        <v>3099085</v>
      </c>
      <c r="G213" s="113">
        <f t="shared" si="46"/>
        <v>204186</v>
      </c>
      <c r="H213" s="53">
        <f t="shared" si="47"/>
        <v>249560</v>
      </c>
      <c r="J213" s="141">
        <v>214536.98</v>
      </c>
    </row>
    <row r="214" spans="1:10" ht="15.75" thickBot="1" x14ac:dyDescent="0.3">
      <c r="A214" s="149" t="s">
        <v>373</v>
      </c>
      <c r="B214" s="137" t="s">
        <v>374</v>
      </c>
      <c r="C214" s="138" t="s">
        <v>180</v>
      </c>
      <c r="D214" s="139">
        <v>6</v>
      </c>
      <c r="E214" s="160">
        <f t="shared" si="44"/>
        <v>33635</v>
      </c>
      <c r="F214" s="112">
        <f t="shared" si="45"/>
        <v>201810</v>
      </c>
      <c r="G214" s="113">
        <f t="shared" si="46"/>
        <v>30272</v>
      </c>
      <c r="H214" s="53">
        <f t="shared" si="47"/>
        <v>36999</v>
      </c>
      <c r="J214" s="141">
        <v>31806.235000000001</v>
      </c>
    </row>
    <row r="215" spans="1:10" ht="20.25" customHeight="1" thickBot="1" x14ac:dyDescent="0.3">
      <c r="A215" s="149" t="s">
        <v>375</v>
      </c>
      <c r="B215" s="137" t="s">
        <v>376</v>
      </c>
      <c r="C215" s="138" t="s">
        <v>180</v>
      </c>
      <c r="D215" s="139">
        <v>6</v>
      </c>
      <c r="E215" s="160">
        <f t="shared" si="44"/>
        <v>16372</v>
      </c>
      <c r="F215" s="112">
        <f t="shared" si="45"/>
        <v>98232</v>
      </c>
      <c r="G215" s="113">
        <f t="shared" si="46"/>
        <v>14735</v>
      </c>
      <c r="H215" s="53">
        <f t="shared" si="47"/>
        <v>18009</v>
      </c>
      <c r="J215" s="141">
        <v>15482.235000000001</v>
      </c>
    </row>
    <row r="216" spans="1:10" ht="22.5" customHeight="1" thickBot="1" x14ac:dyDescent="0.3">
      <c r="A216" s="149" t="s">
        <v>377</v>
      </c>
      <c r="B216" s="137" t="s">
        <v>378</v>
      </c>
      <c r="C216" s="138" t="s">
        <v>180</v>
      </c>
      <c r="D216" s="139">
        <v>7</v>
      </c>
      <c r="E216" s="160">
        <f t="shared" si="44"/>
        <v>41875</v>
      </c>
      <c r="F216" s="112">
        <f t="shared" si="45"/>
        <v>293125</v>
      </c>
      <c r="G216" s="113">
        <f t="shared" si="46"/>
        <v>37688</v>
      </c>
      <c r="H216" s="53">
        <f t="shared" si="47"/>
        <v>46063</v>
      </c>
      <c r="J216" s="141">
        <v>39598.555</v>
      </c>
    </row>
    <row r="217" spans="1:10" ht="18.75" thickBot="1" x14ac:dyDescent="0.3">
      <c r="A217" s="150" t="s">
        <v>379</v>
      </c>
      <c r="B217" s="151" t="s">
        <v>380</v>
      </c>
      <c r="C217" s="152" t="s">
        <v>180</v>
      </c>
      <c r="D217" s="153">
        <v>13</v>
      </c>
      <c r="E217" s="161">
        <f t="shared" si="44"/>
        <v>103865</v>
      </c>
      <c r="F217" s="112">
        <f t="shared" si="45"/>
        <v>1350245</v>
      </c>
      <c r="G217" s="113">
        <f t="shared" si="46"/>
        <v>93479</v>
      </c>
      <c r="H217" s="53">
        <f t="shared" si="47"/>
        <v>114252</v>
      </c>
      <c r="J217" s="141">
        <v>98217.84</v>
      </c>
    </row>
    <row r="218" spans="1:10" ht="15.75" customHeight="1" thickBot="1" x14ac:dyDescent="0.3">
      <c r="C218" s="342" t="s">
        <v>37</v>
      </c>
      <c r="D218" s="343"/>
      <c r="E218" s="344"/>
      <c r="F218" s="163">
        <f>SUM(F210:F217)</f>
        <v>10733248</v>
      </c>
    </row>
    <row r="219" spans="1:10" ht="15.75" thickBot="1" x14ac:dyDescent="0.3"/>
    <row r="220" spans="1:10" ht="29.25" thickBot="1" x14ac:dyDescent="0.3">
      <c r="A220" s="146" t="s">
        <v>381</v>
      </c>
      <c r="B220" s="147" t="s">
        <v>382</v>
      </c>
      <c r="C220" s="147" t="s">
        <v>200</v>
      </c>
      <c r="D220" s="148" t="s">
        <v>15</v>
      </c>
      <c r="E220" s="32" t="s">
        <v>16</v>
      </c>
      <c r="F220" s="73" t="s">
        <v>17</v>
      </c>
      <c r="G220" s="92" t="s">
        <v>18</v>
      </c>
      <c r="H220" s="76" t="s">
        <v>19</v>
      </c>
    </row>
    <row r="221" spans="1:10" ht="15.75" thickBot="1" x14ac:dyDescent="0.3">
      <c r="A221" s="149" t="s">
        <v>383</v>
      </c>
      <c r="B221" s="137" t="s">
        <v>384</v>
      </c>
      <c r="C221" s="138" t="s">
        <v>385</v>
      </c>
      <c r="D221" s="139">
        <v>6</v>
      </c>
      <c r="E221" s="161">
        <f t="shared" ref="E221:E223" si="48">+ROUND(J221*1.0575,0)</f>
        <v>877196</v>
      </c>
      <c r="F221" s="112">
        <f t="shared" ref="F221:F223" si="49">+ROUND(E221*D221,0)</f>
        <v>5263176</v>
      </c>
      <c r="G221" s="113">
        <f t="shared" ref="G221:G223" si="50">+ROUND(0.9*E221,0)</f>
        <v>789476</v>
      </c>
      <c r="H221" s="53">
        <f t="shared" ref="H221:H223" si="51">+ROUND(1.1*E221,0)</f>
        <v>964916</v>
      </c>
      <c r="J221" s="141">
        <v>829500</v>
      </c>
    </row>
    <row r="222" spans="1:10" ht="15.75" thickBot="1" x14ac:dyDescent="0.3">
      <c r="A222" s="149" t="s">
        <v>386</v>
      </c>
      <c r="B222" s="137" t="s">
        <v>387</v>
      </c>
      <c r="C222" s="138" t="s">
        <v>238</v>
      </c>
      <c r="D222" s="139">
        <v>1</v>
      </c>
      <c r="E222" s="161">
        <f t="shared" si="48"/>
        <v>1315794</v>
      </c>
      <c r="F222" s="112">
        <f t="shared" si="49"/>
        <v>1315794</v>
      </c>
      <c r="G222" s="113">
        <f t="shared" si="50"/>
        <v>1184215</v>
      </c>
      <c r="H222" s="53">
        <f t="shared" si="51"/>
        <v>1447373</v>
      </c>
      <c r="J222" s="141">
        <v>1244250</v>
      </c>
    </row>
    <row r="223" spans="1:10" ht="15.75" thickBot="1" x14ac:dyDescent="0.3">
      <c r="A223" s="150" t="s">
        <v>388</v>
      </c>
      <c r="B223" s="151" t="s">
        <v>389</v>
      </c>
      <c r="C223" s="152" t="s">
        <v>71</v>
      </c>
      <c r="D223" s="153">
        <v>12.4</v>
      </c>
      <c r="E223" s="161">
        <f t="shared" si="48"/>
        <v>1199036</v>
      </c>
      <c r="F223" s="112">
        <f t="shared" si="49"/>
        <v>14868046</v>
      </c>
      <c r="G223" s="113">
        <f t="shared" si="50"/>
        <v>1079132</v>
      </c>
      <c r="H223" s="53">
        <f t="shared" si="51"/>
        <v>1318940</v>
      </c>
      <c r="J223" s="141">
        <v>1133840.3162</v>
      </c>
    </row>
    <row r="224" spans="1:10" ht="15.75" thickBot="1" x14ac:dyDescent="0.3">
      <c r="C224" s="342" t="s">
        <v>37</v>
      </c>
      <c r="D224" s="343"/>
      <c r="E224" s="344"/>
      <c r="F224" s="29">
        <f>SUM(F221:F223)</f>
        <v>21447016</v>
      </c>
    </row>
    <row r="225" spans="1:10" ht="15.75" thickBot="1" x14ac:dyDescent="0.3"/>
    <row r="226" spans="1:10" ht="15.75" thickBot="1" x14ac:dyDescent="0.3">
      <c r="A226" s="276"/>
      <c r="B226" s="356" t="s">
        <v>390</v>
      </c>
      <c r="C226" s="357"/>
      <c r="D226" s="357"/>
      <c r="E226" s="277"/>
      <c r="F226" s="278">
        <f>+F224+F218+F207+F196+F184+F165+F143+F123</f>
        <v>1481325865</v>
      </c>
      <c r="G226" s="278">
        <f>+ROUND(0.8*F226,0)</f>
        <v>1185060692</v>
      </c>
      <c r="H226" s="278">
        <f>+F226</f>
        <v>1481325865</v>
      </c>
    </row>
    <row r="228" spans="1:10" ht="15.75" thickBot="1" x14ac:dyDescent="0.3"/>
    <row r="229" spans="1:10" ht="15.75" thickBot="1" x14ac:dyDescent="0.3">
      <c r="A229" s="368" t="s">
        <v>391</v>
      </c>
      <c r="B229" s="369"/>
      <c r="C229" s="369"/>
      <c r="D229" s="369"/>
      <c r="E229" s="369"/>
      <c r="F229" s="369"/>
      <c r="G229" s="369"/>
      <c r="H229" s="370"/>
    </row>
    <row r="230" spans="1:10" ht="15.75" thickBot="1" x14ac:dyDescent="0.3"/>
    <row r="231" spans="1:10" ht="27.75" thickBot="1" x14ac:dyDescent="0.3">
      <c r="A231" s="177" t="s">
        <v>392</v>
      </c>
      <c r="B231" s="178" t="s">
        <v>393</v>
      </c>
      <c r="C231" s="179" t="s">
        <v>200</v>
      </c>
      <c r="D231" s="148" t="s">
        <v>15</v>
      </c>
      <c r="E231" s="32" t="s">
        <v>16</v>
      </c>
      <c r="F231" s="73" t="s">
        <v>17</v>
      </c>
      <c r="G231" s="92" t="s">
        <v>18</v>
      </c>
      <c r="H231" s="76" t="s">
        <v>19</v>
      </c>
    </row>
    <row r="232" spans="1:10" ht="18.75" thickBot="1" x14ac:dyDescent="0.3">
      <c r="A232" s="180" t="s">
        <v>394</v>
      </c>
      <c r="B232" s="167" t="s">
        <v>395</v>
      </c>
      <c r="C232" s="168" t="s">
        <v>396</v>
      </c>
      <c r="D232" s="169">
        <f>18.5+4.4+2.4</f>
        <v>25.299999999999997</v>
      </c>
      <c r="E232" s="161">
        <f t="shared" ref="E232:E243" si="52">+ROUND(J232*1.0575,0)</f>
        <v>13439</v>
      </c>
      <c r="F232" s="112">
        <f t="shared" ref="F232:F243" si="53">+ROUND(E232*D232,0)</f>
        <v>340007</v>
      </c>
      <c r="G232" s="113">
        <f t="shared" ref="G232:G243" si="54">+ROUND(0.9*E232,0)</f>
        <v>12095</v>
      </c>
      <c r="H232" s="53">
        <f t="shared" ref="H232:H243" si="55">+ROUND(1.1*E232,0)</f>
        <v>14783</v>
      </c>
      <c r="J232" s="175">
        <v>12708.4732</v>
      </c>
    </row>
    <row r="233" spans="1:10" ht="18.75" thickBot="1" x14ac:dyDescent="0.3">
      <c r="A233" s="180" t="s">
        <v>397</v>
      </c>
      <c r="B233" s="167" t="s">
        <v>398</v>
      </c>
      <c r="C233" s="170" t="s">
        <v>396</v>
      </c>
      <c r="D233" s="171">
        <v>2</v>
      </c>
      <c r="E233" s="161">
        <f t="shared" si="52"/>
        <v>16771</v>
      </c>
      <c r="F233" s="112">
        <f t="shared" si="53"/>
        <v>33542</v>
      </c>
      <c r="G233" s="113">
        <f t="shared" si="54"/>
        <v>15094</v>
      </c>
      <c r="H233" s="53">
        <f t="shared" si="55"/>
        <v>18448</v>
      </c>
      <c r="J233" s="176">
        <v>15858.66</v>
      </c>
    </row>
    <row r="234" spans="1:10" ht="18.75" thickBot="1" x14ac:dyDescent="0.3">
      <c r="A234" s="180" t="s">
        <v>399</v>
      </c>
      <c r="B234" s="167" t="s">
        <v>400</v>
      </c>
      <c r="C234" s="170" t="s">
        <v>396</v>
      </c>
      <c r="D234" s="171">
        <f>2.1+21.9</f>
        <v>24</v>
      </c>
      <c r="E234" s="161">
        <f t="shared" si="52"/>
        <v>19515</v>
      </c>
      <c r="F234" s="112">
        <f t="shared" si="53"/>
        <v>468360</v>
      </c>
      <c r="G234" s="113">
        <f t="shared" si="54"/>
        <v>17564</v>
      </c>
      <c r="H234" s="53">
        <f t="shared" si="55"/>
        <v>21467</v>
      </c>
      <c r="J234" s="176">
        <v>18453.55</v>
      </c>
    </row>
    <row r="235" spans="1:10" ht="18.75" thickBot="1" x14ac:dyDescent="0.3">
      <c r="A235" s="180" t="s">
        <v>401</v>
      </c>
      <c r="B235" s="167" t="s">
        <v>402</v>
      </c>
      <c r="C235" s="170" t="s">
        <v>396</v>
      </c>
      <c r="D235" s="171">
        <v>8.4</v>
      </c>
      <c r="E235" s="161">
        <f t="shared" si="52"/>
        <v>22445</v>
      </c>
      <c r="F235" s="112">
        <f t="shared" si="53"/>
        <v>188538</v>
      </c>
      <c r="G235" s="113">
        <f t="shared" si="54"/>
        <v>20201</v>
      </c>
      <c r="H235" s="53">
        <f t="shared" si="55"/>
        <v>24690</v>
      </c>
      <c r="J235" s="176">
        <v>21224.35</v>
      </c>
    </row>
    <row r="236" spans="1:10" ht="18.75" thickBot="1" x14ac:dyDescent="0.3">
      <c r="A236" s="180" t="s">
        <v>403</v>
      </c>
      <c r="B236" s="172" t="s">
        <v>404</v>
      </c>
      <c r="C236" s="170" t="s">
        <v>396</v>
      </c>
      <c r="D236" s="171">
        <v>65.5</v>
      </c>
      <c r="E236" s="161">
        <f t="shared" si="52"/>
        <v>28106</v>
      </c>
      <c r="F236" s="112">
        <f t="shared" si="53"/>
        <v>1840943</v>
      </c>
      <c r="G236" s="113">
        <f t="shared" si="54"/>
        <v>25295</v>
      </c>
      <c r="H236" s="53">
        <f t="shared" si="55"/>
        <v>30917</v>
      </c>
      <c r="J236" s="176">
        <v>26578.049999999996</v>
      </c>
    </row>
    <row r="237" spans="1:10" ht="18.75" thickBot="1" x14ac:dyDescent="0.3">
      <c r="A237" s="180" t="s">
        <v>405</v>
      </c>
      <c r="B237" s="173" t="s">
        <v>406</v>
      </c>
      <c r="C237" s="170" t="s">
        <v>396</v>
      </c>
      <c r="D237" s="171">
        <v>77</v>
      </c>
      <c r="E237" s="161">
        <f t="shared" si="52"/>
        <v>45864</v>
      </c>
      <c r="F237" s="112">
        <f t="shared" si="53"/>
        <v>3531528</v>
      </c>
      <c r="G237" s="113">
        <f t="shared" si="54"/>
        <v>41278</v>
      </c>
      <c r="H237" s="53">
        <f t="shared" si="55"/>
        <v>50450</v>
      </c>
      <c r="J237" s="176">
        <v>43370.616731106711</v>
      </c>
    </row>
    <row r="238" spans="1:10" ht="15.75" thickBot="1" x14ac:dyDescent="0.3">
      <c r="A238" s="180" t="s">
        <v>407</v>
      </c>
      <c r="B238" s="174" t="s">
        <v>408</v>
      </c>
      <c r="C238" s="170" t="s">
        <v>409</v>
      </c>
      <c r="D238" s="171">
        <v>3</v>
      </c>
      <c r="E238" s="161">
        <f t="shared" si="52"/>
        <v>40099</v>
      </c>
      <c r="F238" s="112">
        <f t="shared" si="53"/>
        <v>120297</v>
      </c>
      <c r="G238" s="113">
        <f t="shared" si="54"/>
        <v>36089</v>
      </c>
      <c r="H238" s="53">
        <f t="shared" si="55"/>
        <v>44109</v>
      </c>
      <c r="J238" s="176">
        <v>37918.926000000007</v>
      </c>
    </row>
    <row r="239" spans="1:10" ht="15.75" thickBot="1" x14ac:dyDescent="0.3">
      <c r="A239" s="180" t="s">
        <v>410</v>
      </c>
      <c r="B239" s="174" t="s">
        <v>411</v>
      </c>
      <c r="C239" s="170" t="s">
        <v>409</v>
      </c>
      <c r="D239" s="171">
        <v>2</v>
      </c>
      <c r="E239" s="161">
        <f t="shared" si="52"/>
        <v>58510</v>
      </c>
      <c r="F239" s="112">
        <f t="shared" si="53"/>
        <v>117020</v>
      </c>
      <c r="G239" s="113">
        <f t="shared" si="54"/>
        <v>52659</v>
      </c>
      <c r="H239" s="53">
        <f t="shared" si="55"/>
        <v>64361</v>
      </c>
      <c r="J239" s="176">
        <v>55328.723999999995</v>
      </c>
    </row>
    <row r="240" spans="1:10" ht="15.75" thickBot="1" x14ac:dyDescent="0.3">
      <c r="A240" s="180" t="s">
        <v>412</v>
      </c>
      <c r="B240" s="174" t="s">
        <v>413</v>
      </c>
      <c r="C240" s="170" t="s">
        <v>409</v>
      </c>
      <c r="D240" s="171">
        <v>4</v>
      </c>
      <c r="E240" s="161">
        <f t="shared" si="52"/>
        <v>93028</v>
      </c>
      <c r="F240" s="112">
        <f t="shared" si="53"/>
        <v>372112</v>
      </c>
      <c r="G240" s="113">
        <f t="shared" si="54"/>
        <v>83725</v>
      </c>
      <c r="H240" s="53">
        <f t="shared" si="55"/>
        <v>102331</v>
      </c>
      <c r="J240" s="176">
        <v>87969.7</v>
      </c>
    </row>
    <row r="241" spans="1:10" ht="15.75" thickBot="1" x14ac:dyDescent="0.3">
      <c r="A241" s="180" t="s">
        <v>414</v>
      </c>
      <c r="B241" s="174" t="s">
        <v>415</v>
      </c>
      <c r="C241" s="170" t="s">
        <v>409</v>
      </c>
      <c r="D241" s="171">
        <v>11</v>
      </c>
      <c r="E241" s="161">
        <f t="shared" si="52"/>
        <v>51959</v>
      </c>
      <c r="F241" s="112">
        <f t="shared" si="53"/>
        <v>571549</v>
      </c>
      <c r="G241" s="113">
        <f t="shared" si="54"/>
        <v>46763</v>
      </c>
      <c r="H241" s="53">
        <f t="shared" si="55"/>
        <v>57155</v>
      </c>
      <c r="J241" s="176">
        <v>49133.942000000003</v>
      </c>
    </row>
    <row r="242" spans="1:10" ht="15.75" thickBot="1" x14ac:dyDescent="0.3">
      <c r="A242" s="180" t="s">
        <v>416</v>
      </c>
      <c r="B242" s="174" t="s">
        <v>417</v>
      </c>
      <c r="C242" s="170" t="s">
        <v>409</v>
      </c>
      <c r="D242" s="171">
        <v>4</v>
      </c>
      <c r="E242" s="161">
        <f t="shared" si="52"/>
        <v>54862</v>
      </c>
      <c r="F242" s="112">
        <f t="shared" si="53"/>
        <v>219448</v>
      </c>
      <c r="G242" s="113">
        <f t="shared" si="54"/>
        <v>49376</v>
      </c>
      <c r="H242" s="53">
        <f t="shared" si="55"/>
        <v>60348</v>
      </c>
      <c r="J242" s="176">
        <v>51878.6</v>
      </c>
    </row>
    <row r="243" spans="1:10" ht="15.75" thickBot="1" x14ac:dyDescent="0.3">
      <c r="A243" s="181" t="s">
        <v>418</v>
      </c>
      <c r="B243" s="182" t="s">
        <v>419</v>
      </c>
      <c r="C243" s="183" t="s">
        <v>409</v>
      </c>
      <c r="D243" s="184">
        <v>7</v>
      </c>
      <c r="E243" s="161">
        <f t="shared" si="52"/>
        <v>60509</v>
      </c>
      <c r="F243" s="112">
        <f t="shared" si="53"/>
        <v>423563</v>
      </c>
      <c r="G243" s="113">
        <f t="shared" si="54"/>
        <v>54458</v>
      </c>
      <c r="H243" s="53">
        <f t="shared" si="55"/>
        <v>66560</v>
      </c>
      <c r="J243" s="176">
        <v>57218.559999999998</v>
      </c>
    </row>
    <row r="244" spans="1:10" ht="15.75" thickBot="1" x14ac:dyDescent="0.3">
      <c r="C244" s="342" t="s">
        <v>37</v>
      </c>
      <c r="D244" s="343"/>
      <c r="E244" s="344"/>
      <c r="F244" s="29">
        <f>SUM(F232:F243)</f>
        <v>8226907</v>
      </c>
    </row>
    <row r="245" spans="1:10" ht="15.75" thickBot="1" x14ac:dyDescent="0.3"/>
    <row r="246" spans="1:10" ht="27.75" thickBot="1" x14ac:dyDescent="0.3">
      <c r="A246" s="185" t="s">
        <v>420</v>
      </c>
      <c r="B246" s="186" t="s">
        <v>421</v>
      </c>
      <c r="C246" s="187" t="s">
        <v>200</v>
      </c>
      <c r="D246" s="135" t="s">
        <v>15</v>
      </c>
      <c r="E246" s="32" t="s">
        <v>16</v>
      </c>
      <c r="F246" s="73" t="s">
        <v>17</v>
      </c>
      <c r="G246" s="92" t="s">
        <v>18</v>
      </c>
      <c r="H246" s="76" t="s">
        <v>19</v>
      </c>
    </row>
    <row r="247" spans="1:10" ht="18.75" thickBot="1" x14ac:dyDescent="0.3">
      <c r="A247" s="188" t="s">
        <v>422</v>
      </c>
      <c r="B247" s="167" t="s">
        <v>423</v>
      </c>
      <c r="C247" s="189" t="s">
        <v>396</v>
      </c>
      <c r="D247" s="169">
        <v>6.55</v>
      </c>
      <c r="E247" s="161">
        <f t="shared" ref="E247:E255" si="56">+ROUND(J247*1.0575,0)</f>
        <v>27983</v>
      </c>
      <c r="F247" s="112">
        <f t="shared" ref="F247:F255" si="57">+ROUND(E247*D247,0)</f>
        <v>183289</v>
      </c>
      <c r="G247" s="113">
        <f t="shared" ref="G247:G255" si="58">+ROUND(0.9*E247,0)</f>
        <v>25185</v>
      </c>
      <c r="H247" s="53">
        <f t="shared" ref="H247:H255" si="59">+ROUND(1.1*E247,0)</f>
        <v>30781</v>
      </c>
      <c r="J247" s="191">
        <v>26461.276065017901</v>
      </c>
    </row>
    <row r="248" spans="1:10" ht="18.75" thickBot="1" x14ac:dyDescent="0.3">
      <c r="A248" s="188" t="s">
        <v>424</v>
      </c>
      <c r="B248" s="167" t="s">
        <v>425</v>
      </c>
      <c r="C248" s="189" t="s">
        <v>396</v>
      </c>
      <c r="D248" s="169">
        <v>12.2</v>
      </c>
      <c r="E248" s="161">
        <f t="shared" si="56"/>
        <v>35090</v>
      </c>
      <c r="F248" s="112">
        <f t="shared" si="57"/>
        <v>428098</v>
      </c>
      <c r="G248" s="113">
        <f t="shared" si="58"/>
        <v>31581</v>
      </c>
      <c r="H248" s="53">
        <f t="shared" si="59"/>
        <v>38599</v>
      </c>
      <c r="J248" s="191">
        <v>33181.783800000005</v>
      </c>
    </row>
    <row r="249" spans="1:10" ht="18.75" thickBot="1" x14ac:dyDescent="0.3">
      <c r="A249" s="188" t="s">
        <v>426</v>
      </c>
      <c r="B249" s="167" t="s">
        <v>427</v>
      </c>
      <c r="C249" s="189" t="s">
        <v>396</v>
      </c>
      <c r="D249" s="169">
        <v>68.8</v>
      </c>
      <c r="E249" s="161">
        <f t="shared" si="56"/>
        <v>53263</v>
      </c>
      <c r="F249" s="112">
        <f t="shared" si="57"/>
        <v>3664494</v>
      </c>
      <c r="G249" s="113">
        <f t="shared" si="58"/>
        <v>47937</v>
      </c>
      <c r="H249" s="53">
        <f t="shared" si="59"/>
        <v>58589</v>
      </c>
      <c r="J249" s="191">
        <v>50367.083209300035</v>
      </c>
    </row>
    <row r="250" spans="1:10" ht="18.75" thickBot="1" x14ac:dyDescent="0.3">
      <c r="A250" s="188" t="s">
        <v>428</v>
      </c>
      <c r="B250" s="167" t="s">
        <v>429</v>
      </c>
      <c r="C250" s="189" t="s">
        <v>396</v>
      </c>
      <c r="D250" s="169">
        <v>73</v>
      </c>
      <c r="E250" s="161">
        <f t="shared" si="56"/>
        <v>69783</v>
      </c>
      <c r="F250" s="112">
        <f t="shared" si="57"/>
        <v>5094159</v>
      </c>
      <c r="G250" s="113">
        <f t="shared" si="58"/>
        <v>62805</v>
      </c>
      <c r="H250" s="53">
        <f t="shared" si="59"/>
        <v>76761</v>
      </c>
      <c r="J250" s="191">
        <v>65988.456818181818</v>
      </c>
    </row>
    <row r="251" spans="1:10" ht="18.75" thickBot="1" x14ac:dyDescent="0.3">
      <c r="A251" s="188" t="s">
        <v>430</v>
      </c>
      <c r="B251" s="167" t="s">
        <v>431</v>
      </c>
      <c r="C251" s="189" t="s">
        <v>396</v>
      </c>
      <c r="D251" s="169">
        <v>12</v>
      </c>
      <c r="E251" s="161">
        <f t="shared" si="56"/>
        <v>26101</v>
      </c>
      <c r="F251" s="112">
        <f t="shared" si="57"/>
        <v>313212</v>
      </c>
      <c r="G251" s="113">
        <f t="shared" si="58"/>
        <v>23491</v>
      </c>
      <c r="H251" s="53">
        <f t="shared" si="59"/>
        <v>28711</v>
      </c>
      <c r="J251" s="191">
        <v>24682.23</v>
      </c>
    </row>
    <row r="252" spans="1:10" ht="18.75" thickBot="1" x14ac:dyDescent="0.3">
      <c r="A252" s="188" t="s">
        <v>432</v>
      </c>
      <c r="B252" s="167" t="s">
        <v>433</v>
      </c>
      <c r="C252" s="189" t="s">
        <v>396</v>
      </c>
      <c r="D252" s="169">
        <v>5</v>
      </c>
      <c r="E252" s="161">
        <f t="shared" si="56"/>
        <v>62755</v>
      </c>
      <c r="F252" s="112">
        <f t="shared" si="57"/>
        <v>313775</v>
      </c>
      <c r="G252" s="113">
        <f t="shared" si="58"/>
        <v>56480</v>
      </c>
      <c r="H252" s="53">
        <f t="shared" si="59"/>
        <v>69031</v>
      </c>
      <c r="J252" s="191">
        <v>59343.225000000006</v>
      </c>
    </row>
    <row r="253" spans="1:10" ht="18.75" thickBot="1" x14ac:dyDescent="0.3">
      <c r="A253" s="188" t="s">
        <v>434</v>
      </c>
      <c r="B253" s="167" t="s">
        <v>435</v>
      </c>
      <c r="C253" s="189" t="s">
        <v>409</v>
      </c>
      <c r="D253" s="169">
        <v>6</v>
      </c>
      <c r="E253" s="161">
        <f t="shared" si="56"/>
        <v>182932</v>
      </c>
      <c r="F253" s="112">
        <f t="shared" si="57"/>
        <v>1097592</v>
      </c>
      <c r="G253" s="113">
        <f t="shared" si="58"/>
        <v>164639</v>
      </c>
      <c r="H253" s="53">
        <f t="shared" si="59"/>
        <v>201225</v>
      </c>
      <c r="J253" s="191">
        <v>172985</v>
      </c>
    </row>
    <row r="254" spans="1:10" ht="18.75" thickBot="1" x14ac:dyDescent="0.3">
      <c r="A254" s="188" t="s">
        <v>436</v>
      </c>
      <c r="B254" s="167" t="s">
        <v>437</v>
      </c>
      <c r="C254" s="190" t="s">
        <v>396</v>
      </c>
      <c r="D254" s="169">
        <v>53</v>
      </c>
      <c r="E254" s="161">
        <f t="shared" si="56"/>
        <v>52091</v>
      </c>
      <c r="F254" s="112">
        <f t="shared" si="57"/>
        <v>2760823</v>
      </c>
      <c r="G254" s="113">
        <f t="shared" si="58"/>
        <v>46882</v>
      </c>
      <c r="H254" s="53">
        <f t="shared" si="59"/>
        <v>57300</v>
      </c>
      <c r="J254" s="191">
        <v>49258.775000000001</v>
      </c>
    </row>
    <row r="255" spans="1:10" ht="18.75" thickBot="1" x14ac:dyDescent="0.3">
      <c r="A255" s="188" t="s">
        <v>438</v>
      </c>
      <c r="B255" s="167" t="s">
        <v>439</v>
      </c>
      <c r="C255" s="192" t="s">
        <v>409</v>
      </c>
      <c r="D255" s="193">
        <v>2</v>
      </c>
      <c r="E255" s="160">
        <f t="shared" si="56"/>
        <v>70740</v>
      </c>
      <c r="F255" s="112">
        <f t="shared" si="57"/>
        <v>141480</v>
      </c>
      <c r="G255" s="113">
        <f t="shared" si="58"/>
        <v>63666</v>
      </c>
      <c r="H255" s="53">
        <f t="shared" si="59"/>
        <v>77814</v>
      </c>
      <c r="J255" s="191">
        <v>66893.822209300037</v>
      </c>
    </row>
    <row r="256" spans="1:10" ht="15.75" thickBot="1" x14ac:dyDescent="0.3">
      <c r="C256" s="335" t="s">
        <v>37</v>
      </c>
      <c r="D256" s="336"/>
      <c r="E256" s="337"/>
      <c r="F256" s="27">
        <f>SUM(F247:F255)</f>
        <v>13996922</v>
      </c>
    </row>
    <row r="257" spans="1:10" ht="15.75" thickBot="1" x14ac:dyDescent="0.3"/>
    <row r="258" spans="1:10" ht="29.25" thickBot="1" x14ac:dyDescent="0.3">
      <c r="A258" s="194" t="s">
        <v>440</v>
      </c>
      <c r="B258" s="195" t="s">
        <v>441</v>
      </c>
      <c r="C258" s="165" t="s">
        <v>200</v>
      </c>
      <c r="D258" s="135" t="s">
        <v>15</v>
      </c>
      <c r="E258" s="32" t="s">
        <v>16</v>
      </c>
      <c r="F258" s="73" t="s">
        <v>17</v>
      </c>
      <c r="G258" s="92" t="s">
        <v>18</v>
      </c>
      <c r="H258" s="76" t="s">
        <v>19</v>
      </c>
      <c r="J258" s="191"/>
    </row>
    <row r="259" spans="1:10" ht="15.75" thickBot="1" x14ac:dyDescent="0.3">
      <c r="A259" s="188" t="s">
        <v>442</v>
      </c>
      <c r="B259" s="167" t="s">
        <v>443</v>
      </c>
      <c r="C259" s="196" t="s">
        <v>409</v>
      </c>
      <c r="D259" s="169">
        <v>8</v>
      </c>
      <c r="E259" s="160">
        <f t="shared" ref="E259:E263" si="60">+ROUND(J259*1.0575,0)</f>
        <v>63972</v>
      </c>
      <c r="F259" s="112">
        <f t="shared" ref="F259:F263" si="61">+ROUND(E259*D259,0)</f>
        <v>511776</v>
      </c>
      <c r="G259" s="113">
        <f t="shared" ref="G259:G263" si="62">+ROUND(0.9*E259,0)</f>
        <v>57575</v>
      </c>
      <c r="H259" s="53">
        <f t="shared" ref="H259:H263" si="63">+ROUND(1.1*E259,0)</f>
        <v>70369</v>
      </c>
      <c r="J259" s="191">
        <v>60493.746065017898</v>
      </c>
    </row>
    <row r="260" spans="1:10" ht="15.75" thickBot="1" x14ac:dyDescent="0.3">
      <c r="A260" s="188" t="s">
        <v>444</v>
      </c>
      <c r="B260" s="167" t="s">
        <v>445</v>
      </c>
      <c r="C260" s="197" t="s">
        <v>409</v>
      </c>
      <c r="D260" s="171">
        <v>4</v>
      </c>
      <c r="E260" s="160">
        <f t="shared" si="60"/>
        <v>63972</v>
      </c>
      <c r="F260" s="112">
        <f t="shared" si="61"/>
        <v>255888</v>
      </c>
      <c r="G260" s="113">
        <f t="shared" si="62"/>
        <v>57575</v>
      </c>
      <c r="H260" s="53">
        <f t="shared" si="63"/>
        <v>70369</v>
      </c>
      <c r="J260" s="191">
        <v>60493.746065017898</v>
      </c>
    </row>
    <row r="261" spans="1:10" ht="15.75" thickBot="1" x14ac:dyDescent="0.3">
      <c r="A261" s="188" t="s">
        <v>446</v>
      </c>
      <c r="B261" s="167" t="s">
        <v>447</v>
      </c>
      <c r="C261" s="196" t="s">
        <v>409</v>
      </c>
      <c r="D261" s="169">
        <v>1</v>
      </c>
      <c r="E261" s="160">
        <f t="shared" si="60"/>
        <v>63972</v>
      </c>
      <c r="F261" s="112">
        <f t="shared" si="61"/>
        <v>63972</v>
      </c>
      <c r="G261" s="113">
        <f t="shared" si="62"/>
        <v>57575</v>
      </c>
      <c r="H261" s="53">
        <f t="shared" si="63"/>
        <v>70369</v>
      </c>
      <c r="J261" s="191">
        <v>60493.746065017898</v>
      </c>
    </row>
    <row r="262" spans="1:10" ht="18.75" thickBot="1" x14ac:dyDescent="0.3">
      <c r="A262" s="188" t="s">
        <v>448</v>
      </c>
      <c r="B262" s="167" t="s">
        <v>449</v>
      </c>
      <c r="C262" s="196" t="s">
        <v>409</v>
      </c>
      <c r="D262" s="169">
        <v>6</v>
      </c>
      <c r="E262" s="160">
        <f t="shared" si="60"/>
        <v>59377</v>
      </c>
      <c r="F262" s="112">
        <f t="shared" si="61"/>
        <v>356262</v>
      </c>
      <c r="G262" s="113">
        <f t="shared" si="62"/>
        <v>53439</v>
      </c>
      <c r="H262" s="53">
        <f t="shared" si="63"/>
        <v>65315</v>
      </c>
      <c r="J262" s="191">
        <v>56148.824000000001</v>
      </c>
    </row>
    <row r="263" spans="1:10" ht="15.75" thickBot="1" x14ac:dyDescent="0.3">
      <c r="A263" s="188" t="s">
        <v>450</v>
      </c>
      <c r="B263" s="167" t="s">
        <v>451</v>
      </c>
      <c r="C263" s="198" t="s">
        <v>409</v>
      </c>
      <c r="D263" s="193">
        <v>7</v>
      </c>
      <c r="E263" s="160">
        <f t="shared" si="60"/>
        <v>66122</v>
      </c>
      <c r="F263" s="112">
        <f t="shared" si="61"/>
        <v>462854</v>
      </c>
      <c r="G263" s="113">
        <f t="shared" si="62"/>
        <v>59510</v>
      </c>
      <c r="H263" s="53">
        <f t="shared" si="63"/>
        <v>72734</v>
      </c>
      <c r="J263" s="191">
        <v>62526.454104650016</v>
      </c>
    </row>
    <row r="264" spans="1:10" ht="15.75" thickBot="1" x14ac:dyDescent="0.3">
      <c r="C264" s="335" t="s">
        <v>37</v>
      </c>
      <c r="D264" s="336"/>
      <c r="E264" s="337"/>
      <c r="F264" s="27">
        <f>SUM(F259:F263)</f>
        <v>1650752</v>
      </c>
    </row>
    <row r="265" spans="1:10" ht="15.75" thickBot="1" x14ac:dyDescent="0.3"/>
    <row r="266" spans="1:10" ht="29.25" thickBot="1" x14ac:dyDescent="0.3">
      <c r="A266" s="199" t="s">
        <v>452</v>
      </c>
      <c r="B266" s="195" t="s">
        <v>453</v>
      </c>
      <c r="C266" s="187" t="s">
        <v>200</v>
      </c>
      <c r="D266" s="135" t="s">
        <v>15</v>
      </c>
      <c r="E266" s="32" t="s">
        <v>16</v>
      </c>
      <c r="F266" s="73" t="s">
        <v>17</v>
      </c>
      <c r="G266" s="92" t="s">
        <v>18</v>
      </c>
      <c r="H266" s="76" t="s">
        <v>19</v>
      </c>
    </row>
    <row r="267" spans="1:10" ht="27.75" thickBot="1" x14ac:dyDescent="0.3">
      <c r="A267" s="166" t="s">
        <v>454</v>
      </c>
      <c r="B267" s="200" t="s">
        <v>455</v>
      </c>
      <c r="C267" s="169" t="s">
        <v>456</v>
      </c>
      <c r="D267" s="169">
        <v>1</v>
      </c>
      <c r="E267" s="160">
        <f t="shared" ref="E267:E272" si="64">+ROUND(J267*1.0575,0)</f>
        <v>6598800</v>
      </c>
      <c r="F267" s="112">
        <f t="shared" ref="F267:F272" si="65">+ROUND(E267*D267,0)</f>
        <v>6598800</v>
      </c>
      <c r="G267" s="113">
        <f t="shared" ref="G267:G272" si="66">+ROUND(0.9*E267,0)</f>
        <v>5938920</v>
      </c>
      <c r="H267" s="53">
        <f t="shared" ref="H267:H272" si="67">+ROUND(1.1*E267,0)</f>
        <v>7258680</v>
      </c>
      <c r="J267" s="191">
        <v>6240000</v>
      </c>
    </row>
    <row r="268" spans="1:10" ht="21" customHeight="1" thickBot="1" x14ac:dyDescent="0.3">
      <c r="A268" s="166" t="s">
        <v>457</v>
      </c>
      <c r="B268" s="167" t="s">
        <v>458</v>
      </c>
      <c r="C268" s="169" t="s">
        <v>456</v>
      </c>
      <c r="D268" s="169">
        <v>1</v>
      </c>
      <c r="E268" s="160">
        <f t="shared" si="64"/>
        <v>5805675</v>
      </c>
      <c r="F268" s="112">
        <f t="shared" si="65"/>
        <v>5805675</v>
      </c>
      <c r="G268" s="113">
        <f t="shared" si="66"/>
        <v>5225108</v>
      </c>
      <c r="H268" s="53">
        <f t="shared" si="67"/>
        <v>6386243</v>
      </c>
      <c r="J268" s="191">
        <v>5490000</v>
      </c>
    </row>
    <row r="269" spans="1:10" ht="18.75" thickBot="1" x14ac:dyDescent="0.3">
      <c r="A269" s="166" t="s">
        <v>459</v>
      </c>
      <c r="B269" s="167" t="s">
        <v>460</v>
      </c>
      <c r="C269" s="169" t="s">
        <v>409</v>
      </c>
      <c r="D269" s="169">
        <v>1</v>
      </c>
      <c r="E269" s="160">
        <f t="shared" si="64"/>
        <v>90046</v>
      </c>
      <c r="F269" s="112">
        <f t="shared" si="65"/>
        <v>90046</v>
      </c>
      <c r="G269" s="113">
        <f t="shared" si="66"/>
        <v>81041</v>
      </c>
      <c r="H269" s="53">
        <f t="shared" si="67"/>
        <v>99051</v>
      </c>
      <c r="J269" s="191">
        <v>85150</v>
      </c>
    </row>
    <row r="270" spans="1:10" ht="15.75" thickBot="1" x14ac:dyDescent="0.3">
      <c r="A270" s="166" t="s">
        <v>461</v>
      </c>
      <c r="B270" s="201" t="s">
        <v>462</v>
      </c>
      <c r="C270" s="171" t="s">
        <v>456</v>
      </c>
      <c r="D270" s="171">
        <v>1</v>
      </c>
      <c r="E270" s="160">
        <f t="shared" si="64"/>
        <v>1359311</v>
      </c>
      <c r="F270" s="112">
        <f t="shared" si="65"/>
        <v>1359311</v>
      </c>
      <c r="G270" s="113">
        <f t="shared" si="66"/>
        <v>1223380</v>
      </c>
      <c r="H270" s="53">
        <f t="shared" si="67"/>
        <v>1495242</v>
      </c>
      <c r="J270" s="208">
        <v>1285400</v>
      </c>
    </row>
    <row r="271" spans="1:10" ht="18.75" thickBot="1" x14ac:dyDescent="0.3">
      <c r="A271" s="166" t="s">
        <v>463</v>
      </c>
      <c r="B271" s="200" t="s">
        <v>464</v>
      </c>
      <c r="C271" s="169" t="s">
        <v>456</v>
      </c>
      <c r="D271" s="169">
        <v>1</v>
      </c>
      <c r="E271" s="160">
        <f t="shared" si="64"/>
        <v>2977286</v>
      </c>
      <c r="F271" s="112">
        <f t="shared" si="65"/>
        <v>2977286</v>
      </c>
      <c r="G271" s="113">
        <f t="shared" si="66"/>
        <v>2679557</v>
      </c>
      <c r="H271" s="53">
        <f t="shared" si="67"/>
        <v>3275015</v>
      </c>
      <c r="J271" s="191">
        <v>2815400</v>
      </c>
    </row>
    <row r="272" spans="1:10" ht="15.75" thickBot="1" x14ac:dyDescent="0.3">
      <c r="A272" s="166" t="s">
        <v>465</v>
      </c>
      <c r="B272" s="167" t="s">
        <v>466</v>
      </c>
      <c r="C272" s="193" t="s">
        <v>456</v>
      </c>
      <c r="D272" s="193">
        <v>1</v>
      </c>
      <c r="E272" s="160">
        <f t="shared" si="64"/>
        <v>9565088</v>
      </c>
      <c r="F272" s="112">
        <f t="shared" si="65"/>
        <v>9565088</v>
      </c>
      <c r="G272" s="113">
        <f t="shared" si="66"/>
        <v>8608579</v>
      </c>
      <c r="H272" s="53">
        <f t="shared" si="67"/>
        <v>10521597</v>
      </c>
      <c r="J272" s="191">
        <v>9045000</v>
      </c>
    </row>
    <row r="273" spans="1:10" ht="15.75" customHeight="1" thickBot="1" x14ac:dyDescent="0.3">
      <c r="A273" s="210"/>
      <c r="B273" s="213"/>
      <c r="C273" s="335" t="s">
        <v>37</v>
      </c>
      <c r="D273" s="336"/>
      <c r="E273" s="337"/>
      <c r="F273" s="27">
        <f>SUM(F267:F272)</f>
        <v>26396206</v>
      </c>
      <c r="G273" s="85"/>
      <c r="H273" s="85"/>
      <c r="J273" s="212"/>
    </row>
    <row r="274" spans="1:10" ht="15.75" thickBot="1" x14ac:dyDescent="0.3"/>
    <row r="275" spans="1:10" ht="29.25" thickBot="1" x14ac:dyDescent="0.3">
      <c r="A275" s="199" t="s">
        <v>467</v>
      </c>
      <c r="B275" s="195" t="s">
        <v>468</v>
      </c>
      <c r="C275" s="134" t="s">
        <v>200</v>
      </c>
      <c r="D275" s="202" t="s">
        <v>15</v>
      </c>
      <c r="E275" s="32" t="s">
        <v>16</v>
      </c>
      <c r="F275" s="73" t="s">
        <v>17</v>
      </c>
      <c r="G275" s="92" t="s">
        <v>18</v>
      </c>
      <c r="H275" s="76" t="s">
        <v>19</v>
      </c>
    </row>
    <row r="276" spans="1:10" ht="15.75" thickBot="1" x14ac:dyDescent="0.3">
      <c r="A276" s="166" t="s">
        <v>469</v>
      </c>
      <c r="B276" s="174" t="s">
        <v>470</v>
      </c>
      <c r="C276" s="203" t="s">
        <v>409</v>
      </c>
      <c r="D276" s="169">
        <v>7</v>
      </c>
      <c r="E276" s="160">
        <f t="shared" ref="E276:E281" si="68">+ROUND(J276*1.0575,0)</f>
        <v>68902</v>
      </c>
      <c r="F276" s="112">
        <f t="shared" ref="F276:F281" si="69">+ROUND(E276*D276,0)</f>
        <v>482314</v>
      </c>
      <c r="G276" s="113">
        <f t="shared" ref="G276:G281" si="70">+ROUND(0.9*E276,0)</f>
        <v>62012</v>
      </c>
      <c r="H276" s="53">
        <f t="shared" ref="H276:H281" si="71">+ROUND(1.1*E276,0)</f>
        <v>75792</v>
      </c>
      <c r="J276" s="191">
        <v>65155.56</v>
      </c>
    </row>
    <row r="277" spans="1:10" ht="15.75" thickBot="1" x14ac:dyDescent="0.3">
      <c r="A277" s="166" t="s">
        <v>471</v>
      </c>
      <c r="B277" s="174" t="s">
        <v>472</v>
      </c>
      <c r="C277" s="203" t="s">
        <v>409</v>
      </c>
      <c r="D277" s="169">
        <v>4</v>
      </c>
      <c r="E277" s="160">
        <f t="shared" si="68"/>
        <v>72548</v>
      </c>
      <c r="F277" s="112">
        <f t="shared" si="69"/>
        <v>290192</v>
      </c>
      <c r="G277" s="113">
        <f t="shared" si="70"/>
        <v>65293</v>
      </c>
      <c r="H277" s="53">
        <f t="shared" si="71"/>
        <v>79803</v>
      </c>
      <c r="J277" s="191">
        <v>68603.16</v>
      </c>
    </row>
    <row r="278" spans="1:10" ht="15.75" thickBot="1" x14ac:dyDescent="0.3">
      <c r="A278" s="166" t="s">
        <v>473</v>
      </c>
      <c r="B278" s="174" t="s">
        <v>474</v>
      </c>
      <c r="C278" s="203" t="s">
        <v>409</v>
      </c>
      <c r="D278" s="169">
        <v>8</v>
      </c>
      <c r="E278" s="160">
        <f t="shared" si="68"/>
        <v>70444</v>
      </c>
      <c r="F278" s="112">
        <f t="shared" si="69"/>
        <v>563552</v>
      </c>
      <c r="G278" s="113">
        <f t="shared" si="70"/>
        <v>63400</v>
      </c>
      <c r="H278" s="53">
        <f t="shared" si="71"/>
        <v>77488</v>
      </c>
      <c r="J278" s="191">
        <v>66614.16</v>
      </c>
    </row>
    <row r="279" spans="1:10" ht="15.75" thickBot="1" x14ac:dyDescent="0.3">
      <c r="A279" s="166" t="s">
        <v>475</v>
      </c>
      <c r="B279" s="174" t="s">
        <v>476</v>
      </c>
      <c r="C279" s="203" t="s">
        <v>409</v>
      </c>
      <c r="D279" s="169">
        <v>2</v>
      </c>
      <c r="E279" s="160">
        <f t="shared" si="68"/>
        <v>50787</v>
      </c>
      <c r="F279" s="112">
        <f t="shared" si="69"/>
        <v>101574</v>
      </c>
      <c r="G279" s="113">
        <f t="shared" si="70"/>
        <v>45708</v>
      </c>
      <c r="H279" s="53">
        <f t="shared" si="71"/>
        <v>55866</v>
      </c>
      <c r="J279" s="191">
        <v>48025.56</v>
      </c>
    </row>
    <row r="280" spans="1:10" ht="15.75" thickBot="1" x14ac:dyDescent="0.3">
      <c r="A280" s="166" t="s">
        <v>477</v>
      </c>
      <c r="B280" s="174" t="s">
        <v>478</v>
      </c>
      <c r="C280" s="204" t="s">
        <v>409</v>
      </c>
      <c r="D280" s="169">
        <v>1</v>
      </c>
      <c r="E280" s="160">
        <f t="shared" si="68"/>
        <v>53208</v>
      </c>
      <c r="F280" s="112">
        <f t="shared" si="69"/>
        <v>53208</v>
      </c>
      <c r="G280" s="113">
        <f t="shared" si="70"/>
        <v>47887</v>
      </c>
      <c r="H280" s="53">
        <f t="shared" si="71"/>
        <v>58529</v>
      </c>
      <c r="J280" s="191">
        <v>50314.559999999998</v>
      </c>
    </row>
    <row r="281" spans="1:10" ht="15.75" thickBot="1" x14ac:dyDescent="0.3">
      <c r="A281" s="166" t="s">
        <v>479</v>
      </c>
      <c r="B281" s="205" t="s">
        <v>480</v>
      </c>
      <c r="C281" s="193" t="s">
        <v>409</v>
      </c>
      <c r="D281" s="193">
        <v>14</v>
      </c>
      <c r="E281" s="160">
        <f t="shared" si="68"/>
        <v>87773</v>
      </c>
      <c r="F281" s="112">
        <f t="shared" si="69"/>
        <v>1228822</v>
      </c>
      <c r="G281" s="113">
        <f t="shared" si="70"/>
        <v>78996</v>
      </c>
      <c r="H281" s="53">
        <f t="shared" si="71"/>
        <v>96550</v>
      </c>
      <c r="J281" s="175">
        <v>83000</v>
      </c>
    </row>
    <row r="282" spans="1:10" ht="15.75" customHeight="1" thickBot="1" x14ac:dyDescent="0.3">
      <c r="A282" s="210"/>
      <c r="B282" s="211"/>
      <c r="C282" s="335" t="s">
        <v>37</v>
      </c>
      <c r="D282" s="336"/>
      <c r="E282" s="337"/>
      <c r="F282" s="27">
        <f>SUM(F276:F281)</f>
        <v>2719662</v>
      </c>
      <c r="G282" s="85"/>
      <c r="H282" s="85"/>
      <c r="J282" s="212"/>
    </row>
    <row r="283" spans="1:10" ht="15.75" thickBot="1" x14ac:dyDescent="0.3"/>
    <row r="284" spans="1:10" ht="27.75" thickBot="1" x14ac:dyDescent="0.3">
      <c r="A284" s="194" t="s">
        <v>481</v>
      </c>
      <c r="B284" s="206" t="s">
        <v>482</v>
      </c>
      <c r="C284" s="134" t="s">
        <v>200</v>
      </c>
      <c r="D284" s="135" t="s">
        <v>15</v>
      </c>
      <c r="E284" s="32" t="s">
        <v>16</v>
      </c>
      <c r="F284" s="73" t="s">
        <v>17</v>
      </c>
      <c r="G284" s="92" t="s">
        <v>18</v>
      </c>
      <c r="H284" s="76" t="s">
        <v>19</v>
      </c>
    </row>
    <row r="285" spans="1:10" ht="22.5" customHeight="1" thickBot="1" x14ac:dyDescent="0.3">
      <c r="A285" s="166" t="s">
        <v>483</v>
      </c>
      <c r="B285" s="167" t="s">
        <v>484</v>
      </c>
      <c r="C285" s="169" t="s">
        <v>485</v>
      </c>
      <c r="D285" s="169">
        <v>18</v>
      </c>
      <c r="E285" s="160">
        <f t="shared" ref="E285:E290" si="72">+ROUND(J285*1.0575,0)</f>
        <v>811763</v>
      </c>
      <c r="F285" s="112">
        <f t="shared" ref="F285:F290" si="73">+ROUND(E285*D285,0)</f>
        <v>14611734</v>
      </c>
      <c r="G285" s="113">
        <f t="shared" ref="G285:G290" si="74">+ROUND(0.9*E285,0)</f>
        <v>730587</v>
      </c>
      <c r="H285" s="53">
        <f t="shared" ref="H285:H290" si="75">+ROUND(1.1*E285,0)</f>
        <v>892939</v>
      </c>
      <c r="J285" s="191">
        <v>767625</v>
      </c>
    </row>
    <row r="286" spans="1:10" ht="18.75" thickBot="1" x14ac:dyDescent="0.3">
      <c r="A286" s="207" t="s">
        <v>486</v>
      </c>
      <c r="B286" s="167" t="s">
        <v>487</v>
      </c>
      <c r="C286" s="169" t="s">
        <v>485</v>
      </c>
      <c r="D286" s="169">
        <f>(3.4*6.1*3)+(1.1*1.1*1.2)</f>
        <v>63.671999999999997</v>
      </c>
      <c r="E286" s="160">
        <f t="shared" si="72"/>
        <v>3913</v>
      </c>
      <c r="F286" s="112">
        <f t="shared" si="73"/>
        <v>249149</v>
      </c>
      <c r="G286" s="113">
        <f t="shared" si="74"/>
        <v>3522</v>
      </c>
      <c r="H286" s="53">
        <f t="shared" si="75"/>
        <v>4304</v>
      </c>
      <c r="J286" s="191">
        <v>3700</v>
      </c>
    </row>
    <row r="287" spans="1:10" ht="18.75" thickBot="1" x14ac:dyDescent="0.3">
      <c r="A287" s="166" t="s">
        <v>488</v>
      </c>
      <c r="B287" s="167" t="s">
        <v>489</v>
      </c>
      <c r="C287" s="169" t="s">
        <v>485</v>
      </c>
      <c r="D287" s="169">
        <f>5.12+(20*0.45*0.45)+(25*0.45*0.45)</f>
        <v>14.2325</v>
      </c>
      <c r="E287" s="160">
        <f t="shared" si="72"/>
        <v>25338</v>
      </c>
      <c r="F287" s="112">
        <f t="shared" si="73"/>
        <v>360623</v>
      </c>
      <c r="G287" s="113">
        <f t="shared" si="74"/>
        <v>22804</v>
      </c>
      <c r="H287" s="53">
        <f t="shared" si="75"/>
        <v>27872</v>
      </c>
      <c r="J287" s="191">
        <v>23960</v>
      </c>
    </row>
    <row r="288" spans="1:10" ht="18.75" thickBot="1" x14ac:dyDescent="0.3">
      <c r="A288" s="166" t="s">
        <v>490</v>
      </c>
      <c r="B288" s="167" t="s">
        <v>491</v>
      </c>
      <c r="C288" s="169" t="s">
        <v>485</v>
      </c>
      <c r="D288" s="169">
        <f>0.6*0.8*D287</f>
        <v>6.8315999999999999</v>
      </c>
      <c r="E288" s="160">
        <f t="shared" si="72"/>
        <v>48656</v>
      </c>
      <c r="F288" s="112">
        <f t="shared" si="73"/>
        <v>332398</v>
      </c>
      <c r="G288" s="113">
        <f t="shared" si="74"/>
        <v>43790</v>
      </c>
      <c r="H288" s="53">
        <f t="shared" si="75"/>
        <v>53522</v>
      </c>
      <c r="J288" s="191">
        <v>46010</v>
      </c>
    </row>
    <row r="289" spans="1:10" ht="15.75" thickBot="1" x14ac:dyDescent="0.3">
      <c r="A289" s="166" t="s">
        <v>492</v>
      </c>
      <c r="B289" s="167" t="s">
        <v>493</v>
      </c>
      <c r="C289" s="169" t="s">
        <v>485</v>
      </c>
      <c r="D289" s="169">
        <f>0.4*0.8*D287</f>
        <v>4.5544000000000011</v>
      </c>
      <c r="E289" s="160">
        <f t="shared" si="72"/>
        <v>57539</v>
      </c>
      <c r="F289" s="112">
        <f t="shared" si="73"/>
        <v>262056</v>
      </c>
      <c r="G289" s="113">
        <f t="shared" si="74"/>
        <v>51785</v>
      </c>
      <c r="H289" s="53">
        <f t="shared" si="75"/>
        <v>63293</v>
      </c>
      <c r="J289" s="191">
        <v>54410</v>
      </c>
    </row>
    <row r="290" spans="1:10" ht="18.75" thickBot="1" x14ac:dyDescent="0.3">
      <c r="A290" s="166" t="s">
        <v>494</v>
      </c>
      <c r="B290" s="167" t="s">
        <v>495</v>
      </c>
      <c r="C290" s="193" t="s">
        <v>409</v>
      </c>
      <c r="D290" s="193">
        <v>2</v>
      </c>
      <c r="E290" s="160">
        <f t="shared" si="72"/>
        <v>605958</v>
      </c>
      <c r="F290" s="112">
        <f t="shared" si="73"/>
        <v>1211916</v>
      </c>
      <c r="G290" s="113">
        <f t="shared" si="74"/>
        <v>545362</v>
      </c>
      <c r="H290" s="53">
        <f t="shared" si="75"/>
        <v>666554</v>
      </c>
      <c r="J290" s="191">
        <v>573010</v>
      </c>
    </row>
    <row r="291" spans="1:10" ht="15.75" thickBot="1" x14ac:dyDescent="0.3">
      <c r="C291" s="335" t="s">
        <v>37</v>
      </c>
      <c r="D291" s="336"/>
      <c r="E291" s="337"/>
      <c r="F291" s="27">
        <f>SUM(F285:F290)</f>
        <v>17027876</v>
      </c>
    </row>
    <row r="292" spans="1:10" ht="15.75" thickBot="1" x14ac:dyDescent="0.3"/>
    <row r="293" spans="1:10" ht="15.75" thickBot="1" x14ac:dyDescent="0.3">
      <c r="A293" s="209" t="s">
        <v>496</v>
      </c>
      <c r="B293" s="272"/>
      <c r="C293" s="273"/>
      <c r="D293" s="274"/>
      <c r="E293" s="273"/>
      <c r="F293" s="271">
        <f>+F291+F282+F273+F264+F256+F244</f>
        <v>70018325</v>
      </c>
      <c r="G293" s="275">
        <f>+ROUND(0.8*F293,0)</f>
        <v>56014660</v>
      </c>
      <c r="H293" s="271">
        <f>+F293</f>
        <v>70018325</v>
      </c>
    </row>
    <row r="295" spans="1:10" ht="15.75" thickBot="1" x14ac:dyDescent="0.3"/>
    <row r="296" spans="1:10" ht="15.75" thickBot="1" x14ac:dyDescent="0.3">
      <c r="A296" s="365" t="s">
        <v>497</v>
      </c>
      <c r="B296" s="366"/>
      <c r="C296" s="366"/>
      <c r="D296" s="366"/>
      <c r="E296" s="366"/>
      <c r="F296" s="366"/>
      <c r="G296" s="366"/>
      <c r="H296" s="367"/>
    </row>
    <row r="297" spans="1:10" ht="15.75" thickBot="1" x14ac:dyDescent="0.3">
      <c r="A297" s="97"/>
      <c r="B297" s="98"/>
      <c r="C297" s="98"/>
      <c r="D297" s="214"/>
      <c r="E297" s="98"/>
      <c r="F297" s="214"/>
      <c r="G297" s="99"/>
      <c r="H297" s="99"/>
    </row>
    <row r="298" spans="1:10" ht="27.75" thickBot="1" x14ac:dyDescent="0.3">
      <c r="A298" s="254" t="s">
        <v>498</v>
      </c>
      <c r="B298" s="255" t="s">
        <v>499</v>
      </c>
      <c r="C298" s="256" t="s">
        <v>14</v>
      </c>
      <c r="D298" s="257" t="s">
        <v>500</v>
      </c>
      <c r="E298" s="258" t="s">
        <v>16</v>
      </c>
      <c r="F298" s="73" t="s">
        <v>17</v>
      </c>
      <c r="G298" s="250" t="s">
        <v>18</v>
      </c>
      <c r="H298" s="76" t="s">
        <v>19</v>
      </c>
    </row>
    <row r="299" spans="1:10" ht="22.5" customHeight="1" thickBot="1" x14ac:dyDescent="0.3">
      <c r="A299" s="259" t="s">
        <v>501</v>
      </c>
      <c r="B299" s="14" t="s">
        <v>502</v>
      </c>
      <c r="C299" s="58" t="s">
        <v>46</v>
      </c>
      <c r="D299" s="215">
        <v>268</v>
      </c>
      <c r="E299" s="160">
        <f t="shared" ref="E299:E301" si="76">+ROUND(J299*1.0575,0)</f>
        <v>55402</v>
      </c>
      <c r="F299" s="112">
        <f t="shared" ref="F299:F301" si="77">+ROUND(E299*D299,0)</f>
        <v>14847736</v>
      </c>
      <c r="G299" s="243">
        <f t="shared" ref="G299:G301" si="78">+ROUND(0.9*E299,0)</f>
        <v>49862</v>
      </c>
      <c r="H299" s="251">
        <f t="shared" ref="H299:H301" si="79">+ROUND(1.1*E299,0)</f>
        <v>60942</v>
      </c>
      <c r="J299" s="240">
        <v>52390</v>
      </c>
    </row>
    <row r="300" spans="1:10" ht="29.25" customHeight="1" thickBot="1" x14ac:dyDescent="0.3">
      <c r="A300" s="259" t="s">
        <v>503</v>
      </c>
      <c r="B300" s="137" t="s">
        <v>504</v>
      </c>
      <c r="C300" s="216" t="s">
        <v>25</v>
      </c>
      <c r="D300" s="57">
        <v>1</v>
      </c>
      <c r="E300" s="160">
        <f t="shared" si="76"/>
        <v>1720123</v>
      </c>
      <c r="F300" s="112">
        <f t="shared" si="77"/>
        <v>1720123</v>
      </c>
      <c r="G300" s="243">
        <f t="shared" si="78"/>
        <v>1548111</v>
      </c>
      <c r="H300" s="251">
        <f t="shared" si="79"/>
        <v>1892135</v>
      </c>
      <c r="J300" s="241">
        <v>1626594</v>
      </c>
    </row>
    <row r="301" spans="1:10" ht="27.75" thickBot="1" x14ac:dyDescent="0.3">
      <c r="A301" s="260" t="s">
        <v>505</v>
      </c>
      <c r="B301" s="151" t="s">
        <v>506</v>
      </c>
      <c r="C301" s="261" t="s">
        <v>25</v>
      </c>
      <c r="D301" s="80">
        <v>1</v>
      </c>
      <c r="E301" s="161">
        <f t="shared" si="76"/>
        <v>1718348</v>
      </c>
      <c r="F301" s="112">
        <f t="shared" si="77"/>
        <v>1718348</v>
      </c>
      <c r="G301" s="243">
        <f t="shared" si="78"/>
        <v>1546513</v>
      </c>
      <c r="H301" s="251">
        <f t="shared" si="79"/>
        <v>1890183</v>
      </c>
      <c r="J301" s="242">
        <v>1624915</v>
      </c>
    </row>
    <row r="302" spans="1:10" ht="15.75" customHeight="1" thickBot="1" x14ac:dyDescent="0.3">
      <c r="C302" s="342" t="s">
        <v>37</v>
      </c>
      <c r="D302" s="343"/>
      <c r="E302" s="344"/>
      <c r="F302" s="29">
        <f>SUM(F299:F301)</f>
        <v>18286207</v>
      </c>
    </row>
    <row r="303" spans="1:10" ht="15.75" thickBot="1" x14ac:dyDescent="0.3"/>
    <row r="304" spans="1:10" ht="27.75" thickBot="1" x14ac:dyDescent="0.3">
      <c r="A304" s="177" t="s">
        <v>507</v>
      </c>
      <c r="B304" s="247" t="s">
        <v>508</v>
      </c>
      <c r="C304" s="248" t="s">
        <v>14</v>
      </c>
      <c r="D304" s="249" t="s">
        <v>500</v>
      </c>
      <c r="E304" s="32" t="s">
        <v>16</v>
      </c>
      <c r="F304" s="73" t="s">
        <v>17</v>
      </c>
      <c r="G304" s="124" t="s">
        <v>18</v>
      </c>
      <c r="H304" s="76" t="s">
        <v>19</v>
      </c>
    </row>
    <row r="305" spans="1:10" ht="48.75" customHeight="1" thickBot="1" x14ac:dyDescent="0.3">
      <c r="A305" s="180" t="s">
        <v>509</v>
      </c>
      <c r="B305" s="137" t="s">
        <v>510</v>
      </c>
      <c r="C305" s="219" t="s">
        <v>46</v>
      </c>
      <c r="D305" s="57">
        <v>5</v>
      </c>
      <c r="E305" s="160">
        <f t="shared" ref="E305:E308" si="80">+ROUND(J305*1.0575,0)</f>
        <v>27836</v>
      </c>
      <c r="F305" s="112">
        <f t="shared" ref="F305:F308" si="81">+ROUND(E305*D305,0)</f>
        <v>139180</v>
      </c>
      <c r="G305" s="243">
        <f t="shared" ref="G305:G308" si="82">+ROUND(0.9*E305,0)</f>
        <v>25052</v>
      </c>
      <c r="H305" s="251">
        <f t="shared" ref="H305:H308" si="83">+ROUND(1.1*E305,0)</f>
        <v>30620</v>
      </c>
      <c r="J305" s="241">
        <v>26322</v>
      </c>
    </row>
    <row r="306" spans="1:10" ht="51.75" customHeight="1" thickBot="1" x14ac:dyDescent="0.3">
      <c r="A306" s="180" t="s">
        <v>511</v>
      </c>
      <c r="B306" s="137" t="s">
        <v>512</v>
      </c>
      <c r="C306" s="219" t="s">
        <v>46</v>
      </c>
      <c r="D306" s="57">
        <v>46</v>
      </c>
      <c r="E306" s="160">
        <f t="shared" si="80"/>
        <v>20108</v>
      </c>
      <c r="F306" s="112">
        <f t="shared" si="81"/>
        <v>924968</v>
      </c>
      <c r="G306" s="243">
        <f t="shared" si="82"/>
        <v>18097</v>
      </c>
      <c r="H306" s="251">
        <f t="shared" si="83"/>
        <v>22119</v>
      </c>
      <c r="J306" s="241">
        <v>19015</v>
      </c>
    </row>
    <row r="307" spans="1:10" ht="39.75" customHeight="1" thickBot="1" x14ac:dyDescent="0.3">
      <c r="A307" s="180" t="s">
        <v>513</v>
      </c>
      <c r="B307" s="137" t="s">
        <v>514</v>
      </c>
      <c r="C307" s="219" t="s">
        <v>46</v>
      </c>
      <c r="D307" s="57">
        <v>44</v>
      </c>
      <c r="E307" s="160">
        <f t="shared" si="80"/>
        <v>20108</v>
      </c>
      <c r="F307" s="112">
        <f t="shared" si="81"/>
        <v>884752</v>
      </c>
      <c r="G307" s="243">
        <f t="shared" si="82"/>
        <v>18097</v>
      </c>
      <c r="H307" s="251">
        <f t="shared" si="83"/>
        <v>22119</v>
      </c>
      <c r="J307" s="241">
        <v>19015</v>
      </c>
    </row>
    <row r="308" spans="1:10" ht="45" customHeight="1" thickBot="1" x14ac:dyDescent="0.3">
      <c r="A308" s="181" t="s">
        <v>515</v>
      </c>
      <c r="B308" s="151" t="s">
        <v>516</v>
      </c>
      <c r="C308" s="252" t="s">
        <v>46</v>
      </c>
      <c r="D308" s="253">
        <v>120</v>
      </c>
      <c r="E308" s="161">
        <f t="shared" si="80"/>
        <v>105839</v>
      </c>
      <c r="F308" s="112">
        <f t="shared" si="81"/>
        <v>12700680</v>
      </c>
      <c r="G308" s="243">
        <f t="shared" si="82"/>
        <v>95255</v>
      </c>
      <c r="H308" s="251">
        <f t="shared" si="83"/>
        <v>116423</v>
      </c>
      <c r="J308" s="242">
        <v>100084</v>
      </c>
    </row>
    <row r="309" spans="1:10" ht="15.75" thickBot="1" x14ac:dyDescent="0.3">
      <c r="C309" s="342" t="s">
        <v>37</v>
      </c>
      <c r="D309" s="343"/>
      <c r="E309" s="344"/>
      <c r="F309" s="29">
        <f>SUM(F305:F308)</f>
        <v>14649580</v>
      </c>
    </row>
    <row r="310" spans="1:10" ht="15.75" thickBot="1" x14ac:dyDescent="0.3"/>
    <row r="311" spans="1:10" ht="27.75" thickBot="1" x14ac:dyDescent="0.3">
      <c r="A311" s="164" t="s">
        <v>517</v>
      </c>
      <c r="B311" s="220" t="s">
        <v>518</v>
      </c>
      <c r="C311" s="221" t="s">
        <v>14</v>
      </c>
      <c r="D311" s="218" t="s">
        <v>500</v>
      </c>
      <c r="E311" s="32" t="s">
        <v>16</v>
      </c>
      <c r="F311" s="73" t="s">
        <v>17</v>
      </c>
      <c r="G311" s="124" t="s">
        <v>18</v>
      </c>
      <c r="H311" s="76" t="s">
        <v>19</v>
      </c>
    </row>
    <row r="312" spans="1:10" ht="63" customHeight="1" thickBot="1" x14ac:dyDescent="0.3">
      <c r="A312" s="166" t="s">
        <v>519</v>
      </c>
      <c r="B312" s="222" t="s">
        <v>520</v>
      </c>
      <c r="C312" s="223" t="s">
        <v>25</v>
      </c>
      <c r="D312" s="120">
        <v>1</v>
      </c>
      <c r="E312" s="161">
        <f t="shared" ref="E312:E316" si="84">+ROUND(J312*1.0575,0)</f>
        <v>1268772</v>
      </c>
      <c r="F312" s="112">
        <f t="shared" ref="F312:F316" si="85">+ROUND(E312*D312,0)</f>
        <v>1268772</v>
      </c>
      <c r="G312" s="243">
        <f t="shared" ref="G312:G316" si="86">+ROUND(0.9*E312,0)</f>
        <v>1141895</v>
      </c>
      <c r="H312" s="251">
        <f t="shared" ref="H312:H316" si="87">+ROUND(1.1*E312,0)</f>
        <v>1395649</v>
      </c>
      <c r="J312" s="123">
        <v>1199784</v>
      </c>
    </row>
    <row r="313" spans="1:10" ht="60.75" customHeight="1" thickBot="1" x14ac:dyDescent="0.3">
      <c r="A313" s="166" t="s">
        <v>521</v>
      </c>
      <c r="B313" s="224" t="s">
        <v>522</v>
      </c>
      <c r="C313" s="216" t="s">
        <v>25</v>
      </c>
      <c r="D313" s="89">
        <v>1</v>
      </c>
      <c r="E313" s="161">
        <f t="shared" si="84"/>
        <v>1981067</v>
      </c>
      <c r="F313" s="112">
        <f t="shared" si="85"/>
        <v>1981067</v>
      </c>
      <c r="G313" s="243">
        <f t="shared" si="86"/>
        <v>1782960</v>
      </c>
      <c r="H313" s="251">
        <f t="shared" si="87"/>
        <v>2179174</v>
      </c>
      <c r="J313" s="262">
        <v>1873349</v>
      </c>
    </row>
    <row r="314" spans="1:10" ht="75" customHeight="1" thickBot="1" x14ac:dyDescent="0.3">
      <c r="A314" s="166" t="s">
        <v>523</v>
      </c>
      <c r="B314" s="224" t="s">
        <v>524</v>
      </c>
      <c r="C314" s="216" t="s">
        <v>25</v>
      </c>
      <c r="D314" s="89">
        <v>1</v>
      </c>
      <c r="E314" s="161">
        <f t="shared" si="84"/>
        <v>3041580</v>
      </c>
      <c r="F314" s="112">
        <f t="shared" si="85"/>
        <v>3041580</v>
      </c>
      <c r="G314" s="243">
        <f t="shared" si="86"/>
        <v>2737422</v>
      </c>
      <c r="H314" s="251">
        <f t="shared" si="87"/>
        <v>3345738</v>
      </c>
      <c r="J314" s="262">
        <v>2876199</v>
      </c>
    </row>
    <row r="315" spans="1:10" ht="27.75" thickBot="1" x14ac:dyDescent="0.3">
      <c r="A315" s="166" t="s">
        <v>525</v>
      </c>
      <c r="B315" s="224" t="s">
        <v>526</v>
      </c>
      <c r="C315" s="216" t="s">
        <v>25</v>
      </c>
      <c r="D315" s="89">
        <v>1</v>
      </c>
      <c r="E315" s="161">
        <f t="shared" si="84"/>
        <v>581812</v>
      </c>
      <c r="F315" s="112">
        <f t="shared" si="85"/>
        <v>581812</v>
      </c>
      <c r="G315" s="243">
        <f t="shared" si="86"/>
        <v>523631</v>
      </c>
      <c r="H315" s="251">
        <f t="shared" si="87"/>
        <v>639993</v>
      </c>
      <c r="J315" s="262">
        <v>550177</v>
      </c>
    </row>
    <row r="316" spans="1:10" ht="42" customHeight="1" thickBot="1" x14ac:dyDescent="0.3">
      <c r="A316" s="166" t="s">
        <v>527</v>
      </c>
      <c r="B316" s="224" t="s">
        <v>528</v>
      </c>
      <c r="C316" s="244" t="s">
        <v>25</v>
      </c>
      <c r="D316" s="245">
        <v>2</v>
      </c>
      <c r="E316" s="160">
        <f t="shared" si="84"/>
        <v>617042</v>
      </c>
      <c r="F316" s="145">
        <f t="shared" si="85"/>
        <v>1234084</v>
      </c>
      <c r="G316" s="243">
        <f t="shared" si="86"/>
        <v>555338</v>
      </c>
      <c r="H316" s="251">
        <f t="shared" si="87"/>
        <v>678746</v>
      </c>
      <c r="J316" s="262">
        <v>583491</v>
      </c>
    </row>
    <row r="317" spans="1:10" ht="15.75" thickBot="1" x14ac:dyDescent="0.3">
      <c r="C317" s="335" t="s">
        <v>37</v>
      </c>
      <c r="D317" s="336"/>
      <c r="E317" s="337"/>
      <c r="F317" s="27">
        <f>SUM(F312:F316)</f>
        <v>8107315</v>
      </c>
    </row>
    <row r="318" spans="1:10" ht="15.75" thickBot="1" x14ac:dyDescent="0.3"/>
    <row r="319" spans="1:10" ht="27.75" thickBot="1" x14ac:dyDescent="0.3">
      <c r="A319" s="225" t="s">
        <v>529</v>
      </c>
      <c r="B319" s="226" t="s">
        <v>530</v>
      </c>
      <c r="C319" s="227" t="s">
        <v>14</v>
      </c>
      <c r="D319" s="228" t="s">
        <v>500</v>
      </c>
      <c r="E319" s="32" t="s">
        <v>16</v>
      </c>
      <c r="F319" s="73" t="s">
        <v>17</v>
      </c>
      <c r="G319" s="124" t="s">
        <v>18</v>
      </c>
      <c r="H319" s="76" t="s">
        <v>19</v>
      </c>
    </row>
    <row r="320" spans="1:10" ht="18.75" thickBot="1" x14ac:dyDescent="0.3">
      <c r="A320" s="166" t="s">
        <v>531</v>
      </c>
      <c r="B320" s="229" t="s">
        <v>532</v>
      </c>
      <c r="C320" s="216" t="s">
        <v>25</v>
      </c>
      <c r="D320" s="217">
        <v>278</v>
      </c>
      <c r="E320" s="160">
        <f t="shared" ref="E320:E326" si="88">+ROUND(J320*1.0575,0)</f>
        <v>114432</v>
      </c>
      <c r="F320" s="145">
        <f t="shared" ref="F320:F326" si="89">+ROUND(E320*D320,0)</f>
        <v>31812096</v>
      </c>
      <c r="G320" s="243">
        <f t="shared" ref="G320:G326" si="90">+ROUND(0.9*E320,0)</f>
        <v>102989</v>
      </c>
      <c r="H320" s="251">
        <f t="shared" ref="H320:H326" si="91">+ROUND(1.1*E320,0)</f>
        <v>125875</v>
      </c>
      <c r="J320" s="96">
        <v>108209.9</v>
      </c>
    </row>
    <row r="321" spans="1:10" ht="18.75" thickBot="1" x14ac:dyDescent="0.3">
      <c r="A321" s="166" t="s">
        <v>533</v>
      </c>
      <c r="B321" s="229" t="s">
        <v>534</v>
      </c>
      <c r="C321" s="216" t="s">
        <v>25</v>
      </c>
      <c r="D321" s="217">
        <v>2</v>
      </c>
      <c r="E321" s="160">
        <f t="shared" si="88"/>
        <v>106745</v>
      </c>
      <c r="F321" s="145">
        <f t="shared" si="89"/>
        <v>213490</v>
      </c>
      <c r="G321" s="243">
        <f t="shared" si="90"/>
        <v>96071</v>
      </c>
      <c r="H321" s="251">
        <f t="shared" si="91"/>
        <v>117420</v>
      </c>
      <c r="J321" s="96">
        <v>100940.9</v>
      </c>
    </row>
    <row r="322" spans="1:10" ht="18.75" thickBot="1" x14ac:dyDescent="0.3">
      <c r="A322" s="166" t="s">
        <v>535</v>
      </c>
      <c r="B322" s="229" t="s">
        <v>536</v>
      </c>
      <c r="C322" s="216" t="s">
        <v>25</v>
      </c>
      <c r="D322" s="217">
        <v>1</v>
      </c>
      <c r="E322" s="160">
        <f t="shared" si="88"/>
        <v>108953</v>
      </c>
      <c r="F322" s="145">
        <f t="shared" si="89"/>
        <v>108953</v>
      </c>
      <c r="G322" s="243">
        <f t="shared" si="90"/>
        <v>98058</v>
      </c>
      <c r="H322" s="251">
        <f t="shared" si="91"/>
        <v>119848</v>
      </c>
      <c r="J322" s="96">
        <v>103028.9</v>
      </c>
    </row>
    <row r="323" spans="1:10" ht="18.75" thickBot="1" x14ac:dyDescent="0.3">
      <c r="A323" s="166" t="s">
        <v>537</v>
      </c>
      <c r="B323" s="229" t="s">
        <v>538</v>
      </c>
      <c r="C323" s="216" t="s">
        <v>25</v>
      </c>
      <c r="D323" s="217">
        <v>25</v>
      </c>
      <c r="E323" s="160">
        <f t="shared" si="88"/>
        <v>124828</v>
      </c>
      <c r="F323" s="145">
        <f t="shared" si="89"/>
        <v>3120700</v>
      </c>
      <c r="G323" s="243">
        <f t="shared" si="90"/>
        <v>112345</v>
      </c>
      <c r="H323" s="251">
        <f t="shared" si="91"/>
        <v>137311</v>
      </c>
      <c r="J323" s="96">
        <v>118040.9</v>
      </c>
    </row>
    <row r="324" spans="1:10" ht="27.75" customHeight="1" thickBot="1" x14ac:dyDescent="0.3">
      <c r="A324" s="166" t="s">
        <v>539</v>
      </c>
      <c r="B324" s="137" t="s">
        <v>540</v>
      </c>
      <c r="C324" s="230" t="s">
        <v>25</v>
      </c>
      <c r="D324" s="57">
        <v>39</v>
      </c>
      <c r="E324" s="160">
        <f t="shared" si="88"/>
        <v>116679</v>
      </c>
      <c r="F324" s="145">
        <f t="shared" si="89"/>
        <v>4550481</v>
      </c>
      <c r="G324" s="243">
        <f t="shared" si="90"/>
        <v>105011</v>
      </c>
      <c r="H324" s="251">
        <f t="shared" si="91"/>
        <v>128347</v>
      </c>
      <c r="J324" s="96">
        <v>110335</v>
      </c>
    </row>
    <row r="325" spans="1:10" ht="27.75" thickBot="1" x14ac:dyDescent="0.3">
      <c r="A325" s="166" t="s">
        <v>541</v>
      </c>
      <c r="B325" s="137" t="s">
        <v>542</v>
      </c>
      <c r="C325" s="230" t="s">
        <v>25</v>
      </c>
      <c r="D325" s="57">
        <v>1</v>
      </c>
      <c r="E325" s="160">
        <f t="shared" si="88"/>
        <v>160493</v>
      </c>
      <c r="F325" s="145">
        <f t="shared" si="89"/>
        <v>160493</v>
      </c>
      <c r="G325" s="243">
        <f t="shared" si="90"/>
        <v>144444</v>
      </c>
      <c r="H325" s="251">
        <f t="shared" si="91"/>
        <v>176542</v>
      </c>
      <c r="J325" s="96">
        <v>151766</v>
      </c>
    </row>
    <row r="326" spans="1:10" ht="18.75" thickBot="1" x14ac:dyDescent="0.3">
      <c r="A326" s="166" t="s">
        <v>543</v>
      </c>
      <c r="B326" s="231" t="s">
        <v>544</v>
      </c>
      <c r="C326" s="263" t="s">
        <v>25</v>
      </c>
      <c r="D326" s="245">
        <v>1</v>
      </c>
      <c r="E326" s="160">
        <f t="shared" si="88"/>
        <v>198206</v>
      </c>
      <c r="F326" s="145">
        <f t="shared" si="89"/>
        <v>198206</v>
      </c>
      <c r="G326" s="243">
        <f t="shared" si="90"/>
        <v>178385</v>
      </c>
      <c r="H326" s="251">
        <f t="shared" si="91"/>
        <v>218027</v>
      </c>
      <c r="J326" s="96">
        <v>187429</v>
      </c>
    </row>
    <row r="327" spans="1:10" ht="15.75" thickBot="1" x14ac:dyDescent="0.3">
      <c r="C327" s="335" t="s">
        <v>37</v>
      </c>
      <c r="D327" s="336"/>
      <c r="E327" s="337"/>
      <c r="F327" s="27">
        <f>SUM(F320:F326)</f>
        <v>40164419</v>
      </c>
    </row>
    <row r="328" spans="1:10" ht="15.75" thickBot="1" x14ac:dyDescent="0.3"/>
    <row r="329" spans="1:10" ht="27.75" thickBot="1" x14ac:dyDescent="0.3">
      <c r="A329" s="232" t="s">
        <v>545</v>
      </c>
      <c r="B329" s="233" t="s">
        <v>546</v>
      </c>
      <c r="C329" s="234" t="s">
        <v>14</v>
      </c>
      <c r="D329" s="235" t="s">
        <v>500</v>
      </c>
      <c r="E329" s="32" t="s">
        <v>16</v>
      </c>
      <c r="F329" s="73" t="s">
        <v>17</v>
      </c>
      <c r="G329" s="124" t="s">
        <v>18</v>
      </c>
      <c r="H329" s="76" t="s">
        <v>19</v>
      </c>
    </row>
    <row r="330" spans="1:10" ht="91.5" customHeight="1" thickBot="1" x14ac:dyDescent="0.3">
      <c r="A330" s="166" t="s">
        <v>547</v>
      </c>
      <c r="B330" s="137" t="s">
        <v>548</v>
      </c>
      <c r="C330" s="219" t="s">
        <v>25</v>
      </c>
      <c r="D330" s="57">
        <v>1</v>
      </c>
      <c r="E330" s="160">
        <f t="shared" ref="E330:E333" si="92">+ROUND(J330*1.0575,0)</f>
        <v>23230218</v>
      </c>
      <c r="F330" s="145">
        <f t="shared" ref="F330:F333" si="93">+ROUND(E330*D330,0)</f>
        <v>23230218</v>
      </c>
      <c r="G330" s="243">
        <f t="shared" ref="G330:G333" si="94">+ROUND(0.9*E330,0)</f>
        <v>20907196</v>
      </c>
      <c r="H330" s="251">
        <f t="shared" ref="H330:H333" si="95">+ROUND(1.1*E330,0)</f>
        <v>25553240</v>
      </c>
      <c r="J330" s="96">
        <v>21967109</v>
      </c>
    </row>
    <row r="331" spans="1:10" ht="84.75" customHeight="1" thickBot="1" x14ac:dyDescent="0.3">
      <c r="A331" s="166" t="s">
        <v>549</v>
      </c>
      <c r="B331" s="236" t="s">
        <v>550</v>
      </c>
      <c r="C331" s="230" t="s">
        <v>25</v>
      </c>
      <c r="D331" s="89">
        <v>1</v>
      </c>
      <c r="E331" s="160">
        <f t="shared" si="92"/>
        <v>60776015</v>
      </c>
      <c r="F331" s="145">
        <f t="shared" si="93"/>
        <v>60776015</v>
      </c>
      <c r="G331" s="243">
        <f t="shared" si="94"/>
        <v>54698414</v>
      </c>
      <c r="H331" s="251">
        <f t="shared" si="95"/>
        <v>66853617</v>
      </c>
      <c r="J331" s="100">
        <v>57471409</v>
      </c>
    </row>
    <row r="332" spans="1:10" ht="28.5" customHeight="1" thickBot="1" x14ac:dyDescent="0.3">
      <c r="A332" s="166" t="s">
        <v>551</v>
      </c>
      <c r="B332" s="137" t="s">
        <v>552</v>
      </c>
      <c r="C332" s="219" t="s">
        <v>46</v>
      </c>
      <c r="D332" s="57">
        <v>8</v>
      </c>
      <c r="E332" s="160">
        <f t="shared" si="92"/>
        <v>263643</v>
      </c>
      <c r="F332" s="145">
        <f t="shared" si="93"/>
        <v>2109144</v>
      </c>
      <c r="G332" s="243">
        <f t="shared" si="94"/>
        <v>237279</v>
      </c>
      <c r="H332" s="251">
        <f t="shared" si="95"/>
        <v>290007</v>
      </c>
      <c r="J332" s="96">
        <v>249308</v>
      </c>
    </row>
    <row r="333" spans="1:10" ht="18.75" thickBot="1" x14ac:dyDescent="0.3">
      <c r="A333" s="166" t="s">
        <v>553</v>
      </c>
      <c r="B333" s="137" t="s">
        <v>554</v>
      </c>
      <c r="C333" s="246" t="s">
        <v>46</v>
      </c>
      <c r="D333" s="245">
        <v>8</v>
      </c>
      <c r="E333" s="160">
        <f t="shared" si="92"/>
        <v>263643</v>
      </c>
      <c r="F333" s="145">
        <f t="shared" si="93"/>
        <v>2109144</v>
      </c>
      <c r="G333" s="243">
        <f t="shared" si="94"/>
        <v>237279</v>
      </c>
      <c r="H333" s="251">
        <f t="shared" si="95"/>
        <v>290007</v>
      </c>
      <c r="J333" s="96">
        <v>249308</v>
      </c>
    </row>
    <row r="334" spans="1:10" ht="15.75" thickBot="1" x14ac:dyDescent="0.3">
      <c r="C334" s="335" t="s">
        <v>37</v>
      </c>
      <c r="D334" s="336"/>
      <c r="E334" s="337"/>
      <c r="F334" s="27">
        <f>SUM(F330:F333)</f>
        <v>88224521</v>
      </c>
    </row>
    <row r="335" spans="1:10" ht="15.75" thickBot="1" x14ac:dyDescent="0.3"/>
    <row r="336" spans="1:10" ht="27.75" thickBot="1" x14ac:dyDescent="0.3">
      <c r="A336" s="164" t="s">
        <v>555</v>
      </c>
      <c r="B336" s="238" t="s">
        <v>556</v>
      </c>
      <c r="C336" s="234" t="s">
        <v>14</v>
      </c>
      <c r="D336" s="235" t="s">
        <v>500</v>
      </c>
      <c r="E336" s="32" t="s">
        <v>16</v>
      </c>
      <c r="F336" s="73" t="s">
        <v>17</v>
      </c>
      <c r="G336" s="124" t="s">
        <v>18</v>
      </c>
      <c r="H336" s="76" t="s">
        <v>19</v>
      </c>
    </row>
    <row r="337" spans="1:10" ht="63" customHeight="1" thickBot="1" x14ac:dyDescent="0.3">
      <c r="A337" s="166" t="s">
        <v>557</v>
      </c>
      <c r="B337" s="137" t="s">
        <v>558</v>
      </c>
      <c r="C337" s="219" t="s">
        <v>25</v>
      </c>
      <c r="D337" s="57">
        <v>1</v>
      </c>
      <c r="E337" s="160">
        <f t="shared" ref="E337:E338" si="96">+ROUND(J337*1.0575,0)</f>
        <v>6889111</v>
      </c>
      <c r="F337" s="145">
        <f t="shared" ref="F337:F338" si="97">+ROUND(E337*D337,0)</f>
        <v>6889111</v>
      </c>
      <c r="G337" s="243">
        <f t="shared" ref="G337:G338" si="98">+ROUND(0.9*E337,0)</f>
        <v>6200200</v>
      </c>
      <c r="H337" s="251">
        <f t="shared" ref="H337:H338" si="99">+ROUND(1.1*E337,0)</f>
        <v>7578022</v>
      </c>
      <c r="J337" s="96">
        <v>6514526</v>
      </c>
    </row>
    <row r="338" spans="1:10" ht="26.25" customHeight="1" thickBot="1" x14ac:dyDescent="0.3">
      <c r="A338" s="166" t="s">
        <v>559</v>
      </c>
      <c r="B338" s="229" t="s">
        <v>560</v>
      </c>
      <c r="C338" s="246" t="s">
        <v>25</v>
      </c>
      <c r="D338" s="264">
        <v>1</v>
      </c>
      <c r="E338" s="160">
        <f t="shared" si="96"/>
        <v>6808052</v>
      </c>
      <c r="F338" s="145">
        <f t="shared" si="97"/>
        <v>6808052</v>
      </c>
      <c r="G338" s="243">
        <f t="shared" si="98"/>
        <v>6127247</v>
      </c>
      <c r="H338" s="251">
        <f t="shared" si="99"/>
        <v>7488857</v>
      </c>
      <c r="J338" s="96">
        <v>6437874</v>
      </c>
    </row>
    <row r="339" spans="1:10" ht="15.75" thickBot="1" x14ac:dyDescent="0.3">
      <c r="C339" s="335" t="s">
        <v>37</v>
      </c>
      <c r="D339" s="336"/>
      <c r="E339" s="337"/>
      <c r="F339" s="27">
        <f>SUM(F337:F338)</f>
        <v>13697163</v>
      </c>
    </row>
    <row r="340" spans="1:10" ht="15.75" thickBot="1" x14ac:dyDescent="0.3">
      <c r="F340" s="18"/>
    </row>
    <row r="341" spans="1:10" ht="27.75" thickBot="1" x14ac:dyDescent="0.3">
      <c r="A341" s="164" t="s">
        <v>561</v>
      </c>
      <c r="B341" s="238" t="s">
        <v>562</v>
      </c>
      <c r="C341" s="234" t="s">
        <v>14</v>
      </c>
      <c r="D341" s="235" t="s">
        <v>500</v>
      </c>
      <c r="E341" s="32" t="s">
        <v>16</v>
      </c>
      <c r="F341" s="73" t="s">
        <v>17</v>
      </c>
      <c r="G341" s="124" t="s">
        <v>18</v>
      </c>
      <c r="H341" s="76" t="s">
        <v>19</v>
      </c>
    </row>
    <row r="342" spans="1:10" ht="18.75" thickBot="1" x14ac:dyDescent="0.3">
      <c r="A342" s="166" t="s">
        <v>563</v>
      </c>
      <c r="B342" s="137" t="s">
        <v>564</v>
      </c>
      <c r="C342" s="219" t="s">
        <v>25</v>
      </c>
      <c r="D342" s="57">
        <v>1</v>
      </c>
      <c r="E342" s="160">
        <f t="shared" ref="E342:E346" si="100">+ROUND(J342*1.0575,0)</f>
        <v>2421153</v>
      </c>
      <c r="F342" s="145">
        <f t="shared" ref="F342:F346" si="101">+ROUND(E342*D342,0)</f>
        <v>2421153</v>
      </c>
      <c r="G342" s="243">
        <f t="shared" ref="G342:G346" si="102">+ROUND(0.9*E342,0)</f>
        <v>2179038</v>
      </c>
      <c r="H342" s="251">
        <f t="shared" ref="H342:H346" si="103">+ROUND(1.1*E342,0)</f>
        <v>2663268</v>
      </c>
      <c r="J342" s="96">
        <v>2289506</v>
      </c>
    </row>
    <row r="343" spans="1:10" ht="27.75" thickBot="1" x14ac:dyDescent="0.3">
      <c r="A343" s="166" t="s">
        <v>565</v>
      </c>
      <c r="B343" s="137" t="s">
        <v>566</v>
      </c>
      <c r="C343" s="219" t="s">
        <v>25</v>
      </c>
      <c r="D343" s="57">
        <v>7</v>
      </c>
      <c r="E343" s="160">
        <f t="shared" si="100"/>
        <v>1470095</v>
      </c>
      <c r="F343" s="145">
        <f t="shared" si="101"/>
        <v>10290665</v>
      </c>
      <c r="G343" s="243">
        <f t="shared" si="102"/>
        <v>1323086</v>
      </c>
      <c r="H343" s="251">
        <f t="shared" si="103"/>
        <v>1617105</v>
      </c>
      <c r="J343" s="96">
        <v>1390161</v>
      </c>
    </row>
    <row r="344" spans="1:10" ht="18.75" thickBot="1" x14ac:dyDescent="0.3">
      <c r="A344" s="166" t="s">
        <v>567</v>
      </c>
      <c r="B344" s="137" t="s">
        <v>568</v>
      </c>
      <c r="C344" s="219" t="s">
        <v>25</v>
      </c>
      <c r="D344" s="57">
        <v>8</v>
      </c>
      <c r="E344" s="160">
        <f t="shared" si="100"/>
        <v>429209</v>
      </c>
      <c r="F344" s="145">
        <f t="shared" si="101"/>
        <v>3433672</v>
      </c>
      <c r="G344" s="243">
        <f t="shared" si="102"/>
        <v>386288</v>
      </c>
      <c r="H344" s="251">
        <f t="shared" si="103"/>
        <v>472130</v>
      </c>
      <c r="J344" s="96">
        <v>405871</v>
      </c>
    </row>
    <row r="345" spans="1:10" ht="27.75" thickBot="1" x14ac:dyDescent="0.3">
      <c r="A345" s="166" t="s">
        <v>569</v>
      </c>
      <c r="B345" s="137" t="s">
        <v>570</v>
      </c>
      <c r="C345" s="219" t="s">
        <v>25</v>
      </c>
      <c r="D345" s="57">
        <v>2</v>
      </c>
      <c r="E345" s="160">
        <f t="shared" si="100"/>
        <v>340517</v>
      </c>
      <c r="F345" s="145">
        <f t="shared" si="101"/>
        <v>681034</v>
      </c>
      <c r="G345" s="243">
        <f t="shared" si="102"/>
        <v>306465</v>
      </c>
      <c r="H345" s="251">
        <f t="shared" si="103"/>
        <v>374569</v>
      </c>
      <c r="J345" s="96">
        <v>322002</v>
      </c>
    </row>
    <row r="346" spans="1:10" ht="18.75" thickBot="1" x14ac:dyDescent="0.3">
      <c r="A346" s="166" t="s">
        <v>571</v>
      </c>
      <c r="B346" s="137" t="s">
        <v>572</v>
      </c>
      <c r="C346" s="246" t="s">
        <v>46</v>
      </c>
      <c r="D346" s="245">
        <v>120</v>
      </c>
      <c r="E346" s="160">
        <f t="shared" si="100"/>
        <v>3046</v>
      </c>
      <c r="F346" s="145">
        <f t="shared" si="101"/>
        <v>365520</v>
      </c>
      <c r="G346" s="243">
        <f t="shared" si="102"/>
        <v>2741</v>
      </c>
      <c r="H346" s="251">
        <f t="shared" si="103"/>
        <v>3351</v>
      </c>
      <c r="J346" s="96">
        <v>2880</v>
      </c>
    </row>
    <row r="347" spans="1:10" ht="15.75" customHeight="1" thickBot="1" x14ac:dyDescent="0.3">
      <c r="C347" s="335" t="s">
        <v>37</v>
      </c>
      <c r="D347" s="336"/>
      <c r="E347" s="337"/>
      <c r="F347" s="27">
        <f>SUM(F342:F346)</f>
        <v>17192044</v>
      </c>
    </row>
    <row r="348" spans="1:10" ht="15.75" thickBot="1" x14ac:dyDescent="0.3">
      <c r="F348" s="18"/>
    </row>
    <row r="349" spans="1:10" ht="27.75" thickBot="1" x14ac:dyDescent="0.3">
      <c r="A349" s="164" t="s">
        <v>573</v>
      </c>
      <c r="B349" s="238" t="s">
        <v>574</v>
      </c>
      <c r="C349" s="234" t="s">
        <v>14</v>
      </c>
      <c r="D349" s="235" t="s">
        <v>500</v>
      </c>
      <c r="E349" s="32" t="s">
        <v>16</v>
      </c>
      <c r="F349" s="73" t="s">
        <v>17</v>
      </c>
      <c r="G349" s="124" t="s">
        <v>18</v>
      </c>
      <c r="H349" s="76" t="s">
        <v>19</v>
      </c>
    </row>
    <row r="350" spans="1:10" ht="15.75" thickBot="1" x14ac:dyDescent="0.3">
      <c r="A350" s="166" t="s">
        <v>575</v>
      </c>
      <c r="B350" s="237" t="s">
        <v>576</v>
      </c>
      <c r="C350" s="219" t="s">
        <v>25</v>
      </c>
      <c r="D350" s="57">
        <v>1</v>
      </c>
      <c r="E350" s="160">
        <f t="shared" ref="E350:E352" si="104">+ROUND(J350*1.0575,0)</f>
        <v>1649700</v>
      </c>
      <c r="F350" s="145">
        <f t="shared" ref="F350:F352" si="105">+ROUND(E350*D350,0)</f>
        <v>1649700</v>
      </c>
      <c r="G350" s="243">
        <f t="shared" ref="G350:G352" si="106">+ROUND(0.9*E350,0)</f>
        <v>1484730</v>
      </c>
      <c r="H350" s="251">
        <f t="shared" ref="H350:H352" si="107">+ROUND(1.1*E350,0)</f>
        <v>1814670</v>
      </c>
      <c r="J350" s="96">
        <v>1560000</v>
      </c>
    </row>
    <row r="351" spans="1:10" ht="15.75" thickBot="1" x14ac:dyDescent="0.3">
      <c r="A351" s="166" t="s">
        <v>577</v>
      </c>
      <c r="B351" s="237" t="s">
        <v>578</v>
      </c>
      <c r="C351" s="219" t="s">
        <v>25</v>
      </c>
      <c r="D351" s="57">
        <v>1</v>
      </c>
      <c r="E351" s="160">
        <f t="shared" si="104"/>
        <v>2664900</v>
      </c>
      <c r="F351" s="145">
        <f t="shared" si="105"/>
        <v>2664900</v>
      </c>
      <c r="G351" s="243">
        <f t="shared" si="106"/>
        <v>2398410</v>
      </c>
      <c r="H351" s="251">
        <f t="shared" si="107"/>
        <v>2931390</v>
      </c>
      <c r="J351" s="96">
        <v>2520000</v>
      </c>
    </row>
    <row r="352" spans="1:10" ht="15.75" thickBot="1" x14ac:dyDescent="0.3">
      <c r="A352" s="166" t="s">
        <v>579</v>
      </c>
      <c r="B352" s="239" t="s">
        <v>580</v>
      </c>
      <c r="C352" s="246" t="s">
        <v>25</v>
      </c>
      <c r="D352" s="245">
        <v>1</v>
      </c>
      <c r="E352" s="160">
        <f t="shared" si="104"/>
        <v>2855250</v>
      </c>
      <c r="F352" s="145">
        <f t="shared" si="105"/>
        <v>2855250</v>
      </c>
      <c r="G352" s="243">
        <f t="shared" si="106"/>
        <v>2569725</v>
      </c>
      <c r="H352" s="251">
        <f t="shared" si="107"/>
        <v>3140775</v>
      </c>
      <c r="J352" s="96">
        <v>2700000</v>
      </c>
    </row>
    <row r="353" spans="1:10" ht="15.75" thickBot="1" x14ac:dyDescent="0.3">
      <c r="C353" s="335" t="s">
        <v>37</v>
      </c>
      <c r="D353" s="336"/>
      <c r="E353" s="337"/>
      <c r="F353" s="27">
        <f>SUM(F350:F352)</f>
        <v>7169850</v>
      </c>
    </row>
    <row r="354" spans="1:10" x14ac:dyDescent="0.25">
      <c r="C354" s="265"/>
      <c r="D354" s="265"/>
      <c r="E354" s="265"/>
      <c r="F354" s="85"/>
    </row>
    <row r="356" spans="1:10" x14ac:dyDescent="0.25">
      <c r="A356" s="266"/>
      <c r="B356" s="267" t="s">
        <v>581</v>
      </c>
      <c r="C356" s="268"/>
      <c r="D356" s="269"/>
      <c r="E356" s="268"/>
      <c r="F356" s="270">
        <f>+F353+F347+F339+F327+F317+F309+F302</f>
        <v>119266578</v>
      </c>
      <c r="G356" s="270">
        <f>+ROUND(0.8*F356,0)</f>
        <v>95413262</v>
      </c>
      <c r="H356" s="270">
        <f>+F356</f>
        <v>119266578</v>
      </c>
    </row>
    <row r="358" spans="1:10" ht="15.75" thickBot="1" x14ac:dyDescent="0.3"/>
    <row r="359" spans="1:10" ht="15.75" thickBot="1" x14ac:dyDescent="0.3">
      <c r="A359" s="338" t="s">
        <v>582</v>
      </c>
      <c r="B359" s="339"/>
      <c r="C359" s="339"/>
      <c r="D359" s="339"/>
      <c r="E359" s="339"/>
      <c r="F359" s="339"/>
      <c r="G359" s="339"/>
      <c r="H359" s="340"/>
    </row>
    <row r="360" spans="1:10" ht="15.75" thickBot="1" x14ac:dyDescent="0.3"/>
    <row r="361" spans="1:10" ht="27.75" thickBot="1" x14ac:dyDescent="0.3">
      <c r="A361" s="279" t="s">
        <v>583</v>
      </c>
      <c r="B361" s="280" t="s">
        <v>584</v>
      </c>
      <c r="C361" s="280" t="s">
        <v>14</v>
      </c>
      <c r="D361" s="281" t="s">
        <v>500</v>
      </c>
      <c r="E361" s="32" t="s">
        <v>16</v>
      </c>
      <c r="F361" s="73" t="s">
        <v>17</v>
      </c>
      <c r="G361" s="124" t="s">
        <v>18</v>
      </c>
      <c r="H361" s="76" t="s">
        <v>19</v>
      </c>
    </row>
    <row r="362" spans="1:10" ht="33" customHeight="1" thickBot="1" x14ac:dyDescent="0.3">
      <c r="A362" s="282" t="s">
        <v>585</v>
      </c>
      <c r="B362" s="283" t="s">
        <v>586</v>
      </c>
      <c r="C362" s="284" t="s">
        <v>587</v>
      </c>
      <c r="D362" s="285">
        <v>1</v>
      </c>
      <c r="E362" s="160">
        <f t="shared" ref="E362:E369" si="108">+ROUND(J362*1.0575,0)</f>
        <v>24931821</v>
      </c>
      <c r="F362" s="145">
        <f t="shared" ref="F362:F369" si="109">+ROUND(E362*D362,0)</f>
        <v>24931821</v>
      </c>
      <c r="G362" s="243">
        <f t="shared" ref="G362:G369" si="110">+ROUND(0.9*E362,0)</f>
        <v>22438639</v>
      </c>
      <c r="H362" s="251">
        <f t="shared" ref="H362:H369" si="111">+ROUND(1.1*E362,0)</f>
        <v>27425003</v>
      </c>
      <c r="J362" s="294">
        <v>23576190</v>
      </c>
    </row>
    <row r="363" spans="1:10" ht="27.75" customHeight="1" thickBot="1" x14ac:dyDescent="0.3">
      <c r="A363" s="286" t="s">
        <v>588</v>
      </c>
      <c r="B363" s="287" t="s">
        <v>589</v>
      </c>
      <c r="C363" s="288" t="s">
        <v>587</v>
      </c>
      <c r="D363" s="289">
        <v>68</v>
      </c>
      <c r="E363" s="160">
        <f t="shared" si="108"/>
        <v>1301854</v>
      </c>
      <c r="F363" s="145">
        <f t="shared" si="109"/>
        <v>88526072</v>
      </c>
      <c r="G363" s="243">
        <f t="shared" si="110"/>
        <v>1171669</v>
      </c>
      <c r="H363" s="251">
        <f t="shared" si="111"/>
        <v>1432039</v>
      </c>
      <c r="J363" s="295">
        <v>1231067.3999999999</v>
      </c>
    </row>
    <row r="364" spans="1:10" ht="18.75" thickBot="1" x14ac:dyDescent="0.3">
      <c r="A364" s="286" t="s">
        <v>590</v>
      </c>
      <c r="B364" s="231" t="s">
        <v>591</v>
      </c>
      <c r="C364" s="290" t="s">
        <v>587</v>
      </c>
      <c r="D364" s="291">
        <v>33</v>
      </c>
      <c r="E364" s="160">
        <f t="shared" si="108"/>
        <v>1301854</v>
      </c>
      <c r="F364" s="145">
        <f t="shared" si="109"/>
        <v>42961182</v>
      </c>
      <c r="G364" s="243">
        <f t="shared" si="110"/>
        <v>1171669</v>
      </c>
      <c r="H364" s="251">
        <f t="shared" si="111"/>
        <v>1432039</v>
      </c>
      <c r="J364" s="296">
        <v>1231067.3999999999</v>
      </c>
    </row>
    <row r="365" spans="1:10" ht="15.75" thickBot="1" x14ac:dyDescent="0.3">
      <c r="A365" s="286" t="s">
        <v>592</v>
      </c>
      <c r="B365" s="231" t="s">
        <v>593</v>
      </c>
      <c r="C365" s="290" t="s">
        <v>587</v>
      </c>
      <c r="D365" s="291">
        <v>51</v>
      </c>
      <c r="E365" s="160">
        <f t="shared" si="108"/>
        <v>171719</v>
      </c>
      <c r="F365" s="145">
        <f t="shared" si="109"/>
        <v>8757669</v>
      </c>
      <c r="G365" s="243">
        <f t="shared" si="110"/>
        <v>154547</v>
      </c>
      <c r="H365" s="251">
        <f t="shared" si="111"/>
        <v>188891</v>
      </c>
      <c r="J365" s="296">
        <v>162382.39999999999</v>
      </c>
    </row>
    <row r="366" spans="1:10" ht="24" customHeight="1" thickBot="1" x14ac:dyDescent="0.3">
      <c r="A366" s="286" t="s">
        <v>594</v>
      </c>
      <c r="B366" s="292" t="s">
        <v>595</v>
      </c>
      <c r="C366" s="290" t="s">
        <v>587</v>
      </c>
      <c r="D366" s="291">
        <v>5</v>
      </c>
      <c r="E366" s="160">
        <f t="shared" si="108"/>
        <v>730122</v>
      </c>
      <c r="F366" s="145">
        <f t="shared" si="109"/>
        <v>3650610</v>
      </c>
      <c r="G366" s="243">
        <f t="shared" si="110"/>
        <v>657110</v>
      </c>
      <c r="H366" s="251">
        <f t="shared" si="111"/>
        <v>803134</v>
      </c>
      <c r="J366" s="296">
        <v>690422.4</v>
      </c>
    </row>
    <row r="367" spans="1:10" ht="18.75" thickBot="1" x14ac:dyDescent="0.3">
      <c r="A367" s="286" t="s">
        <v>596</v>
      </c>
      <c r="B367" s="231" t="s">
        <v>597</v>
      </c>
      <c r="C367" s="290" t="s">
        <v>587</v>
      </c>
      <c r="D367" s="291">
        <v>6</v>
      </c>
      <c r="E367" s="160">
        <f t="shared" si="108"/>
        <v>434021</v>
      </c>
      <c r="F367" s="145">
        <f t="shared" si="109"/>
        <v>2604126</v>
      </c>
      <c r="G367" s="243">
        <f t="shared" si="110"/>
        <v>390619</v>
      </c>
      <c r="H367" s="251">
        <f t="shared" si="111"/>
        <v>477423</v>
      </c>
      <c r="J367" s="296">
        <v>410421.4</v>
      </c>
    </row>
    <row r="368" spans="1:10" ht="15.75" thickBot="1" x14ac:dyDescent="0.3">
      <c r="A368" s="286" t="s">
        <v>598</v>
      </c>
      <c r="B368" s="231" t="s">
        <v>599</v>
      </c>
      <c r="C368" s="290" t="s">
        <v>587</v>
      </c>
      <c r="D368" s="291">
        <v>15</v>
      </c>
      <c r="E368" s="160">
        <f t="shared" si="108"/>
        <v>144634</v>
      </c>
      <c r="F368" s="145">
        <f t="shared" si="109"/>
        <v>2169510</v>
      </c>
      <c r="G368" s="243">
        <f t="shared" si="110"/>
        <v>130171</v>
      </c>
      <c r="H368" s="251">
        <f t="shared" si="111"/>
        <v>159097</v>
      </c>
      <c r="J368" s="296">
        <v>136769.4</v>
      </c>
    </row>
    <row r="369" spans="1:10" ht="15.75" thickBot="1" x14ac:dyDescent="0.3">
      <c r="A369" s="286" t="s">
        <v>600</v>
      </c>
      <c r="B369" s="293" t="s">
        <v>601</v>
      </c>
      <c r="C369" s="298" t="s">
        <v>587</v>
      </c>
      <c r="D369" s="299">
        <v>3</v>
      </c>
      <c r="E369" s="160">
        <f t="shared" si="108"/>
        <v>199857</v>
      </c>
      <c r="F369" s="145">
        <f t="shared" si="109"/>
        <v>599571</v>
      </c>
      <c r="G369" s="243">
        <f t="shared" si="110"/>
        <v>179871</v>
      </c>
      <c r="H369" s="251">
        <f t="shared" si="111"/>
        <v>219843</v>
      </c>
      <c r="J369" s="297">
        <v>188990.4</v>
      </c>
    </row>
    <row r="370" spans="1:10" ht="15.75" thickBot="1" x14ac:dyDescent="0.3">
      <c r="C370" s="335" t="s">
        <v>37</v>
      </c>
      <c r="D370" s="336"/>
      <c r="E370" s="337"/>
      <c r="F370" s="27">
        <f>SUM(F362:F369)</f>
        <v>174200561</v>
      </c>
    </row>
    <row r="371" spans="1:10" ht="15.75" thickBot="1" x14ac:dyDescent="0.3">
      <c r="F371" s="18"/>
    </row>
    <row r="372" spans="1:10" ht="27.75" thickBot="1" x14ac:dyDescent="0.3">
      <c r="A372" s="279" t="s">
        <v>602</v>
      </c>
      <c r="B372" s="280" t="s">
        <v>603</v>
      </c>
      <c r="C372" s="280" t="s">
        <v>14</v>
      </c>
      <c r="D372" s="281" t="s">
        <v>500</v>
      </c>
      <c r="E372" s="32" t="s">
        <v>16</v>
      </c>
      <c r="F372" s="73" t="s">
        <v>17</v>
      </c>
      <c r="G372" s="124" t="s">
        <v>18</v>
      </c>
      <c r="H372" s="76" t="s">
        <v>19</v>
      </c>
    </row>
    <row r="373" spans="1:10" ht="30.75" customHeight="1" thickBot="1" x14ac:dyDescent="0.3">
      <c r="A373" s="300" t="s">
        <v>604</v>
      </c>
      <c r="B373" s="283" t="s">
        <v>605</v>
      </c>
      <c r="C373" s="284" t="s">
        <v>587</v>
      </c>
      <c r="D373" s="285">
        <v>1</v>
      </c>
      <c r="E373" s="160">
        <f t="shared" ref="E373:E387" si="112">+ROUND(J373*1.0575,0)</f>
        <v>39754035</v>
      </c>
      <c r="F373" s="145">
        <f t="shared" ref="F373:F387" si="113">+ROUND(E373*D373,0)</f>
        <v>39754035</v>
      </c>
      <c r="G373" s="243">
        <f t="shared" ref="G373:G387" si="114">+ROUND(0.9*E373,0)</f>
        <v>35778632</v>
      </c>
      <c r="H373" s="251">
        <f t="shared" ref="H373:H387" si="115">+ROUND(1.1*E373,0)</f>
        <v>43729439</v>
      </c>
      <c r="J373" s="294">
        <v>37592468</v>
      </c>
    </row>
    <row r="374" spans="1:10" ht="24.75" customHeight="1" thickBot="1" x14ac:dyDescent="0.3">
      <c r="A374" s="300" t="s">
        <v>606</v>
      </c>
      <c r="B374" s="287" t="s">
        <v>607</v>
      </c>
      <c r="C374" s="288" t="s">
        <v>587</v>
      </c>
      <c r="D374" s="301">
        <v>34</v>
      </c>
      <c r="E374" s="160">
        <f t="shared" si="112"/>
        <v>1301857</v>
      </c>
      <c r="F374" s="145">
        <f t="shared" si="113"/>
        <v>44263138</v>
      </c>
      <c r="G374" s="243">
        <f t="shared" si="114"/>
        <v>1171671</v>
      </c>
      <c r="H374" s="251">
        <f t="shared" si="115"/>
        <v>1432043</v>
      </c>
      <c r="J374" s="305">
        <v>1231070.3999999999</v>
      </c>
    </row>
    <row r="375" spans="1:10" ht="18.75" thickBot="1" x14ac:dyDescent="0.3">
      <c r="A375" s="300" t="s">
        <v>608</v>
      </c>
      <c r="B375" s="231" t="s">
        <v>609</v>
      </c>
      <c r="C375" s="290" t="s">
        <v>587</v>
      </c>
      <c r="D375" s="302">
        <v>34</v>
      </c>
      <c r="E375" s="160">
        <f t="shared" si="112"/>
        <v>1301857</v>
      </c>
      <c r="F375" s="145">
        <f t="shared" si="113"/>
        <v>44263138</v>
      </c>
      <c r="G375" s="243">
        <f t="shared" si="114"/>
        <v>1171671</v>
      </c>
      <c r="H375" s="251">
        <f t="shared" si="115"/>
        <v>1432043</v>
      </c>
      <c r="J375" s="306">
        <v>1231070.3999999999</v>
      </c>
    </row>
    <row r="376" spans="1:10" ht="15.75" thickBot="1" x14ac:dyDescent="0.3">
      <c r="A376" s="300" t="s">
        <v>610</v>
      </c>
      <c r="B376" s="231" t="s">
        <v>593</v>
      </c>
      <c r="C376" s="290" t="s">
        <v>587</v>
      </c>
      <c r="D376" s="303">
        <v>38</v>
      </c>
      <c r="E376" s="160">
        <f t="shared" si="112"/>
        <v>171719</v>
      </c>
      <c r="F376" s="145">
        <f t="shared" si="113"/>
        <v>6525322</v>
      </c>
      <c r="G376" s="243">
        <f t="shared" si="114"/>
        <v>154547</v>
      </c>
      <c r="H376" s="251">
        <f t="shared" si="115"/>
        <v>188891</v>
      </c>
      <c r="J376" s="296">
        <v>162382.39999999999</v>
      </c>
    </row>
    <row r="377" spans="1:10" ht="15.75" thickBot="1" x14ac:dyDescent="0.3">
      <c r="A377" s="300" t="s">
        <v>611</v>
      </c>
      <c r="B377" s="231" t="s">
        <v>612</v>
      </c>
      <c r="C377" s="290" t="s">
        <v>587</v>
      </c>
      <c r="D377" s="303">
        <v>29</v>
      </c>
      <c r="E377" s="160">
        <f t="shared" si="112"/>
        <v>484832</v>
      </c>
      <c r="F377" s="145">
        <f t="shared" si="113"/>
        <v>14060128</v>
      </c>
      <c r="G377" s="243">
        <f t="shared" si="114"/>
        <v>436349</v>
      </c>
      <c r="H377" s="251">
        <f t="shared" si="115"/>
        <v>533315</v>
      </c>
      <c r="J377" s="296">
        <v>458470.40000000002</v>
      </c>
    </row>
    <row r="378" spans="1:10" ht="15.75" thickBot="1" x14ac:dyDescent="0.3">
      <c r="A378" s="300" t="s">
        <v>613</v>
      </c>
      <c r="B378" s="231" t="s">
        <v>614</v>
      </c>
      <c r="C378" s="290" t="s">
        <v>587</v>
      </c>
      <c r="D378" s="303">
        <v>34</v>
      </c>
      <c r="E378" s="160">
        <f t="shared" si="112"/>
        <v>694241</v>
      </c>
      <c r="F378" s="145">
        <f t="shared" si="113"/>
        <v>23604194</v>
      </c>
      <c r="G378" s="243">
        <f t="shared" si="114"/>
        <v>624817</v>
      </c>
      <c r="H378" s="251">
        <f t="shared" si="115"/>
        <v>763665</v>
      </c>
      <c r="J378" s="296">
        <v>656492.4</v>
      </c>
    </row>
    <row r="379" spans="1:10" ht="15.75" thickBot="1" x14ac:dyDescent="0.3">
      <c r="A379" s="300" t="s">
        <v>615</v>
      </c>
      <c r="B379" s="231" t="s">
        <v>616</v>
      </c>
      <c r="C379" s="290" t="s">
        <v>587</v>
      </c>
      <c r="D379" s="303">
        <v>12</v>
      </c>
      <c r="E379" s="160">
        <f t="shared" si="112"/>
        <v>1252755</v>
      </c>
      <c r="F379" s="145">
        <f t="shared" si="113"/>
        <v>15033060</v>
      </c>
      <c r="G379" s="243">
        <f t="shared" si="114"/>
        <v>1127480</v>
      </c>
      <c r="H379" s="251">
        <f t="shared" si="115"/>
        <v>1378031</v>
      </c>
      <c r="J379" s="296">
        <v>1184638.3999999999</v>
      </c>
    </row>
    <row r="380" spans="1:10" ht="18.75" thickBot="1" x14ac:dyDescent="0.3">
      <c r="A380" s="300" t="s">
        <v>617</v>
      </c>
      <c r="B380" s="231" t="s">
        <v>618</v>
      </c>
      <c r="C380" s="290" t="s">
        <v>587</v>
      </c>
      <c r="D380" s="303">
        <v>6</v>
      </c>
      <c r="E380" s="160">
        <f t="shared" si="112"/>
        <v>2274273</v>
      </c>
      <c r="F380" s="145">
        <f t="shared" si="113"/>
        <v>13645638</v>
      </c>
      <c r="G380" s="243">
        <f t="shared" si="114"/>
        <v>2046846</v>
      </c>
      <c r="H380" s="251">
        <f t="shared" si="115"/>
        <v>2501700</v>
      </c>
      <c r="J380" s="296">
        <v>2150612.4</v>
      </c>
    </row>
    <row r="381" spans="1:10" ht="15.75" thickBot="1" x14ac:dyDescent="0.3">
      <c r="A381" s="304" t="s">
        <v>619</v>
      </c>
      <c r="B381" s="231" t="s">
        <v>620</v>
      </c>
      <c r="C381" s="290" t="s">
        <v>46</v>
      </c>
      <c r="D381" s="303">
        <v>28</v>
      </c>
      <c r="E381" s="160">
        <f t="shared" si="112"/>
        <v>227597</v>
      </c>
      <c r="F381" s="145">
        <f t="shared" si="113"/>
        <v>6372716</v>
      </c>
      <c r="G381" s="243">
        <f t="shared" si="114"/>
        <v>204837</v>
      </c>
      <c r="H381" s="251">
        <f t="shared" si="115"/>
        <v>250357</v>
      </c>
      <c r="J381" s="296">
        <v>215221.4</v>
      </c>
    </row>
    <row r="382" spans="1:10" ht="15.75" thickBot="1" x14ac:dyDescent="0.3">
      <c r="A382" s="304" t="s">
        <v>621</v>
      </c>
      <c r="B382" s="231" t="s">
        <v>622</v>
      </c>
      <c r="C382" s="290" t="s">
        <v>587</v>
      </c>
      <c r="D382" s="303">
        <v>2</v>
      </c>
      <c r="E382" s="160">
        <f t="shared" si="112"/>
        <v>172402</v>
      </c>
      <c r="F382" s="145">
        <f t="shared" si="113"/>
        <v>344804</v>
      </c>
      <c r="G382" s="243">
        <f t="shared" si="114"/>
        <v>155162</v>
      </c>
      <c r="H382" s="251">
        <f t="shared" si="115"/>
        <v>189642</v>
      </c>
      <c r="J382" s="296">
        <v>163028</v>
      </c>
    </row>
    <row r="383" spans="1:10" ht="15.75" thickBot="1" x14ac:dyDescent="0.3">
      <c r="A383" s="304" t="s">
        <v>623</v>
      </c>
      <c r="B383" s="231" t="s">
        <v>624</v>
      </c>
      <c r="C383" s="290" t="s">
        <v>587</v>
      </c>
      <c r="D383" s="303">
        <v>1</v>
      </c>
      <c r="E383" s="160">
        <f t="shared" si="112"/>
        <v>511628</v>
      </c>
      <c r="F383" s="145">
        <f t="shared" si="113"/>
        <v>511628</v>
      </c>
      <c r="G383" s="243">
        <f t="shared" si="114"/>
        <v>460465</v>
      </c>
      <c r="H383" s="251">
        <f t="shared" si="115"/>
        <v>562791</v>
      </c>
      <c r="J383" s="296">
        <v>483809.4</v>
      </c>
    </row>
    <row r="384" spans="1:10" ht="15.75" thickBot="1" x14ac:dyDescent="0.3">
      <c r="A384" s="304" t="s">
        <v>625</v>
      </c>
      <c r="B384" s="231" t="s">
        <v>626</v>
      </c>
      <c r="C384" s="290" t="s">
        <v>587</v>
      </c>
      <c r="D384" s="303">
        <v>3</v>
      </c>
      <c r="E384" s="160">
        <f t="shared" si="112"/>
        <v>216248</v>
      </c>
      <c r="F384" s="145">
        <f t="shared" si="113"/>
        <v>648744</v>
      </c>
      <c r="G384" s="243">
        <f t="shared" si="114"/>
        <v>194623</v>
      </c>
      <c r="H384" s="251">
        <f t="shared" si="115"/>
        <v>237873</v>
      </c>
      <c r="J384" s="296">
        <v>204490</v>
      </c>
    </row>
    <row r="385" spans="1:11" ht="15.75" thickBot="1" x14ac:dyDescent="0.3">
      <c r="A385" s="304" t="s">
        <v>627</v>
      </c>
      <c r="B385" s="231" t="s">
        <v>599</v>
      </c>
      <c r="C385" s="290" t="s">
        <v>587</v>
      </c>
      <c r="D385" s="303">
        <v>22</v>
      </c>
      <c r="E385" s="160">
        <f t="shared" si="112"/>
        <v>144635</v>
      </c>
      <c r="F385" s="145">
        <f t="shared" si="113"/>
        <v>3181970</v>
      </c>
      <c r="G385" s="243">
        <f t="shared" si="114"/>
        <v>130172</v>
      </c>
      <c r="H385" s="251">
        <f t="shared" si="115"/>
        <v>159099</v>
      </c>
      <c r="J385" s="296">
        <v>136770.4</v>
      </c>
    </row>
    <row r="386" spans="1:11" ht="15.75" thickBot="1" x14ac:dyDescent="0.3">
      <c r="A386" s="304" t="s">
        <v>628</v>
      </c>
      <c r="B386" s="231" t="s">
        <v>601</v>
      </c>
      <c r="C386" s="290" t="s">
        <v>587</v>
      </c>
      <c r="D386" s="303">
        <v>17</v>
      </c>
      <c r="E386" s="160">
        <f t="shared" si="112"/>
        <v>199857</v>
      </c>
      <c r="F386" s="145">
        <f t="shared" si="113"/>
        <v>3397569</v>
      </c>
      <c r="G386" s="243">
        <f t="shared" si="114"/>
        <v>179871</v>
      </c>
      <c r="H386" s="251">
        <f t="shared" si="115"/>
        <v>219843</v>
      </c>
      <c r="J386" s="296">
        <v>188990.4</v>
      </c>
    </row>
    <row r="387" spans="1:11" ht="15.75" thickBot="1" x14ac:dyDescent="0.3">
      <c r="A387" s="304" t="s">
        <v>629</v>
      </c>
      <c r="B387" s="293" t="s">
        <v>630</v>
      </c>
      <c r="C387" s="298" t="s">
        <v>587</v>
      </c>
      <c r="D387" s="307">
        <v>1</v>
      </c>
      <c r="E387" s="160">
        <f t="shared" si="112"/>
        <v>299843</v>
      </c>
      <c r="F387" s="145">
        <f t="shared" si="113"/>
        <v>299843</v>
      </c>
      <c r="G387" s="243">
        <f t="shared" si="114"/>
        <v>269859</v>
      </c>
      <c r="H387" s="251">
        <f t="shared" si="115"/>
        <v>329827</v>
      </c>
      <c r="J387" s="297">
        <v>283539.40000000002</v>
      </c>
    </row>
    <row r="388" spans="1:11" ht="15.75" thickBot="1" x14ac:dyDescent="0.3">
      <c r="C388" s="335" t="s">
        <v>37</v>
      </c>
      <c r="D388" s="336"/>
      <c r="E388" s="337"/>
      <c r="F388" s="27">
        <f>SUM(F373:F387)</f>
        <v>215905927</v>
      </c>
    </row>
    <row r="390" spans="1:11" ht="18.75" thickBot="1" x14ac:dyDescent="0.3">
      <c r="B390" s="309" t="s">
        <v>631</v>
      </c>
      <c r="C390" s="310"/>
      <c r="D390" s="311"/>
      <c r="E390" s="312"/>
      <c r="F390" s="308">
        <f>+F370+F388</f>
        <v>390106488</v>
      </c>
      <c r="G390" s="308">
        <f>+ROUND(0.8*F390,0)</f>
        <v>312085190</v>
      </c>
      <c r="H390" s="308">
        <f>+F390</f>
        <v>390106488</v>
      </c>
    </row>
    <row r="391" spans="1:11" ht="15.75" thickBot="1" x14ac:dyDescent="0.3"/>
    <row r="392" spans="1:11" ht="15.75" thickBot="1" x14ac:dyDescent="0.3">
      <c r="A392" s="313" t="s">
        <v>632</v>
      </c>
      <c r="B392" s="314"/>
      <c r="C392" s="315"/>
      <c r="D392" s="314"/>
      <c r="E392" s="316"/>
      <c r="F392" s="308">
        <f>+F390+F356+F293+F226+F111</f>
        <v>2605149654</v>
      </c>
      <c r="G392" s="316">
        <f>+G390+G356+G227+G113+G294</f>
        <v>407498452</v>
      </c>
      <c r="H392" s="308">
        <f>+F392</f>
        <v>2605149654</v>
      </c>
    </row>
    <row r="394" spans="1:11" x14ac:dyDescent="0.25">
      <c r="B394" s="317" t="s">
        <v>633</v>
      </c>
      <c r="C394" s="317"/>
      <c r="D394" s="318">
        <v>0.18720000000000001</v>
      </c>
      <c r="E394" s="319">
        <f>+ROUND(F392*D394,0)</f>
        <v>487684015</v>
      </c>
      <c r="F394" s="318">
        <f>+D394</f>
        <v>0.18720000000000001</v>
      </c>
      <c r="G394" s="99"/>
    </row>
    <row r="395" spans="1:11" x14ac:dyDescent="0.25">
      <c r="B395" s="237" t="s">
        <v>634</v>
      </c>
      <c r="C395" s="237"/>
      <c r="D395" s="320">
        <v>0.03</v>
      </c>
      <c r="E395" s="321">
        <f>+ROUND(F392*0.03,0)</f>
        <v>78154490</v>
      </c>
      <c r="F395" s="320">
        <v>2.9999999999999995E-2</v>
      </c>
      <c r="G395" s="99"/>
    </row>
    <row r="396" spans="1:11" x14ac:dyDescent="0.25">
      <c r="B396" s="237" t="s">
        <v>635</v>
      </c>
      <c r="C396" s="237"/>
      <c r="D396" s="320">
        <v>0.05</v>
      </c>
      <c r="E396" s="321">
        <f>+ROUND(0.05*F392,0)</f>
        <v>130257483</v>
      </c>
      <c r="F396" s="320">
        <v>0.05</v>
      </c>
      <c r="G396" s="99"/>
    </row>
    <row r="397" spans="1:11" x14ac:dyDescent="0.25">
      <c r="B397" s="322" t="s">
        <v>636</v>
      </c>
      <c r="C397" s="322"/>
      <c r="D397" s="323">
        <f>SUM(D394:D396)</f>
        <v>0.26719999999999999</v>
      </c>
      <c r="E397" s="324"/>
      <c r="F397" s="325">
        <f>+E394+E395+E396</f>
        <v>696095988</v>
      </c>
      <c r="G397" s="99"/>
    </row>
    <row r="398" spans="1:11" x14ac:dyDescent="0.25">
      <c r="B398" s="237" t="s">
        <v>637</v>
      </c>
      <c r="C398" s="237"/>
      <c r="D398" s="326"/>
      <c r="E398" s="326"/>
      <c r="F398" s="321">
        <f>+F397+F392</f>
        <v>3301245642</v>
      </c>
      <c r="G398" s="99"/>
    </row>
    <row r="399" spans="1:11" ht="15.75" thickBot="1" x14ac:dyDescent="0.3">
      <c r="B399" s="327" t="s">
        <v>638</v>
      </c>
      <c r="C399" s="327"/>
      <c r="D399" s="328">
        <v>0.19</v>
      </c>
      <c r="E399" s="329"/>
      <c r="F399" s="330">
        <f>+ROUND(D399*E396,0)</f>
        <v>24748922</v>
      </c>
      <c r="G399" s="99"/>
    </row>
    <row r="400" spans="1:11" ht="15.75" thickBot="1" x14ac:dyDescent="0.3">
      <c r="B400" s="313" t="s">
        <v>639</v>
      </c>
      <c r="C400" s="313"/>
      <c r="D400" s="331"/>
      <c r="E400" s="332"/>
      <c r="F400" s="333">
        <f>+F398+F399</f>
        <v>3325994564</v>
      </c>
      <c r="G400" s="275">
        <f>+ROUND(0.8*F400,0)</f>
        <v>2660795651</v>
      </c>
      <c r="K400" s="334">
        <v>3327999394</v>
      </c>
    </row>
  </sheetData>
  <mergeCells count="47">
    <mergeCell ref="C224:E224"/>
    <mergeCell ref="C291:E291"/>
    <mergeCell ref="A296:H296"/>
    <mergeCell ref="A229:H229"/>
    <mergeCell ref="C244:E244"/>
    <mergeCell ref="C256:E256"/>
    <mergeCell ref="C264:E264"/>
    <mergeCell ref="C282:E282"/>
    <mergeCell ref="C273:E273"/>
    <mergeCell ref="C165:E165"/>
    <mergeCell ref="C184:E184"/>
    <mergeCell ref="C196:E196"/>
    <mergeCell ref="C207:E207"/>
    <mergeCell ref="C218:E218"/>
    <mergeCell ref="C109:E109"/>
    <mergeCell ref="B111:D111"/>
    <mergeCell ref="A114:H114"/>
    <mergeCell ref="C123:E123"/>
    <mergeCell ref="C143:E143"/>
    <mergeCell ref="A2:G2"/>
    <mergeCell ref="A3:G3"/>
    <mergeCell ref="A4:G4"/>
    <mergeCell ref="A5:G5"/>
    <mergeCell ref="A6:G6"/>
    <mergeCell ref="A7:G7"/>
    <mergeCell ref="C302:E302"/>
    <mergeCell ref="C309:E309"/>
    <mergeCell ref="C317:E317"/>
    <mergeCell ref="C327:E327"/>
    <mergeCell ref="G8:G9"/>
    <mergeCell ref="A9:F9"/>
    <mergeCell ref="C10:D10"/>
    <mergeCell ref="A12:H12"/>
    <mergeCell ref="C22:E22"/>
    <mergeCell ref="C37:E37"/>
    <mergeCell ref="C50:E50"/>
    <mergeCell ref="C70:E70"/>
    <mergeCell ref="C93:E93"/>
    <mergeCell ref="A8:F8"/>
    <mergeCell ref="B226:D226"/>
    <mergeCell ref="C370:E370"/>
    <mergeCell ref="C388:E388"/>
    <mergeCell ref="C334:E334"/>
    <mergeCell ref="C339:E339"/>
    <mergeCell ref="C347:E347"/>
    <mergeCell ref="C353:E353"/>
    <mergeCell ref="A359:H359"/>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mmcarbonell</dc:creator>
  <cp:lastModifiedBy>ANDREA MEGLAN RODRIGUEZ</cp:lastModifiedBy>
  <dcterms:created xsi:type="dcterms:W3CDTF">2017-01-25T23:36:00Z</dcterms:created>
  <dcterms:modified xsi:type="dcterms:W3CDTF">2017-01-27T18:36:47Z</dcterms:modified>
</cp:coreProperties>
</file>