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indeterco-my.sharepoint.com/personal/cybula_findeter_gov_co/Documents/MinDeporte/Anexos obra/"/>
    </mc:Choice>
  </mc:AlternateContent>
  <xr:revisionPtr revIDLastSave="876" documentId="8_{681A987C-FB56-4E6D-A9A6-F996CE40FF99}" xr6:coauthVersionLast="47" xr6:coauthVersionMax="47" xr10:uidLastSave="{BC2CA3B4-CE8E-4713-B536-9D5A50783186}"/>
  <bookViews>
    <workbookView xWindow="-120" yWindow="-120" windowWidth="29040" windowHeight="15840" firstSheet="5" activeTab="5" xr2:uid="{00000000-000D-0000-FFFF-FFFF00000000}"/>
  </bookViews>
  <sheets>
    <sheet name="plazoleta ELV" sheetId="5" state="hidden" r:id="rId1"/>
    <sheet name="parqueadero ELV" sheetId="4" state="hidden" r:id="rId2"/>
    <sheet name="REV ELV" sheetId="3" state="hidden" r:id="rId3"/>
    <sheet name="Hoja1 luz" sheetId="1" state="hidden" r:id="rId4"/>
    <sheet name="Hoja2" sheetId="2" state="hidden" r:id="rId5"/>
    <sheet name="FORMATO 4 OBRA" sheetId="6" r:id="rId6"/>
    <sheet name="FORMAT 4 INTERV." sheetId="7" state="hidden" r:id="rId7"/>
    <sheet name="Hoja1" sheetId="8" state="hidden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8" l="1"/>
  <c r="D18" i="8"/>
  <c r="C18" i="8"/>
  <c r="F17" i="8"/>
  <c r="F16" i="8"/>
  <c r="F18" i="8" s="1"/>
  <c r="B10" i="8" l="1"/>
  <c r="B4" i="8"/>
  <c r="J14" i="5" l="1"/>
  <c r="G46" i="3" l="1"/>
  <c r="J13" i="5"/>
  <c r="K13" i="5" s="1"/>
  <c r="G41" i="3"/>
  <c r="G45" i="3" l="1"/>
  <c r="G42" i="3"/>
  <c r="G43" i="3"/>
  <c r="G44" i="3"/>
  <c r="G47" i="3"/>
  <c r="J32" i="4" l="1"/>
  <c r="H49" i="4"/>
  <c r="H48" i="4"/>
  <c r="I7" i="5" l="1"/>
  <c r="J15" i="5" l="1"/>
  <c r="H15" i="5"/>
  <c r="F6" i="5"/>
  <c r="G40" i="3" l="1"/>
  <c r="G57" i="3" s="1"/>
  <c r="I17" i="4" l="1"/>
  <c r="G12" i="4" l="1"/>
  <c r="J6" i="5" l="1"/>
  <c r="F7" i="5"/>
  <c r="G44" i="1" l="1"/>
  <c r="J7" i="5" l="1"/>
  <c r="I8" i="5"/>
  <c r="J8" i="5" s="1"/>
  <c r="I5" i="5"/>
  <c r="J5" i="5" s="1"/>
  <c r="I10" i="5"/>
  <c r="J10" i="5" s="1"/>
  <c r="I12" i="5"/>
  <c r="J12" i="5" s="1"/>
  <c r="J17" i="4"/>
  <c r="I34" i="4"/>
  <c r="I18" i="4"/>
  <c r="J18" i="4" s="1"/>
  <c r="I29" i="4"/>
  <c r="J29" i="4" s="1"/>
  <c r="I12" i="4"/>
  <c r="J12" i="4" s="1"/>
  <c r="H34" i="4"/>
  <c r="F22" i="4" l="1"/>
  <c r="V2" i="4" l="1"/>
  <c r="V1" i="4"/>
  <c r="V5" i="4" s="1"/>
  <c r="N6" i="4"/>
  <c r="N2" i="4"/>
  <c r="N4" i="4" s="1"/>
  <c r="F19" i="4" l="1"/>
  <c r="F20" i="4"/>
  <c r="G1" i="4"/>
  <c r="G3" i="4"/>
  <c r="G6" i="4" s="1"/>
  <c r="G2" i="4"/>
  <c r="F14" i="4" l="1"/>
  <c r="F13" i="4"/>
  <c r="H12" i="5"/>
  <c r="H10" i="5"/>
  <c r="H9" i="5"/>
  <c r="H5" i="5"/>
  <c r="H8" i="5"/>
  <c r="H7" i="5"/>
  <c r="G33" i="4" l="1"/>
  <c r="G31" i="4"/>
  <c r="I31" i="4" s="1"/>
  <c r="J31" i="4" s="1"/>
  <c r="E33" i="4"/>
  <c r="G30" i="4"/>
  <c r="I30" i="4" s="1"/>
  <c r="J30" i="4" s="1"/>
  <c r="G28" i="4"/>
  <c r="G27" i="4"/>
  <c r="G11" i="5" s="1"/>
  <c r="G26" i="4"/>
  <c r="I26" i="4" s="1"/>
  <c r="J26" i="4" s="1"/>
  <c r="G25" i="4"/>
  <c r="I25" i="4" s="1"/>
  <c r="J25" i="4" s="1"/>
  <c r="G24" i="4"/>
  <c r="I24" i="4" s="1"/>
  <c r="G23" i="4"/>
  <c r="I23" i="4" s="1"/>
  <c r="J23" i="4" s="1"/>
  <c r="G22" i="4"/>
  <c r="I22" i="4" s="1"/>
  <c r="J22" i="4" s="1"/>
  <c r="G13" i="4"/>
  <c r="J13" i="4" s="1"/>
  <c r="G19" i="4"/>
  <c r="I19" i="4" s="1"/>
  <c r="J19" i="4" s="1"/>
  <c r="J24" i="4" l="1"/>
  <c r="I9" i="5"/>
  <c r="J9" i="5" s="1"/>
  <c r="I11" i="5"/>
  <c r="J11" i="5" s="1"/>
  <c r="J18" i="5" s="1"/>
  <c r="K18" i="5" s="1"/>
  <c r="H11" i="5"/>
  <c r="H18" i="5" s="1"/>
  <c r="H20" i="5" s="1"/>
  <c r="H28" i="4"/>
  <c r="I28" i="4"/>
  <c r="J28" i="4" s="1"/>
  <c r="H33" i="4"/>
  <c r="I33" i="4"/>
  <c r="J33" i="4" s="1"/>
  <c r="H27" i="4"/>
  <c r="I27" i="4"/>
  <c r="J27" i="4" s="1"/>
  <c r="H22" i="4"/>
  <c r="H21" i="5" l="1"/>
  <c r="H22" i="5"/>
  <c r="J20" i="5"/>
  <c r="J22" i="5"/>
  <c r="J23" i="5" s="1"/>
  <c r="J21" i="5"/>
  <c r="G21" i="4"/>
  <c r="I21" i="4" s="1"/>
  <c r="J21" i="4" s="1"/>
  <c r="H23" i="5" l="1"/>
  <c r="H19" i="5" s="1"/>
  <c r="H25" i="5" s="1"/>
  <c r="J19" i="5"/>
  <c r="J25" i="5" s="1"/>
  <c r="H24" i="4"/>
  <c r="H21" i="4" l="1"/>
  <c r="G14" i="4"/>
  <c r="G20" i="4"/>
  <c r="G16" i="4"/>
  <c r="G15" i="4"/>
  <c r="H31" i="4"/>
  <c r="H30" i="4"/>
  <c r="H29" i="4"/>
  <c r="H26" i="4"/>
  <c r="H25" i="4"/>
  <c r="H23" i="4"/>
  <c r="H13" i="4"/>
  <c r="H19" i="4"/>
  <c r="H18" i="4"/>
  <c r="H12" i="4"/>
  <c r="H16" i="4" l="1"/>
  <c r="I16" i="4"/>
  <c r="J16" i="4" s="1"/>
  <c r="H15" i="4"/>
  <c r="I15" i="4"/>
  <c r="J15" i="4" s="1"/>
  <c r="H20" i="4"/>
  <c r="I20" i="4"/>
  <c r="J20" i="4" s="1"/>
  <c r="H14" i="4"/>
  <c r="J14" i="4"/>
  <c r="F13" i="2"/>
  <c r="G13" i="2" s="1"/>
  <c r="F12" i="2"/>
  <c r="G12" i="2" s="1"/>
  <c r="F11" i="2"/>
  <c r="G11" i="2" s="1"/>
  <c r="M26" i="2"/>
  <c r="J25" i="2"/>
  <c r="L24" i="2"/>
  <c r="L26" i="2" s="1"/>
  <c r="G23" i="2"/>
  <c r="H36" i="4" l="1"/>
  <c r="H40" i="4" s="1"/>
  <c r="H41" i="4" s="1"/>
  <c r="J36" i="4"/>
  <c r="K36" i="4" s="1"/>
  <c r="G10" i="2"/>
  <c r="D28" i="2"/>
  <c r="H39" i="4" l="1"/>
  <c r="H38" i="4"/>
  <c r="F48" i="4"/>
  <c r="J39" i="4"/>
  <c r="J40" i="4"/>
  <c r="J41" i="4" s="1"/>
  <c r="J38" i="4"/>
  <c r="G18" i="2"/>
  <c r="G19" i="2" s="1"/>
  <c r="G17" i="2"/>
  <c r="G16" i="2"/>
  <c r="H37" i="4" l="1"/>
  <c r="H43" i="4" s="1"/>
  <c r="J37" i="4"/>
  <c r="J43" i="4" s="1"/>
  <c r="G15" i="2"/>
  <c r="G20" i="2" s="1"/>
  <c r="D29" i="2"/>
  <c r="D30" i="2" s="1"/>
  <c r="G25" i="2"/>
  <c r="J28" i="2" l="1"/>
  <c r="L28" i="2" s="1"/>
  <c r="J2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ELIECER LADINO VILLADA</author>
  </authors>
  <commentList>
    <comment ref="E1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excavando 0,5 m en el area me daría 835 m3 en banco, por lo que con el factor se me convierten en 1086 m3
</t>
        </r>
      </text>
    </comment>
    <comment ref="F1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TENER EN CUENTA LOS 90 M2 DE LA BAHÍA</t>
        </r>
      </text>
    </comment>
    <comment ref="F19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corroborar con Luz Marina</t>
        </r>
      </text>
    </comment>
    <comment ref="E20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corresponde al area del gramoquin</t>
        </r>
      </text>
    </comment>
    <comment ref="F22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INCLUYE ZONA PARQUEO VIA ACCESO</t>
        </r>
      </text>
    </comment>
    <comment ref="E2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2 pompeyanos c/u de 4*4</t>
        </r>
      </text>
    </comment>
    <comment ref="F23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revisar con Luz</t>
        </r>
      </text>
    </comment>
    <comment ref="F25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la distancia maxima Findeter</t>
        </r>
      </text>
    </comment>
    <comment ref="E30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Para los 41 parqueaderos</t>
        </r>
      </text>
    </comment>
  </commentList>
</comments>
</file>

<file path=xl/sharedStrings.xml><?xml version="1.0" encoding="utf-8"?>
<sst xmlns="http://schemas.openxmlformats.org/spreadsheetml/2006/main" count="1404" uniqueCount="835">
  <si>
    <t>PRESUPUESTO FASE 4 COLEGIO RODRIGO LARA BONILLA</t>
  </si>
  <si>
    <t>ÍTEM</t>
  </si>
  <si>
    <t>DESCRIPCIÓN</t>
  </si>
  <si>
    <t>UND</t>
  </si>
  <si>
    <t>CANTIDAD</t>
  </si>
  <si>
    <t>VR. UNITARIO</t>
  </si>
  <si>
    <t>VR. TOTAL</t>
  </si>
  <si>
    <t>PARQUEADERO</t>
  </si>
  <si>
    <t>ESPACIO PÚBLICO</t>
  </si>
  <si>
    <t>MEJORAMIENTO</t>
  </si>
  <si>
    <t>OBSERVACIONES Y/O ACLARACIONES</t>
  </si>
  <si>
    <t>VERIFICACIÓN DE CANTIDADES</t>
  </si>
  <si>
    <t>PARQUEADERO GENERAL GRAMOQUIN</t>
  </si>
  <si>
    <t>M2</t>
  </si>
  <si>
    <t>Se realizó ajuste de 600 a 525 reduciendo preescolar y bloque A</t>
  </si>
  <si>
    <t>PARQUEADERO GENERAL COLEGIO ADOQUIN VEHICULAR</t>
  </si>
  <si>
    <t>PLAZOLETA ACCESO ESTUDIANTES ADOQUIN PEATONAL</t>
  </si>
  <si>
    <t>PUERTA ACCESO PARQUEADERO</t>
  </si>
  <si>
    <t>UN</t>
  </si>
  <si>
    <t>PUERTA ACCESO PEATONAL</t>
  </si>
  <si>
    <t>PERSIANA ADICIONAL CULATAS AULA MULTIPLE</t>
  </si>
  <si>
    <t>REJA METALICA SOBRE MURO DE CONTENCIÓN PREESOLAR COCINA</t>
  </si>
  <si>
    <t>DESMONTE LAMPARAS EXISTENTE CONTRA RAMPA EXISTENTE</t>
  </si>
  <si>
    <t>PASAMANOS SEGUNDO Y TERCER PISO ZONA A</t>
  </si>
  <si>
    <t>ML</t>
  </si>
  <si>
    <t>REJA ZONA CILINDROS DE GAS Y CUBIERTA</t>
  </si>
  <si>
    <t xml:space="preserve">CAÑUELA DESAGUE </t>
  </si>
  <si>
    <t>TIERRA ABONADA Y SEMILLA DE GRAMA</t>
  </si>
  <si>
    <t>EXCAVACIÓN MECANICA PARQUEADERO</t>
  </si>
  <si>
    <t>M3</t>
  </si>
  <si>
    <t>RELLENO SUBBASE GRANULAR PARQUEADERO</t>
  </si>
  <si>
    <t>REPLANTEO Y NIVELACIÓN TOPOGRAFICA</t>
  </si>
  <si>
    <t>54% CORRESPONDE A ESPACIO PUBLICO</t>
  </si>
  <si>
    <t>SARDINEL EN CONCRETO</t>
  </si>
  <si>
    <t>VIGA DE CONFINAMIENTO ADOQUINES</t>
  </si>
  <si>
    <t>CONCRETO ACCESO PARQUEADERO</t>
  </si>
  <si>
    <t>POMPEYANO EN ACCESO PARQUEADERO</t>
  </si>
  <si>
    <t>CONCEPTO SUELISTA LABORATORIO PARQUEADERO</t>
  </si>
  <si>
    <t>GB</t>
  </si>
  <si>
    <t>DISEÑO ELECTRICO ILUMINACIÓN PARQUEADEROS</t>
  </si>
  <si>
    <t>ILUMINACION PARQUEADEROS POSTES LUMINARIAS</t>
  </si>
  <si>
    <t>INCLUYE DISEÑO Y TRÁMITE DE CERTIFICACIONES COMO RETIE Y RETILAP</t>
  </si>
  <si>
    <t>ACOMETIDA ELECTRICA PARQUEADEROS</t>
  </si>
  <si>
    <t>DESAGUES PARQUEADERO TUBERIA 8"</t>
  </si>
  <si>
    <t>CONTENEDOR DE RAICES</t>
  </si>
  <si>
    <t>CERTIFICADO RETILAP</t>
  </si>
  <si>
    <t>CAJAS DE INSPECCIÓN 100*100</t>
  </si>
  <si>
    <t>ARENA TAPE TUBERÍA</t>
  </si>
  <si>
    <t>ARBOLES ORNAMENTALES</t>
  </si>
  <si>
    <t>CARCAMO PARQUEADERO</t>
  </si>
  <si>
    <t>TOPELLANTAS EN CONCRETO</t>
  </si>
  <si>
    <t xml:space="preserve">PINTURA  PARA EXTERIORES TIPO KORAZA O EQUIVALENTE TRES MANOS </t>
  </si>
  <si>
    <t>INCLUYE RESANES EN MUROS, DILATACIONES, REPARACIONES, SUMINISTRO Y EJECUCIÓN SEGÚN COLORES DEL COLEGIO</t>
  </si>
  <si>
    <t xml:space="preserve">PINTURA ACRILICA TIPO KORAZA O EQUIVALENTE - MUROS A 3 MANOS </t>
  </si>
  <si>
    <t>CERRAMIENTO</t>
  </si>
  <si>
    <t>ELECTRICIDAD AULA TERCER PISO</t>
  </si>
  <si>
    <t>GRAMOQUIN BLOQUE A</t>
  </si>
  <si>
    <t>DESMONTE SUPERBOARD COLUMNA COSTADO NORTE ZONA A</t>
  </si>
  <si>
    <t>SUMINISTRO E INSTALACIÓN BARANDAS FALTANTES</t>
  </si>
  <si>
    <t>VALOR TOTAL COSTOS DIRECTOS</t>
  </si>
  <si>
    <t>VALOR TOTAL COSTOS INDIRECTOS</t>
  </si>
  <si>
    <t>ADMINISTRACIÓN</t>
  </si>
  <si>
    <t>IMPREVISTOS</t>
  </si>
  <si>
    <t>UTILIDAD</t>
  </si>
  <si>
    <t>IVA 19% SOBRE UTILIDAD</t>
  </si>
  <si>
    <t>VR./M2</t>
  </si>
  <si>
    <t>1. ETAPA I. REVISIÓN, AJUSTE Y COMLEMENTACIÓN DE LA CONSTRUCCIÓN Y PUESTA EN FUNCIONAMIENTO DE LOS PARQUEADEROS, ESPACIO PÚBLICO Y MEJORAMIENTO DEL COLEGIO RODRIGO LARA BONILLA, EN EL MUNICIPIO DE NEIVA, DEPARTAMENTO DE HUILA</t>
  </si>
  <si>
    <t>DESCRIPCIÓN 
(Corresponde a los ítems o productos relacionados en el contrato)</t>
  </si>
  <si>
    <t>UNIDAD</t>
  </si>
  <si>
    <t>A</t>
  </si>
  <si>
    <t>VALOR DIRECTO</t>
  </si>
  <si>
    <t>REVISIÓN, AJUSTES Y/O COMPLEMENTACIÓN A ESTUDIOS Y DISEÑOS</t>
  </si>
  <si>
    <t>2. ETAPA II. CONSTRUCCIÓN Y PUESTA EN FUNCIONAMIENTO DE LOS PARQUEADEROS, ESPACIO PÚBLICO Y MEJORAMIENTO DEL COLEGIO RODRIGO LARA BONILLA, EN EL MUNICIPIO DE NEIVA, DEPARTAMENTO DE HUILA</t>
  </si>
  <si>
    <t>PRECIOS UNITARIOS</t>
  </si>
  <si>
    <t>VALOR TOTAL</t>
  </si>
  <si>
    <t>VALOR DIRECTO OBRA</t>
  </si>
  <si>
    <t>ESPACIO PÚBLICO (incluye circulaciones peatonales, área de reducción de velocidad)</t>
  </si>
  <si>
    <t>m2</t>
  </si>
  <si>
    <t>PARQUEADERO (incluye parqueadero, circulación peatonal, zonas verdes, cerramiento)</t>
  </si>
  <si>
    <t>ACTIVIDADES DE MEJORAMIENTO DE LA INFRAESTRUCTURA EXISTENTE</t>
  </si>
  <si>
    <t> B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</si>
  <si>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</si>
  <si>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</si>
  <si>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</si>
  <si>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</si>
  <si>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</si>
  <si>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 xml:space="preserve"> VALOR TOTAL DE OBRA (A+B)</t>
  </si>
  <si>
    <t>PROYECTO</t>
  </si>
  <si>
    <t>ITEM</t>
  </si>
  <si>
    <t>DESCRIPCIÓN DE LA ETAPA</t>
  </si>
  <si>
    <t>VALOR POR ETAPA</t>
  </si>
  <si>
    <t>INTERVENTORÍA</t>
  </si>
  <si>
    <t>RECURSOS TOTALES</t>
  </si>
  <si>
    <t>DISPONIBLES</t>
  </si>
  <si>
    <t>EJECUCIÓN DE REVISIÓN, AJUSTE Y COMPLEMENTACIÓN A ESTUDIOS, DISEÑOS Y CONSTRUCCIÓN Y PUESTA EN FUNCIONAMIENTO DE LOS PARQUEADEROS, ESPACIO PÚBLICO Y MEJORAMIENTO DEL COLEGIO RODRIGO LARA BONILLA, EN EL MUNICIPIO DE NEIVA, DEPARTAMENTO DE HUILA</t>
  </si>
  <si>
    <r>
      <t>ETAPA I:</t>
    </r>
    <r>
      <rPr>
        <sz val="10"/>
        <color theme="1"/>
        <rFont val="Arial Narrow"/>
        <family val="2"/>
      </rPr>
      <t xml:space="preserve"> Revisión, ajustes y complementación de Estudios y diseños.</t>
    </r>
  </si>
  <si>
    <r>
      <t xml:space="preserve">ETAPA II: </t>
    </r>
    <r>
      <rPr>
        <sz val="10"/>
        <color theme="1"/>
        <rFont val="Arial Narrow"/>
        <family val="2"/>
      </rPr>
      <t>Ejecución de obra</t>
    </r>
  </si>
  <si>
    <t>TOTAL DEL PROYECTO</t>
  </si>
  <si>
    <t>VALOR TOTAL DEL PROYECTO (A+B)</t>
  </si>
  <si>
    <t>Valor Mínimo de la Etapa</t>
  </si>
  <si>
    <t>Valor Máximo de la Etapa</t>
  </si>
  <si>
    <t>VALOR TOTAL OBRA E INTERV.</t>
  </si>
  <si>
    <r>
      <t>ETAPA I:</t>
    </r>
    <r>
      <rPr>
        <sz val="10"/>
        <color theme="1"/>
        <rFont val="Arial Narrow"/>
        <family val="2"/>
      </rPr>
      <t xml:space="preserve"> Revisión, ajustes y complementación de Estudios y diseños. (Incluye IVA 19%)</t>
    </r>
  </si>
  <si>
    <r>
      <t xml:space="preserve">Hasta la suma de  $  </t>
    </r>
    <r>
      <rPr>
        <sz val="9"/>
        <color rgb="FFFF0000"/>
        <rFont val="Arial Narrow"/>
        <family val="2"/>
      </rPr>
      <t>39.955.380</t>
    </r>
  </si>
  <si>
    <r>
      <t xml:space="preserve">ETAPA II: </t>
    </r>
    <r>
      <rPr>
        <sz val="10"/>
        <color theme="1"/>
        <rFont val="Arial Narrow"/>
        <family val="2"/>
      </rPr>
      <t>Ejecución de obra (Incluye IVA sobre utilidad y A.I.U)</t>
    </r>
  </si>
  <si>
    <t>TOTAL PRESUPUESTO ESTIMADO–PE</t>
  </si>
  <si>
    <t xml:space="preserve"> (Etapa I + Etapa II)</t>
  </si>
  <si>
    <t>ÁREA</t>
  </si>
  <si>
    <r>
      <t xml:space="preserve">Hasta la suma de  $  </t>
    </r>
    <r>
      <rPr>
        <sz val="9"/>
        <color rgb="FFFF0000"/>
        <rFont val="Arial Narrow"/>
        <family val="2"/>
      </rPr>
      <t>1.311.180.234</t>
    </r>
  </si>
  <si>
    <t>Hasta la suma de $  1.351.135614</t>
  </si>
  <si>
    <t>GOB RDA</t>
  </si>
  <si>
    <t>ADOQUIN VEHICULAR EN CONCRETO</t>
  </si>
  <si>
    <t>PARQUEADERO GENERAL COLEGIO ADOQUIN VEHICULAR EN CONCRETO</t>
  </si>
  <si>
    <t>ADOQUIN CONCRETO ECOLÓGICO -GRAMOQUIN</t>
  </si>
  <si>
    <t>CAÑUELA EN CONCRETO DE 20,7 Mpa E=0,10: H=0,40 A= 0,30 M SIN TAPA</t>
  </si>
  <si>
    <t>RDA</t>
  </si>
  <si>
    <t>CALI</t>
  </si>
  <si>
    <t>EL MERO SUMINISTRO E INSTALACIÓN SUPERA LOS 52800 M3</t>
  </si>
  <si>
    <t>INCLUYE DISPOSICIÓN</t>
  </si>
  <si>
    <t>A COMO EL MATERIAL Y DISTANCIA DE ACARREO (RDA M3 A 56000)</t>
  </si>
  <si>
    <t xml:space="preserve">SARDINEL EN CONCRETO DE 20,7 Mpa  0,03 M3/ML </t>
  </si>
  <si>
    <t>LOCALIZACIÓN, REPLANTEO Y NIVELACIÓN TOPOGRAFICA</t>
  </si>
  <si>
    <t>PRESUPUESTO FASE 4 COLEGIO RODRIGO LARA BONILLA-PARQUEADERO</t>
  </si>
  <si>
    <t>CALI 2016</t>
  </si>
  <si>
    <t>EMPRADIZACIÓN CON PRDO TRENZA</t>
  </si>
  <si>
    <t>INVIAS</t>
  </si>
  <si>
    <t>INSTALACIÓN DE ACOMETIDA ELECTRICA PARQUEADEROS</t>
  </si>
  <si>
    <t>NO TENGO CONTRA QUE COMPARAR</t>
  </si>
  <si>
    <t>PUERTA ACCESO PARQUEADERO METALICA  ACCESO PARQUEADERO VEHICULAR IGUAL A LA EXISTENTE DE 6,00 * 3,00 MTS FABRICADA EN TUBO REDONDO AN 3 MM DE ESPESOR, 4" DIAMETRO Y VERTICALES EN TUBERIA RECTANGULAR DE 22 * 1 " CALIBRE 18  GUIA EN ANGULO DE 1 1/2" *3/16" Y PINTADA EN ANTICORROSIVO Y ESMALTE ROJO</t>
  </si>
  <si>
    <t>invias a $ 81,000 a 1 Km, a 8Km saldría a $93,150</t>
  </si>
  <si>
    <t>$14200 m3,  botando a 1 Km. Si lo boto a 5 Km me cuesta $21.150</t>
  </si>
  <si>
    <t>SARDINEL PREFABRICADO EN CONCRETO, INCLUYE LA PREPARACIÓN DE LA SUPERFICIE DE APOYO</t>
  </si>
  <si>
    <t>LOS CONCRETOS GENERALMENTE SE PAGAN POR M3, EL PRECIO ESTA POR ENCIMA DEL PROMEDIO</t>
  </si>
  <si>
    <t>estaría acorde y que la diferencia es que tiene doble malla</t>
  </si>
  <si>
    <t>CONCRETO ACCESO PARQUEADERO MR = 4.1MPA - ZONA DE DESACELERACIÓN ESPESOR 0,15 M; INCLUYE MALLA ELECTROSOLDADA</t>
  </si>
  <si>
    <t>ILUMINACION PARQUEADEROS INCLUYE LUMINARIAS Y POSTES DE H= 4 M</t>
  </si>
  <si>
    <t>el costo lo representa el M de tubo</t>
  </si>
  <si>
    <t>FINDETER SIN TAPA $297,000</t>
  </si>
  <si>
    <t>SUMINISTRO E INSTALACIÓN DE ARENA PARA TAPE-TUBERÍA</t>
  </si>
  <si>
    <t>ESTA OK</t>
  </si>
  <si>
    <t>SE REQUIERE LA ESPECIFICACIÓN (TIPO FOTO)</t>
  </si>
  <si>
    <t>TOPELLANTAS EN CONCRETO DE 0,15*0,15*0,40</t>
  </si>
  <si>
    <t>CERRAMIENTO PERIMETRAL CON VIGA CORRIDA DE 0,20*0,40 Y ZAPATAS, INCLUYE ORNAMENTACIÓN</t>
  </si>
  <si>
    <t>POMPEYANO EN CONCRETO EN ACCESO PARQUEADERO ZONA DE DESACELERCIÓN, INCLUYE DOBLE MALLA ELECTROSOLDADA. 2 UNIDADES DE DIMENSIONES DE 4*4</t>
  </si>
  <si>
    <t>VIGAS DE CONFINAMIENTO (ZONA DE GRAMOQUIN Y ADOQUIN)</t>
  </si>
  <si>
    <t>EXCAVACIÓN MECANICA PARQUEADERO INCLUYE CARGUE, TRANSPORTE, Y DISPOSICIÓN FINAL (H =0,50 M)</t>
  </si>
  <si>
    <t xml:space="preserve">IDU </t>
  </si>
  <si>
    <t>GRAMOQUIN PARQUEADERO GENERAL COLEGIO INCLUYE TODOS LOS INSUMOS PARA SU INSTALACIÓN ARENA DE NIVELACIÓN Y ARENA DE SELLO</t>
  </si>
  <si>
    <t>ADOQUIN VEHICULAR DE 0,2*0,1*0,06 EN CONCRETO PARA EL PARQUEADERO DEL COLEGIO, INCLUYE TODOS LOS INSUMOS PARA SU INSTALACIÓN, INCLUYE ARENA DE NIVELACIÓN Y ARENA DE SELLO</t>
  </si>
  <si>
    <t xml:space="preserve">CAÑUELA DESAGUE EN CONCRETO DE 20,7 MPA INCLUYE TODOS LOS INSUMOS PARA SU INSTALACIÓN </t>
  </si>
  <si>
    <t>SUMINISTRO E INSTALACIÓN DE TIERRA ABONADA Y SEMILLA DE GRAMA ZONA DE GRAMOQUIN</t>
  </si>
  <si>
    <t>IDU</t>
  </si>
  <si>
    <t>CAÑUELA PREFABRICADA A 120</t>
  </si>
  <si>
    <t>idu a 62,000</t>
  </si>
  <si>
    <t>idu a 60,100</t>
  </si>
  <si>
    <t>????</t>
  </si>
  <si>
    <t>IDU depoendiendo del RDE el costo varía desde  $57,000 ml hasta $102,000</t>
  </si>
  <si>
    <t xml:space="preserve">SUMINISTRO E INSTALACIÓN DE DESAGUES PARQUEADERO TUBERIA PVC 8" PARED ESTRUCTURAL </t>
  </si>
  <si>
    <t>el valor Anotado de $4,371 lo traje de los precios Findeter de otro proyecto</t>
  </si>
  <si>
    <t xml:space="preserve">
Lista oficial de precios unitarios fijos de Obra Pública y de ...www.datos.gov.co </t>
  </si>
  <si>
    <t>CAJA DE INSPECCIÓN DE 1,00x1,00x1,00m, EN CONCRETO DE 17,2MPA; TAPA REFORZADA EN CONCRETO DE 20,7 MPA, PARA AGUAS LLUVIAS</t>
  </si>
  <si>
    <t>Area efectiva parqueaderos</t>
  </si>
  <si>
    <t>Area zonas verdes</t>
  </si>
  <si>
    <t>Area de acceso o salida parqueaderos</t>
  </si>
  <si>
    <t>Area de anden en parqueaderos</t>
  </si>
  <si>
    <t>Longitud cerramiento (m)</t>
  </si>
  <si>
    <t>Cantidades Medidas en Planos</t>
  </si>
  <si>
    <t>3.1.</t>
  </si>
  <si>
    <t>sardinel</t>
  </si>
  <si>
    <t>area concreto acceso</t>
  </si>
  <si>
    <t>(a lo largo)</t>
  </si>
  <si>
    <t>ancho</t>
  </si>
  <si>
    <t>linea exterior parqueadero</t>
  </si>
  <si>
    <t>linea interiro sin parqueo</t>
  </si>
  <si>
    <t>vigas de confinamiento</t>
  </si>
  <si>
    <t>viga perimetral zona parqueaderos</t>
  </si>
  <si>
    <t>CARCAMO PREFABRICADO EN CONCRETO PARQUEADERO  35*40*100, INCLUYE REJILLA EN CONCRETO INCLUYE EXCAVACIÓN</t>
  </si>
  <si>
    <t>PAISAJISMO-ZONAS VERDES</t>
  </si>
  <si>
    <t>VR.UNITARIO 
2021
INCREMENTO CON IPC</t>
  </si>
  <si>
    <t>VR. TOTAL 
2021</t>
  </si>
  <si>
    <t>VR. TOTAL
2021</t>
  </si>
  <si>
    <t>Cantidad inicial</t>
  </si>
  <si>
    <t>Cantidad según planos</t>
  </si>
  <si>
    <t>VR. UNITARIO
Inicial</t>
  </si>
  <si>
    <t>VR. TOTAL
Inicial</t>
  </si>
  <si>
    <t>CANTIDAD
INICIAL</t>
  </si>
  <si>
    <t xml:space="preserve">RECUBRIMIENTO DE COLUMNA EN MAMPOSTERÍA </t>
  </si>
  <si>
    <t>REPLANTEO Y LOCALIZACIÓN TOPOGRAFICA</t>
  </si>
  <si>
    <t>EXCAVACIÓN MANUAL, NIVELACIÓN Y COMPACTACIÓN CON MATERIAL DE SUBBASE</t>
  </si>
  <si>
    <t xml:space="preserve">DESMONTE SUPERBOARD COLUMNA COSTADO NORTE ZONA A </t>
  </si>
  <si>
    <t>SUMINISTRO E INSTALACIÓN DE MAMPOSTERIA H:2 M</t>
  </si>
  <si>
    <t>PRECIO UNITARIO</t>
  </si>
  <si>
    <t>H: aprox. 0,15 cm</t>
  </si>
  <si>
    <t>ACCESO ESTUDIANTES CIRCULACIÓN CONCRETO ESCOBIADO E=0,15M INCLUYE ACERO DE REFUERZO Y DILATACIÓN</t>
  </si>
  <si>
    <t>ILUMINACION ZONA DE ACCESO INCLUYE POSTES (CON BASE), LUMINARIAS Y RED DE CONEXIÓN</t>
  </si>
  <si>
    <t>ASEO Y LIMPIEZA</t>
  </si>
  <si>
    <t>GL</t>
  </si>
  <si>
    <t>SUBBASE GRANULAR COMPACTADA PARQUEADERO 0,35 M</t>
  </si>
  <si>
    <t xml:space="preserve">ANDEN PEATONAL CONCRETO ESCOBIADO E=0,15M INCLUYE ACERO DE REFUERZO </t>
  </si>
  <si>
    <t>LAMINA MICROPERFORADA CERRAMIENTO</t>
  </si>
  <si>
    <t xml:space="preserve">PAÑETE </t>
  </si>
  <si>
    <t>PINTURA</t>
  </si>
  <si>
    <t>GUARDAESCOBAS</t>
  </si>
  <si>
    <t>DESMONTE DE BEBEDEROS</t>
  </si>
  <si>
    <t>MOBILIARIO (CANECAS)</t>
  </si>
  <si>
    <t>INSTALACIÓN DE BEBEDEROS</t>
  </si>
  <si>
    <t>MOBILIARIO (BANCA)</t>
  </si>
  <si>
    <t>AREA BAHIA</t>
  </si>
  <si>
    <t>B.</t>
  </si>
  <si>
    <t xml:space="preserve">VALOR DE LA ETAPA SIN IVA </t>
  </si>
  <si>
    <t>B</t>
  </si>
  <si>
    <t>C</t>
  </si>
  <si>
    <t>VALOR DEL TOTAL DE LA PROPUESTA (A+B)</t>
  </si>
  <si>
    <t>INTERVENTORÍA INTEGRAL (ADMINISTRATIVA, FINANCIERA, CONTABLE, AMBIENTAL, SOCIAL, JURÍDICA Y TÉCNICA) A LA REVISIÓN, AJUSTE Y COMPLEMENTACIÓN DE ESTUDIOS, DISEÑOS Y CONSTRUCCIÓN DEL ACCESO (INCLUYE PARQUEADERO) Y OBRAS DE REHABILITACIÓN DE LAS ÁREAS DE CIRCULACIÓN INTERNAS DEL BLOQUE A DEL COLEGIO RODRIGO LARA BONILLA EN EL MUNICIPIO DE NEIVA, DEPARTAMENTO DEL HUILA</t>
  </si>
  <si>
    <t xml:space="preserve">FUENTE DE RECURSOS </t>
  </si>
  <si>
    <t xml:space="preserve">VALOR DISPONIBLE </t>
  </si>
  <si>
    <t>Recursos sin comprometer de la contrapartida del Mpio de Neiva</t>
  </si>
  <si>
    <t>Saldo a favor del Patrimonio conforme acta de liquidación PAF-EUC-O-047-2017 (Contrato de obra de la Fase 3 del Colegio Rodrigo Lara Bonilla)</t>
  </si>
  <si>
    <t>Recursos Liberados por concepto de aplicación Clausula Penal de apremio PAF-EUC-018-2015 (Contrato de obra Etapa 3 del Colegio Rodrigo Lara Bonilla</t>
  </si>
  <si>
    <t>Contrato de obra Fase IV</t>
  </si>
  <si>
    <t>Contrato de Inverventoría Fase IV</t>
  </si>
  <si>
    <t>VALOR</t>
  </si>
  <si>
    <t>VALOR TOTAL REQUERIDO FASE IV</t>
  </si>
  <si>
    <t>VALOR A UTILIZAR</t>
  </si>
  <si>
    <t>VALOR TOTAL A UTILIZAR FASE IV</t>
  </si>
  <si>
    <t>VALOR REQUERIDO </t>
  </si>
  <si>
    <t>FUENTE DE RECURSOS</t>
  </si>
  <si>
    <t>TOTAL</t>
  </si>
  <si>
    <t>MUNICIPIO DE NEIVA</t>
  </si>
  <si>
    <t>Clausula Penal contrato PAF-EUC-018-2015</t>
  </si>
  <si>
    <t xml:space="preserve">saldo liberado en la liquidación contrato PAF-EUC-O-047-2017 </t>
  </si>
  <si>
    <t>Contrato de Interventoría Fase IV</t>
  </si>
  <si>
    <t>VALOR TOTAL REQUERIDO PARA FASE IV</t>
  </si>
  <si>
    <t>VALOR DEL IVA ETAPA 1 (19 %)</t>
  </si>
  <si>
    <t>COSTO TOTAL OBRA (VALOR DIRECTO OBRA + VALOR COSTOS INDIRECTOS)</t>
  </si>
  <si>
    <t xml:space="preserve"> VALOR TOTAL DE LA OFERTA ECONOMICA (A+B)</t>
  </si>
  <si>
    <r>
      <t xml:space="preserve">  ETAPA I:</t>
    </r>
    <r>
      <rPr>
        <sz val="9"/>
        <color rgb="FF000000"/>
        <rFont val="Arial Narrow"/>
        <family val="2"/>
      </rPr>
      <t xml:space="preserve"> INTERVENTORÍA REVISIÓN, AJUSTE Y COMPLEMENTACIÓN A LOS ESTUDIOS Y DISEÑOS, OBTENCIÓN DE LICENCIAS Y PERMISOS</t>
    </r>
  </si>
  <si>
    <r>
      <t xml:space="preserve">ETAPA II: </t>
    </r>
    <r>
      <rPr>
        <sz val="9"/>
        <color rgb="FF000000"/>
        <rFont val="Arial Narrow"/>
        <family val="2"/>
      </rPr>
      <t>INTERVENTORÍA A LA CONSTRUCCIÓN, PUESTA EN FUNCIONAMIENTO Y PROCESO DE CIERRE CONTRACTUAL</t>
    </r>
  </si>
  <si>
    <t>VALOR IVA (19%)</t>
  </si>
  <si>
    <t>VALOR TOTAL ETAPA</t>
  </si>
  <si>
    <t>2. ETAPA II. EJECUCION DE OBRA</t>
  </si>
  <si>
    <t>1. ETAPA I. REVISIÓN DE ESTUDIOS Y DISEÑOS</t>
  </si>
  <si>
    <t>REVISIÓN DE ESTUDIOS Y DISEÑOS</t>
  </si>
  <si>
    <t xml:space="preserve">VALOR TOTAL ETAPA DE  REVISIÓN DE ESTUDIOS Y DISEÑOS. (IVA INCLUIDO) </t>
  </si>
  <si>
    <t>PRELIMINARES</t>
  </si>
  <si>
    <t>“ADECUACION, REMODELACION DE LAS INSTALACIONES DEL CCD EN EL CENTRO DE ALTO RENDIMIENTO EN BOGOTA ”</t>
  </si>
  <si>
    <t>1.1</t>
  </si>
  <si>
    <t xml:space="preserve">Trazado y replanteo manual, al interior de areas a intervenir </t>
  </si>
  <si>
    <t>1.2</t>
  </si>
  <si>
    <t>Desmonte y limpieza de maleza en sitio, incluye retiro de sobrantes a sitio autorizado</t>
  </si>
  <si>
    <t>1.3</t>
  </si>
  <si>
    <t xml:space="preserve">Demolición de muros de mampostería e= 0.12 y 0.15 m,  para aperturas de vanos. Incluye resanes remates y acabados de nuevos filos, retiro y disposición final de sobrantes a sitios autorizados </t>
  </si>
  <si>
    <t>1.4</t>
  </si>
  <si>
    <t xml:space="preserve">Desmonte de piso en caucho vinisol  retiro y disposición final de sobrantes a sitios autorizados </t>
  </si>
  <si>
    <t>1.5</t>
  </si>
  <si>
    <t xml:space="preserve">Demolición de enchape existente en piso  en baños  actual donde se requiera, retiro y disposición final de sobrantes a sitios autorizados </t>
  </si>
  <si>
    <t>1.6</t>
  </si>
  <si>
    <t xml:space="preserve">Desmonte y retiro de lavamanos corridos  y accesorios de baño de incrustar, incluye retiro de sobrantes y disposición final , long . de 2.40 mts </t>
  </si>
  <si>
    <t>1.7</t>
  </si>
  <si>
    <t xml:space="preserve">Desmonte y retiro de  sanitarios , incluye sellamiento de puntos hidrosanitarios,  incluye retiro de sobrantes y disposición final . </t>
  </si>
  <si>
    <t>1.8</t>
  </si>
  <si>
    <t xml:space="preserve">Desmonte y retiro de  lavamanos decolgar  , incluye sellamiento de puntos hidrosanitarios,  incluye retiro de sobrantes y disposición final . </t>
  </si>
  <si>
    <t>1.9</t>
  </si>
  <si>
    <t xml:space="preserve">Desmonte y retiro de   orinales, incluye sellamiento de puntos hidrosanitarios,  incluye retiro de sobrantes y disposición final . </t>
  </si>
  <si>
    <t>1.10</t>
  </si>
  <si>
    <t xml:space="preserve">Desmonte e instalacion  de tubería de gas de 2 pulgadas a la vista.  </t>
  </si>
  <si>
    <t>1.11</t>
  </si>
  <si>
    <t>Desmonte y retiro canaletas e instalaciones eléctricas en desuso,  incluye retiro de sobrantes y disposición final .</t>
  </si>
  <si>
    <t>1.12</t>
  </si>
  <si>
    <t xml:space="preserve">Desmonte y retiro de paneles divisorios piso techos de oficina, incluye perfilaría metálica, puertas y vidrios,  incluye retiro de sobrantes y disposición final . h: 1.5 hasta 2,50 </t>
  </si>
  <si>
    <t>1.13</t>
  </si>
  <si>
    <t>Desmonte y retiro de mobiliario en madera dentro de las oficinas incluye las gabetas 2.5 *0.6 altura de 0.6</t>
  </si>
  <si>
    <t>1.14</t>
  </si>
  <si>
    <t>Desmonte y retiro de puerta metálica persiana en area de caldera de 1,35 m x 3,43 m de altura, incluye retiro de marcos , resanes y acabados de filos.</t>
  </si>
  <si>
    <t>1.15</t>
  </si>
  <si>
    <t>Desmonte y retiro de canal galvanizada de aguas lluvias incluye la bajante  lon 15 mts x 0.50 desarrollo</t>
  </si>
  <si>
    <t>1.16</t>
  </si>
  <si>
    <t xml:space="preserve">Desmonte de ventana , incluye marco , incluye trasiego interno </t>
  </si>
  <si>
    <t>1.17</t>
  </si>
  <si>
    <t>Desmonte de cerchas y/o perfiles metalicos a nivel de cubierta.</t>
  </si>
  <si>
    <t>1.18</t>
  </si>
  <si>
    <t>Desmonte y retiro de espejo existente en área de baños , incluye tasiego y disposición final</t>
  </si>
  <si>
    <t>1.19</t>
  </si>
  <si>
    <t>Desmonte y retiro de puerta metálica  en baños  incluye retiro de marcos , resanes y acabados de filos. Cantidad - 8 puertas. Ancho entre 0,70; 0.8 y 1.60 m y altura de 2.10</t>
  </si>
  <si>
    <t>1.20</t>
  </si>
  <si>
    <t>Desmonte y retiro de divisiones  en vidrio en oficinas , incluye retiro de elementos de anclaje, resanes y acabados de filos. Cantidad - 18 divisiones, ancho entre 1,20,  1,5 , 0.90 y altura variable entre 2,10 y 2,20</t>
  </si>
  <si>
    <t>1.21</t>
  </si>
  <si>
    <t>Demolicion manual de elementos en concreto reforzado, incluye vigas, columnas, dinteles apoyos, canales, riostras , alfajias,  muros en concreto , placas y demas. incluye teriso de sobrantes y disposicion final a stio autorizado</t>
  </si>
  <si>
    <t>1.22</t>
  </si>
  <si>
    <t>Regata e = entre 5cm a 10 cm y ancho entre 10 y 20 ccm, incluye trasiego y disposición final</t>
  </si>
  <si>
    <t>1.23</t>
  </si>
  <si>
    <t>Resane piso y muro</t>
  </si>
  <si>
    <t>1.24</t>
  </si>
  <si>
    <t>Desmonte de cielorrasos con estructura en perfilería en aluminio o galvanizada y lamina acrílica o yeso, incluye trasiego interno y disposición final.</t>
  </si>
  <si>
    <t>1.25</t>
  </si>
  <si>
    <t xml:space="preserve">Desmonte de puertas en oficinas de 0.70x 2.20 incluye trasiego y disposicion final a sitios autorizados </t>
  </si>
  <si>
    <t>1.26</t>
  </si>
  <si>
    <t xml:space="preserve">Desmonte de media cañas en granito en baños  incluye trasiego y disposicion final a sitios autorizados </t>
  </si>
  <si>
    <t>1.27</t>
  </si>
  <si>
    <t xml:space="preserve">Retiro de chimenea area de caldera Long : 15,00 ml </t>
  </si>
  <si>
    <t>1.28</t>
  </si>
  <si>
    <t>Desmonte e instalacion y mantenimeinto de cubierta en teja termoacustica  con estructura  area de caldera.</t>
  </si>
  <si>
    <t>1.29</t>
  </si>
  <si>
    <t xml:space="preserve">Desmonte de puertas metalicas corrediza con  rieles incluye trasiego y disposicion final 1,80 X 2.20 </t>
  </si>
  <si>
    <t xml:space="preserve">UND </t>
  </si>
  <si>
    <t>1.30</t>
  </si>
  <si>
    <t xml:space="preserve">Desmonte y retiro de archivos en  oficinas de los corredores 2.20altura  x 2,00 de largo   x1,60 de ancho </t>
  </si>
  <si>
    <t>1.31</t>
  </si>
  <si>
    <t>Desmonte y retiro de puerta persiana con marco area de  RACK 0,80x2,20</t>
  </si>
  <si>
    <t>1.32</t>
  </si>
  <si>
    <t xml:space="preserve">Retiro de pintura en vinilo y estuco con pulidora sobre muro curvo </t>
  </si>
  <si>
    <t>1.33</t>
  </si>
  <si>
    <t>Retiro  de texturizado ( esgrafiado ) con pulidora area   actual en cielo raso bajo losa de oficinas ,  baños y Hall</t>
  </si>
  <si>
    <t>1.34</t>
  </si>
  <si>
    <t xml:space="preserve">Desmonte de puerta doble area de corredor ( Paraolimpico ) 2.35x 2.00 </t>
  </si>
  <si>
    <t xml:space="preserve">DESMONTAJE DE EQUPIOS EN CALDERA </t>
  </si>
  <si>
    <t>2.1</t>
  </si>
  <si>
    <t xml:space="preserve">Desmontaje de los siguientes equipos: 
- Dos calderas pirobulares GN/acpm
- Un tanque de condensados
- Un distribuidor de vapor
- Dos tanques verticales
- Un depósito de combustible de ACPM
- Un juego de bombas
  Tubería galvanizada  EMT 
- Dos días de trabajo de desarme con un siso, un supervisor y cinco auxiliares
- Suministro de grúa por un día para retirar los equipos mencionados del sitio actual y ubicarlos en           un sitio contiguo
- No se incluye ningún suministro
- El cuarto de calderas libre de techo para que la grúa pueda izar los equipos allí contenidos
- La oferta incluye tres (3) días hábiles, con jornadas de máximo 10 horas cada uno. 
</t>
  </si>
  <si>
    <t>ELEMENTOS EN CONCRETO</t>
  </si>
  <si>
    <t>3.1</t>
  </si>
  <si>
    <t>Columnetas en concreto 3000psi para confinamiento en vanos de muros incluye refuerzo</t>
  </si>
  <si>
    <t>3.2</t>
  </si>
  <si>
    <t xml:space="preserve">Suministro e instalacion de Solado de limpieza en  concreto de 2500 psi espesor 0.05 mts,  </t>
  </si>
  <si>
    <t>3.3</t>
  </si>
  <si>
    <t>Suministro e instalacion placa de contrapiso e=8cm en concreto 3000psi, incluye malla electrosoldad</t>
  </si>
  <si>
    <t>3.4</t>
  </si>
  <si>
    <t>Suministro e instalacion de viga de cimentacion en concreto de 3000 psi incluye formaleta , vibrado , curado refuerzo de 60000 libras 0.3*0,3</t>
  </si>
  <si>
    <t>3.5</t>
  </si>
  <si>
    <t xml:space="preserve">Suministro e instalacion de viga dintel en concreto de 3000 psi incluye formaleta , vibrado ,curado  , refuerzo del 60000psi de 0,12*0,12 </t>
  </si>
  <si>
    <t>SENDERO PETAONAL</t>
  </si>
  <si>
    <t>4.1</t>
  </si>
  <si>
    <t>Suministro, construccion e instalacion de placa en concreto reforzado de 3000 psi  prefabricada esp: 0.15 para cubierta en sendero petaonal para acceso a las calderas, conservando diseño existente.</t>
  </si>
  <si>
    <t xml:space="preserve">Suministro y construccion de pedestal  en concreto 3000 psi  reforzado para cubierta en sendero petaonal para acceso a las calderas, conservando diseño existente. h=0.50 y diametro de 0.40 mts </t>
  </si>
  <si>
    <t>4.3</t>
  </si>
  <si>
    <t>Suministro y construccion de Zapatas  en concreto 3000 psi  reforzado para cubierta en sendero petaonal para acceso a las calderas, conservando diseño existente. 0.8x0.30 mts.</t>
  </si>
  <si>
    <t xml:space="preserve">EXCAVACIONES Y RELLENOS  </t>
  </si>
  <si>
    <t>5.1</t>
  </si>
  <si>
    <t xml:space="preserve">Excavación manual en terreno natural para vigas de cimentacion y carcamo H= 0,00m - 0,50m, Ancho máximo de 0,50 m Incluye retiro de Sobrantes a Sitio autorizado por la CCD </t>
  </si>
  <si>
    <t>5.2</t>
  </si>
  <si>
    <t xml:space="preserve">Relleno en material seleccionado compactado a 80 % para nivelacion pisos esp 0,30 mts </t>
  </si>
  <si>
    <t>5.3</t>
  </si>
  <si>
    <t xml:space="preserve">Excavación manual para zapatas  en terreno natural 0,80 * 0,80 * 0.8  incluye retiro de sobrante a sitio autorizado por el CCD , incluye cajas de inspeccion </t>
  </si>
  <si>
    <t>MUROS LIVIANOS Y MAMPOSTERÍA</t>
  </si>
  <si>
    <t>Suministro  e  instalacion  de  Muros  divisorios  en  Superboard,  e=0.12cm,  doble  cara, Incluye  estructura  portante,  suministro  e  instalación  laminas  Superboard  de  espesor 8mm, masillado, sellado y pintura en vinilo tipo I a dos manos, remates lineales (filos y dilataciones)  frescaza,  interior  y  todos  los  demás  elementos  necesarios  para  su correcta instalación y funcionamiento.</t>
  </si>
  <si>
    <t>Suministro  e  instalacion  de  Muros  divisorios  en  DRYWALL,  e=0.12cm,  doble  cara, Incluye  estructura  portante,  suministro  e  instalación  laminas  Superboard  de  espesor 8mm, masillado, sellado y pintura en vinilo tipo I a dos manos, remates lineales (filos y dilataciones)  frescaza,  interior  y  todos  los  demás  elementos  necesarios  para  su correcta instalación y funcionamiento.</t>
  </si>
  <si>
    <t>Suministro  e  instalacion  de  Muros  divisorios  en  DRYWALL,  e=0.12cm, una cara, Incluye  estructura  portante,  suministro  e  instalación  laminas  Superboard  de  espesor 8mm, masillado, sellado y pintura en vinilo tipo I a dos manos, remates lineales (filos y dilataciones)  frescaza,  interior  y  todos  los  demás  elementos  necesarios  para  su correcta instalación y funcionamiento.</t>
  </si>
  <si>
    <t>Suministro  e  instalacion  de  Muros  divisorios  en  Superboard,  e=0.12cm, una cara, Incluye  estructura  portante,  suministro  e  instalación  laminas  Superboard  de  espesor 8mm, masillado, sellado y pintura en vinilo tipo I a dos manos, remates lineales (filos y dilataciones)  frescaza,  interior  y  todos  los  demás  elementos  necesarios  para  su correcta instalación y funcionamiento.</t>
  </si>
  <si>
    <t>PINTURAS Y PAÑETES</t>
  </si>
  <si>
    <t>7.1</t>
  </si>
  <si>
    <t xml:space="preserve">Pintura en vinilo tipo I a tres manos  color blanco incluye suministro  equipos y mano de obra  </t>
  </si>
  <si>
    <t>7.2</t>
  </si>
  <si>
    <t xml:space="preserve">Pintura epóxica industrial a dos manos, color blanco y/o similar incluye cielo raso, muro y áreas  donde se requiera. Calidad certificada </t>
  </si>
  <si>
    <t>7.3</t>
  </si>
  <si>
    <t>suministro e instalación de Estuco plástico</t>
  </si>
  <si>
    <t>7.4</t>
  </si>
  <si>
    <t xml:space="preserve">Pañete liso impermeabilizado 1:3 de +/- 2.5  cm de espesor, incluye remates lineales, filos y dilataciones, para áreas donde se requiera. ( incluye muros) </t>
  </si>
  <si>
    <t>7.5</t>
  </si>
  <si>
    <t>Suministro e Instalación de Esquinero en pvc de 1"</t>
  </si>
  <si>
    <t>7.6</t>
  </si>
  <si>
    <t>Suministro e instalación de win  de aluminio.</t>
  </si>
  <si>
    <t>7.7</t>
  </si>
  <si>
    <t>Suministro e instalacion Pintura tipo koraza para facahadas</t>
  </si>
  <si>
    <t>7.8</t>
  </si>
  <si>
    <t xml:space="preserve">Pintura anticorrosiva DOS MANOS sobre la estructura metalica cubierta sendero peatonal o rrecorido del CCD </t>
  </si>
  <si>
    <t>7.9</t>
  </si>
  <si>
    <t>Pintura EN ESMALTE PARA  ACABADO DOS MANOS sobre la estructura metalica cubierta sendero peatonal o rrecorido del CCD, de acuerdo al diseño actual</t>
  </si>
  <si>
    <t xml:space="preserve">ML </t>
  </si>
  <si>
    <t>ENCHAPES MUROS Y PISOS</t>
  </si>
  <si>
    <t>8.1</t>
  </si>
  <si>
    <t xml:space="preserve">Suministro e instalación de enchape cerámico tipo egeo  o equivalente en muros,  formato 0.30x0.60,o equivalente, color blanco, incluye remates y todo lo necesario para su correcta instalación. Áreas de baños, lavados, aguas y cuarto de aseo. pocetas </t>
  </si>
  <si>
    <t>8.2</t>
  </si>
  <si>
    <t xml:space="preserve">Suministro e instalación de piso cerámico en baños,  o equivalente color blanco, formato 0.3x0.6, incluye remates y todo lo necesario para su correcta instalación. Áreas: de lavado limpio, baños,, cuartos de aseo </t>
  </si>
  <si>
    <t>8.3</t>
  </si>
  <si>
    <t xml:space="preserve">Suministro e instalación de piso cerámico antideslizante en pasillos y corredores ,  o equivalente color blanco, formato 0.3x0.6, incluye remates y todo lo necesario para su correcta instalación. Áreas: de lavado limpio, baños,, cuartos de aseo </t>
  </si>
  <si>
    <t xml:space="preserve"> ALISTADOS Y PISOS</t>
  </si>
  <si>
    <t>9.1</t>
  </si>
  <si>
    <t xml:space="preserve">Preparación y alistado de piso para recibir enchape y/o revestimiento, incluye limpieza, alistado y nivelación de 2 a 5 cm. </t>
  </si>
  <si>
    <t>9.2</t>
  </si>
  <si>
    <t>Suministro e instalación de piso homogéneo en vinilo tipo rollo dos tonos blanco y azul con textura en granito, calibre 2 mm, de tráfico comercial / industrial. Debe ser resistente a la abrasión y químicos, retardante al fuego, bacteriostático, con durabilidad del color.</t>
  </si>
  <si>
    <t>9.3</t>
  </si>
  <si>
    <t xml:space="preserve">Media caña en granito pulido de 6 cm de radio incluye dilatacion metalica  destroncada pulida , brillada, en areas de lavados , aseo , pocetas , baños y zonas humedas donde se realicen intervenciones </t>
  </si>
  <si>
    <t>9.4</t>
  </si>
  <si>
    <t xml:space="preserve">Suministro e instalacion de media caña en pvc radio de 6 cmts incluye pegante adhesivo especial doble doble contacto para pisos y remate en sello con sika flex </t>
  </si>
  <si>
    <t xml:space="preserve"> CIELOS RASOS</t>
  </si>
  <si>
    <t>10.1</t>
  </si>
  <si>
    <t>Ventanilla de inspección en cielo raso. Incluye apertura ventanilla de 60*60 en cielo raso, refuerzo en estructura, marco en aluminio con pintura electrostática blanca y tapa en superborad con estuco y pintura de acabado en .</t>
  </si>
  <si>
    <t>10.2</t>
  </si>
  <si>
    <t>Cieloraso en Superboard, Incluye estructura portante, suministro e instalación laminas Superboard de espesor 8mm, masillado, sellado y pintura en vinilo tipo I a dos manos, remates lineales (filos y dilataciones) frescaza, interior y todos los demás elementos necesarios para su correcta instalación y funcionamiento.</t>
  </si>
  <si>
    <t xml:space="preserve">CUBIERTAS </t>
  </si>
  <si>
    <t>11.1</t>
  </si>
  <si>
    <t xml:space="preserve">Suministro e instalacion de canal galvanizada calibre 20 desarrollo de 500 mm incluye soporte y/o anclajes, pintura wash primer, anticorrosivo y pintura y esmalte para intemperie. incluye remate de fachada y bajante de 4" con sus respectivos soportes </t>
  </si>
  <si>
    <t>11.2</t>
  </si>
  <si>
    <t>Suministro e instalacion de cubiera en  lamina termoacustica. remates sobre  muros  y todos los elementos necesarios para su funcionamiento.</t>
  </si>
  <si>
    <t>11.3</t>
  </si>
  <si>
    <t xml:space="preserve">Suministro e instalacion de Estructura metalica  cerchas correas para cubierta en teja termoacustica </t>
  </si>
  <si>
    <t>kg</t>
  </si>
  <si>
    <t>11.4</t>
  </si>
  <si>
    <t>Suministro e instalacion domo acrilico en area de direccion  2.20 x 1,50</t>
  </si>
  <si>
    <t>11.5</t>
  </si>
  <si>
    <t>Suministro e instalación de flanches para cubierta y fachada elaborados en làmina cold rolled cal 18, desarrollo 60 cm.</t>
  </si>
  <si>
    <t xml:space="preserve">APARATOS SANITARIOS </t>
  </si>
  <si>
    <t>12.1</t>
  </si>
  <si>
    <t>Juego de accesorios de incrustar cromados, para baño de vestier, incluye toallero, jabonera y percha simple</t>
  </si>
  <si>
    <t>12.2</t>
  </si>
  <si>
    <t>Suministro e instalacion de orinales con fluxometro</t>
  </si>
  <si>
    <t>12.3</t>
  </si>
  <si>
    <t>Suministro e instalacion de sanitario tipo institucional con fluxometro. Para todos los baños</t>
  </si>
  <si>
    <t>12.4</t>
  </si>
  <si>
    <t>Suministro e instalacion de lavamanos, tipo marsella o equivalente. Incluyen griferia. Para baños independientes</t>
  </si>
  <si>
    <t>12.5</t>
  </si>
  <si>
    <t xml:space="preserve">Suministro e instalación mesón para lavamanos corrido en granito pulido  y accesorios de baño de incrustar, long de 2.40 mts. </t>
  </si>
  <si>
    <t>12.6</t>
  </si>
  <si>
    <t>Suministro e instalación de duchas , incluye griferia.</t>
  </si>
  <si>
    <t>12.7</t>
  </si>
  <si>
    <t xml:space="preserve">Suministro e instalación de duchas de emergencia </t>
  </si>
  <si>
    <t>12.8</t>
  </si>
  <si>
    <t xml:space="preserve">Suministro e instalación de pocetas en acero inoxidable de 50 x 60 cms </t>
  </si>
  <si>
    <t xml:space="preserve"> CARPINTERÍA METÁLICA , MADERA  Y VIDRIOS</t>
  </si>
  <si>
    <t>13.1</t>
  </si>
  <si>
    <t xml:space="preserve">Suministro e instalación de divisiones de vidrio  de 10 mm , similar a las existentes </t>
  </si>
  <si>
    <t>13.2</t>
  </si>
  <si>
    <t xml:space="preserve">Suministro   e   instalación   de   puertas de vidrio de 10 mm  incluye herrajes  y accesorios su normal funcionamiento </t>
  </si>
  <si>
    <t>13.3</t>
  </si>
  <si>
    <t>Suministro e instalación de película protectora de vidrios color oscuro filtro UV 30%, incluye retiro de película existente. Este ítem es para todas las ventanas de fachadas.</t>
  </si>
  <si>
    <t>13.4</t>
  </si>
  <si>
    <t>Suministro e instalación de puerta entamborada madecor triple  de 5mm , de 0.90 x 2.00 m. Incluye pintura , marco y cerraduras. Acorde a posibles cambios en sitio. Puertas internas</t>
  </si>
  <si>
    <t>13.5</t>
  </si>
  <si>
    <t>Suministro e instalación de puerta doble entamborada madecor triple de 5mm , de 1,80 x 2.00 m. Incluye pintura , marco y cerraduras. Acorde a posibles cambios en sitio. Puerta sala de reuniones y laboratorio fisiologia</t>
  </si>
  <si>
    <t>13.6</t>
  </si>
  <si>
    <t>Suministro e instalación de puerta doble,  metálica con pintura electroestática blanca, de 1.72 x 2.00 m, incluye marco, mirilla con vidrio templado de 8 mm. En area laboratorio de Fisiologia y circulaciónes y cafeteria</t>
  </si>
  <si>
    <t>13.7</t>
  </si>
  <si>
    <t>Suministro e instalación de puerta sencilla,  metálica con pintura electroestática blanca, de 1.18 x 2.00 m, incluye marco, mirilla con vidrio templado de 8 mm. En el corredor del laboratorio clinico</t>
  </si>
  <si>
    <t>13.8</t>
  </si>
  <si>
    <t>Suministro e instalación de puerta sencilla,  metálica con pintura electroestática blanca, de 1.10 x 2.00 m, incluye marco, mirilla con vidrio templado de 8 mm. En area de lavado de recipientes</t>
  </si>
  <si>
    <t>13.9</t>
  </si>
  <si>
    <t>Suministro e instalación de sistema de cerradura con barra antipánico a puerta existente. En area de acceso privado</t>
  </si>
  <si>
    <t>13.10</t>
  </si>
  <si>
    <t>Suministro e instalación de espejo con bordes biselados de 4 mm,  flotado. h=1,20m</t>
  </si>
  <si>
    <t>13.11</t>
  </si>
  <si>
    <t>Suministro e instalación de dispensador de rollo de papel y toallas de papel para manos en acero inoxidable, para baños.</t>
  </si>
  <si>
    <t>13.12</t>
  </si>
  <si>
    <t>Instalacion puerta persiana existente cuarto electrico según norma 2.20x0,80 m</t>
  </si>
  <si>
    <t>13.13</t>
  </si>
  <si>
    <t xml:space="preserve">Suministro e instalación de ventana fija en vidrio y aluminio, según diseño. Para corredor laboratorio clínico, en vidrio incoloro templado de 10 mm, incluye marco en aluminio blanca mate y demás accesorios para su correcta instalación. h= 2,50m
</t>
  </si>
  <si>
    <t>13.14</t>
  </si>
  <si>
    <t xml:space="preserve">Suministro e instalación de película, sandblasteado para ventaneria fija   en vidrio templado </t>
  </si>
  <si>
    <t>13.15</t>
  </si>
  <si>
    <t xml:space="preserve">Suministro e instalación Barras de seguridad para baños PMR 18" DE Ø 1 .1/4"  en acero inoxidable satinado segun plano arquitectonico </t>
  </si>
  <si>
    <t>13.16</t>
  </si>
  <si>
    <t>Suministro e instalación de divisiones entamborada en estructura metalica y lamina cold rolled calibre 18, con pintura electroestática y ancladas a muro. Para orinales, segun planos. h= 1,10</t>
  </si>
  <si>
    <t>13.17</t>
  </si>
  <si>
    <t>Suministro e instalación de divisiones de baños entamborada en estructura metalica y lamina cold rolled calibre 18, con pintura electroestática. Incluye puertas, según plano arquitectónico. h= 1,60</t>
  </si>
  <si>
    <t>13.18</t>
  </si>
  <si>
    <t xml:space="preserve">Suministro e instalación de puerta entamborada en estructura metalica y lamina cold rolled calibre 18, con pintura electroestática para baños de PMR de 1,10 x 1,80 segun planos </t>
  </si>
  <si>
    <t xml:space="preserve">ESTRUCTURA METALICA PARA PÉRGOLA SENDEDRO PEATONAL </t>
  </si>
  <si>
    <t>14.1</t>
  </si>
  <si>
    <t xml:space="preserve">Suministro e instalacion  de estructura metalica  en tuberia de hierro diametro de 7 pulgadas  incluye platina en  lamina de acero de 1/4 diametro de 30 cmts  y pernos  para pergola en sendero petaonal para acceso a las calderas. Según diseño existente. </t>
  </si>
  <si>
    <t>14.2</t>
  </si>
  <si>
    <t xml:space="preserve">Suministro e instalacion  de estructura metalica  en perfil en "I"  H: 200 MM   para pergola en sendero petaonal para acceso a las calderas, incluye lamina en platina  en forma mensula de 1/4". Según diseño existente. </t>
  </si>
  <si>
    <t>INSTALACIONES HIDROSANITARIAS</t>
  </si>
  <si>
    <t>15.1</t>
  </si>
  <si>
    <t xml:space="preserve">Instalacioes sanitarias </t>
  </si>
  <si>
    <t>15.1.1</t>
  </si>
  <si>
    <t>SUMINISTRO E INSTALACION DE CODO 90 _2P</t>
  </si>
  <si>
    <t>Und</t>
  </si>
  <si>
    <t>15.1.2</t>
  </si>
  <si>
    <t>SUMINISTRO E INSTALACION DE CODO 90 _3P</t>
  </si>
  <si>
    <t>15.1.3</t>
  </si>
  <si>
    <t>SUMINISTRO E INSTALACION DE CODO 90_4P</t>
  </si>
  <si>
    <t>15.1.4</t>
  </si>
  <si>
    <t>SUMINISTRO E INSTALACION DE CODO 45_2P</t>
  </si>
  <si>
    <t>15.1.5</t>
  </si>
  <si>
    <t>SUMINISTRO E INSTALACION DE CODO 45_3P</t>
  </si>
  <si>
    <t>15.1.6</t>
  </si>
  <si>
    <t>SUMINISTRO E INSTALACION DE CODO 45_4P</t>
  </si>
  <si>
    <t>15.1.7</t>
  </si>
  <si>
    <t>SUMINISTRO E INSTALACION DE YEE 45_2P</t>
  </si>
  <si>
    <t>15.1.8</t>
  </si>
  <si>
    <t>SUMINNISTRO E INSTALACION DE YEE 45_4P</t>
  </si>
  <si>
    <t>15.1.9</t>
  </si>
  <si>
    <t>SUMINISTRO E INSTALACION DE YEE 45_4x2P</t>
  </si>
  <si>
    <t>15.1.10</t>
  </si>
  <si>
    <t>SUMINISTRO E INSTALACION DE YEE 45_4x3P</t>
  </si>
  <si>
    <t>15.1.11</t>
  </si>
  <si>
    <t>SUMINISTRO E INSTALACION DE YEE 45_6x4P</t>
  </si>
  <si>
    <t>15.1.12</t>
  </si>
  <si>
    <t>SUMINISTRO E INSTALACION DE BUJE_4X2</t>
  </si>
  <si>
    <t>15.1.13</t>
  </si>
  <si>
    <t>SUMINISTRRO E INSTALACION DE SIFON_2P</t>
  </si>
  <si>
    <t>15.1.14</t>
  </si>
  <si>
    <t>SUMINISTRO E INSTLACION DE TUBERIA SANITARIA 2P</t>
  </si>
  <si>
    <t>mL</t>
  </si>
  <si>
    <t>15.1.15</t>
  </si>
  <si>
    <t>SUMINISTRO E INSTALACION DE UNIÓN SANITARIA 2P</t>
  </si>
  <si>
    <t>15.1.16</t>
  </si>
  <si>
    <t>SUMINISTRO E INSTALACION DE TUBERIA SANITARIA 3P</t>
  </si>
  <si>
    <t>15.1.17</t>
  </si>
  <si>
    <t>SUMINISTRO E INSTALACION DE UNIÓN SANITARIA 3P</t>
  </si>
  <si>
    <t>15.1.18</t>
  </si>
  <si>
    <t>SUMINISTRO E INSTALACION DE TUBERIA SANITARIA 4P</t>
  </si>
  <si>
    <t>15.1.19</t>
  </si>
  <si>
    <t>SUMINISTRO E INSTALACION DE UNIÓN SANITARIA 4P</t>
  </si>
  <si>
    <t>15.1.20</t>
  </si>
  <si>
    <t>SUMINISTRO E INSTALACION DE TUBERIA SANITARIA 6P</t>
  </si>
  <si>
    <t>15.1.21</t>
  </si>
  <si>
    <t>SUMINISTRO E INSTALACION DE UNIÓN SANITARIA 6P</t>
  </si>
  <si>
    <t>15.1.22</t>
  </si>
  <si>
    <t>SUMINISTRO E INSTALACION DE Rejilla 3X2 (Sifon piso)</t>
  </si>
  <si>
    <t>15.1.23</t>
  </si>
  <si>
    <t xml:space="preserve">CONSTRUCCION DE Poceta en ladrillo recocido 20*10*6 con pañete en mortero de 3500 psi para  limpieza  DE 60 X 60 </t>
  </si>
  <si>
    <t>15.1.24</t>
  </si>
  <si>
    <t>CAJA DE INSPECCIÓN DE 0,60 X 0,60 X 0,60 M EN LADRILLO, CONCRETO DE 2.500 PSI PARA LA BASE  Y TAPA REFORZADA EN CONCRETO DE 3.000 PSI</t>
  </si>
  <si>
    <t>15.1.25</t>
  </si>
  <si>
    <t xml:space="preserve">Construccion de carcamos en concreto de 3000 psi   reforzado de 40 x 40 segun diseño  </t>
  </si>
  <si>
    <t>ml</t>
  </si>
  <si>
    <t>15.1.26</t>
  </si>
  <si>
    <t xml:space="preserve">Mantenimiento de la red contra incendios existente. ( incluye cambio de  materiales en mal estado y suministros e instalacion  para su correcta instalación y funcionamientopor consideracion de la supervision y/o inteventoria ) </t>
  </si>
  <si>
    <t>und</t>
  </si>
  <si>
    <t>15.2</t>
  </si>
  <si>
    <t xml:space="preserve">Instalacionde hidraulicas </t>
  </si>
  <si>
    <t>15.2.1</t>
  </si>
  <si>
    <t>SUMINISTRO E INNSTALACION DE TUBERIA 2P</t>
  </si>
  <si>
    <t>15.2.2</t>
  </si>
  <si>
    <t>SUMINISTRO E INSTALACION DE UNION TUBERIA 2P</t>
  </si>
  <si>
    <t>15.2.3</t>
  </si>
  <si>
    <t>SUMINISTRO E INSTALACION DE TUBERIA 1 1/2P</t>
  </si>
  <si>
    <t>15.2.4</t>
  </si>
  <si>
    <t>SUMINISTRO E INSTALACION DE UNION TUBERIA 1 1/2P</t>
  </si>
  <si>
    <t>15.2.5</t>
  </si>
  <si>
    <t>SUMINISTRO E INSTALACION DE TUBERIA 1P</t>
  </si>
  <si>
    <t>15.2.6</t>
  </si>
  <si>
    <t>SUMINISTRO E INSTALACION DE UNION TUBERIA 1P</t>
  </si>
  <si>
    <t>15.2.7</t>
  </si>
  <si>
    <t>SUMINISTRO E NSTALACION DE TUBERIA 3/4P</t>
  </si>
  <si>
    <t>15.2.8</t>
  </si>
  <si>
    <t>SUMINISTRO E INSTALACION DE UNION TUBERIA 3/4P</t>
  </si>
  <si>
    <t>15.2.9</t>
  </si>
  <si>
    <t xml:space="preserve">SUMINISTRO E INSTALACION DE TUBERIA 1/2P </t>
  </si>
  <si>
    <t>15.2.10</t>
  </si>
  <si>
    <t>SUMINISTRO E INSTALACION DE UNION TUBERIA 1/2P</t>
  </si>
  <si>
    <t>15.2.11</t>
  </si>
  <si>
    <t xml:space="preserve">SUMINISTRO E INSTALACION DE VALVULA 3/4P ( ANTIFRAUDE) </t>
  </si>
  <si>
    <t>15.2.12</t>
  </si>
  <si>
    <t>SUMINISTRO E INSTALACION DE CODO 90_2P</t>
  </si>
  <si>
    <t>15.2.13</t>
  </si>
  <si>
    <t>SUMINISTRO E INSTALACION DE CODO 90_1 1/2P</t>
  </si>
  <si>
    <t>15.2.14</t>
  </si>
  <si>
    <t>SUMINISTRO E INSTALACION DE CODO 90_ 1P</t>
  </si>
  <si>
    <t>15.2.15</t>
  </si>
  <si>
    <t>SUMINISTRO E INSTALACION DE CODO 90_3/4P</t>
  </si>
  <si>
    <t>15.2.16</t>
  </si>
  <si>
    <t>SUMINISTRO E INSTALACION DE CODO 90_1/2P</t>
  </si>
  <si>
    <t>15.2.17</t>
  </si>
  <si>
    <t>SUMINISTRO E INSTALACION DE TEE 2P</t>
  </si>
  <si>
    <t>15.2.18</t>
  </si>
  <si>
    <t>SUMINISTRO E INSTALACION DE TEE 1 1/2P</t>
  </si>
  <si>
    <t>15.2.19</t>
  </si>
  <si>
    <t>SUMINISTRO E INSTALACION DE TEE 3/4P</t>
  </si>
  <si>
    <t>15.2.20</t>
  </si>
  <si>
    <t xml:space="preserve">SUMINISTRO E INSTALACION DE TEE 1/2P </t>
  </si>
  <si>
    <t>15.2.21</t>
  </si>
  <si>
    <t xml:space="preserve">SUMINISTRO E INSTALACION DE TAPON 1/2P VERTICAL </t>
  </si>
  <si>
    <t>15.2.22</t>
  </si>
  <si>
    <t>SUMINISTRO E INSTALACION DE REDUCCION 2 x 1 1/2P</t>
  </si>
  <si>
    <t>15.2.23</t>
  </si>
  <si>
    <t>SUMINISTRO E INSTALACION DE REDUCCION 3/4 x 1/2P</t>
  </si>
  <si>
    <t>INSTALACIONES ELÉCTRICAS</t>
  </si>
  <si>
    <t>16.1</t>
  </si>
  <si>
    <t>LABORATORIOS</t>
  </si>
  <si>
    <t>16.1.1</t>
  </si>
  <si>
    <t>TRASLADO CUARTO TECNICO A UNA DISTANCIA DE 8 METROS</t>
  </si>
  <si>
    <t>16.1.1.1</t>
  </si>
  <si>
    <t>Adecuación de puesta a tierra existente, incluye barraje de tierra en cuarto eléctrico y conexión a tierra existente a una longitd de 8 metros. Incluye medicion de tierra e informe.</t>
  </si>
  <si>
    <t>16.1.1.2</t>
  </si>
  <si>
    <t>TRASLADO DE GABINETE GENERAL DE DISTRIBUCIÓN SISTEMA REGULADO TG-R, 3φ-4H, 208-120V. según unifilar</t>
  </si>
  <si>
    <t>16.1.1.3</t>
  </si>
  <si>
    <t>TRASLADO DE TABLERO DE DISTRIBUCIÓN SISTEMA NORMAL TN-1, 3φ-4H, 208-120V. según unifilar.</t>
  </si>
  <si>
    <t>16.1.1.4</t>
  </si>
  <si>
    <t xml:space="preserve">TRASLADO DE UPS DE 10 KVA.
</t>
  </si>
  <si>
    <t>16.1.1.5</t>
  </si>
  <si>
    <t>Sumnistro e instalación de Tablero Bypass para UPS de 10 kVA, 3Fx120V/208V, 60 Hz. Incluye caja con puerta, chapa y CONMUTADOR TETRAPOLAR 1-0-2 DE 63 AMP EN CAJA TERMOPLÁSTICA IP65 (LLAVE DE TRANSFERENCIA CON CAJA)</t>
  </si>
  <si>
    <t>16.1.1.6</t>
  </si>
  <si>
    <t>TRASLADO DE RACK DE COMUNICACIONES EXISTENTE, CONTIENE APROXIMADAMENTE 48 PUNTOS DE VOZ Y 48 PUNTOS DE DATOS.</t>
  </si>
  <si>
    <t>16.1.1.7</t>
  </si>
  <si>
    <t>Suministro e instalación de Bandeja tipo escalerilla de 30x6cm con división. Incluye los accesorios</t>
  </si>
  <si>
    <t>16.1.1.8</t>
  </si>
  <si>
    <t xml:space="preserve">MOVIMIENTO DE ACOMETIDA EN CALIBRE 2 JUEGOS DE 3F No.1/0 + 1N No.1/0 + 1T No.6 EN TUBERIA 2∅2" VIENE DE SUBESTACIÓN A CUARTO TECNICO 1, SE REDUCE LA LONGITUD EN 8 METROS
</t>
  </si>
  <si>
    <t>16.1.1.9</t>
  </si>
  <si>
    <t>Suministro e instalación de circuito ramal de fuerza Normal. Incluye tubo metálico EMT de 3/4", cable de cobre calibre 2x12 AWG HF FR LS + 1x12 AWG desnudo, caja metálica galvanizada octagonal para derivación y alimentación de luminaria, accesorios de conexión de tuberías y cajas, y soportes para fijación de las tuberías.</t>
  </si>
  <si>
    <t>16.1.1.10</t>
  </si>
  <si>
    <t>Suministro e instalación de circuito ramal de fuerza Regulada. Incluye tubo metálico EMT de 3/4", cable de cobre calibre 3x12 AWG HF FR LS, caja metálica galvanizada octagonal para derivación y alimentación de luminaria, accesorios de conexión de tuberías y cajas, y soportes para fijación de las tuberías.</t>
  </si>
  <si>
    <t>16.1.1.11</t>
  </si>
  <si>
    <t>Suministro e instalación de circuito ramal de fuerza GFCI. Incluye tubo metálico EMT de 3/4", cable de cobre calibre 2x12 AWG HF FR LS + 1x12 AWG desnudo, caja metálica galvanizada octagonal para derivación y alimentación de luminaria, accesorios de conexión de tuberías y cajas, y soportes para fijación de las tuberías.</t>
  </si>
  <si>
    <t>16.1..11.A</t>
  </si>
  <si>
    <t>Suministro e instalación de circuito ramal de iluminación. Incluye tubo metálico EMT de 3/4", cable de cobre calibre 2x12 AWG HF FR LS + 1x12 AWG desnudo, caja metálica galvanizada octagonal para derivación y alimentación de luminaria, accesorios de conexión de tuberías y cajas, y soportes para fijación de las tuberías.</t>
  </si>
  <si>
    <t>16.1.1.12</t>
  </si>
  <si>
    <t>Aterrizaje de gabinetes, en tubería IMC 1", cable desnudo hasta 1/0, coraza y uniones.</t>
  </si>
  <si>
    <t>16.1.1.13</t>
  </si>
  <si>
    <t xml:space="preserve">Cable de fibra óptica OM3 de 12 hilos uso interior </t>
  </si>
  <si>
    <t>16.1.1.14</t>
  </si>
  <si>
    <t>Conectorización de 4 Hilos de fibra óptica incluye 8 conectores y certificación.</t>
  </si>
  <si>
    <t>16.1.1.15</t>
  </si>
  <si>
    <t>Fusión de cada hilo de fibra optica</t>
  </si>
  <si>
    <t>16.1.1.16</t>
  </si>
  <si>
    <t>Caja de paso 20 cm x 25 cm x 10 cm con chapa</t>
  </si>
  <si>
    <t>16.1.1.17</t>
  </si>
  <si>
    <t>Caja de paso 30 cm x 30 cm x 15 cm con chapa</t>
  </si>
  <si>
    <t>16.1.1.18</t>
  </si>
  <si>
    <t>Breaker monopolar enchufable 1x20 amp.</t>
  </si>
  <si>
    <t>16.1.1.19</t>
  </si>
  <si>
    <t>Breaker monopolar enchufable 1x30 amp.</t>
  </si>
  <si>
    <t>16.1.1.20</t>
  </si>
  <si>
    <t>Breaker bipolar enchufable 2x20 amp.</t>
  </si>
  <si>
    <t>16.1.1.21</t>
  </si>
  <si>
    <t>Breaker bipolar enchufable 2x30 amp.</t>
  </si>
  <si>
    <t>16.1.1.22</t>
  </si>
  <si>
    <t>Breaker bipolar enchufable 2x50 amp.</t>
  </si>
  <si>
    <t>16.1.1.23</t>
  </si>
  <si>
    <t>Suministro e instalación de GABINETE 2.20 M X 1M FONDO, RACK DE 42 RU INCLUYE ORGANIZADORES VERTICALES HORIZONTALES, MULTITOMA Y KIT DE VENTILACIÓN</t>
  </si>
  <si>
    <t>16.1.1.24</t>
  </si>
  <si>
    <t>Suministro e instalación de tablero de distribución de 36 circuitos con espacio para totalizador (Tablero Normal). Incluye el suministro y la instalación de 20 interruptores termomagnéticos monopolares tipo encufable de 20A, y 3 interruptores termomagnéticos tripolares tipo encufable de 30A.</t>
  </si>
  <si>
    <t>16.1.1.25</t>
  </si>
  <si>
    <t>Suministro e instalación de tablero de distribución de 18 circuitos con espacio para totalizador (Tablero Iluminación). Incluye el suministro y la instalación de 12 interruptores termomagnéticos monopolares tipo encufable de 15A</t>
  </si>
  <si>
    <t>16.1.1.26</t>
  </si>
  <si>
    <t>Suministro e instalación de tablero de distribución de 12 circuitos con espacio para totalizador (Tablero Regulado). Incluye el suministro y la instalación de 10 interruptores termomagnéticos monopolares tipo encufable de 20A</t>
  </si>
  <si>
    <t>16.1.1.28</t>
  </si>
  <si>
    <t>Breaker Industrial Graduable 350 - 500A - 70 KA</t>
  </si>
  <si>
    <t>16.1.1.29</t>
  </si>
  <si>
    <t>Breaker Industrial Graduable 140 - 200A - 50 KA</t>
  </si>
  <si>
    <t>16.1.1.30</t>
  </si>
  <si>
    <t>Breaker Industrial 125A Capacidad de Ruptura 25 KA</t>
  </si>
  <si>
    <t>16.1.1.31</t>
  </si>
  <si>
    <t>Breaker Industrial 100A Capacidad de Ruptura 25 KA</t>
  </si>
  <si>
    <t>16.1.1.32</t>
  </si>
  <si>
    <t>Breaker Industrial 60A Capacidad de Ruptura 25 KA</t>
  </si>
  <si>
    <t>16.1.1.33</t>
  </si>
  <si>
    <t>traslado y puesta en marcha de teclado de seguridad para puerta</t>
  </si>
  <si>
    <t>16.1.1.34</t>
  </si>
  <si>
    <t>traslado y puesta en marcha de contacto magnetico pesado</t>
  </si>
  <si>
    <t>16.1.135</t>
  </si>
  <si>
    <t>traslado y puesta en marcha de boton de salida</t>
  </si>
  <si>
    <t>16.1.2</t>
  </si>
  <si>
    <t>CABLEADO Y CANALIZACIONES</t>
  </si>
  <si>
    <t>16.1.2.1</t>
  </si>
  <si>
    <t>Suministro e instalación de Canaleta Metálica de 12cm x 5cm con división, pintura electrostática, accesorios para canaleta y de fijación, para instalación perimetral.</t>
  </si>
  <si>
    <t>16.1.2.2</t>
  </si>
  <si>
    <t>Suministro e instalación de tubria EMT de 3/4", incluye accesorios de conexión.</t>
  </si>
  <si>
    <t>16.1.2.3</t>
  </si>
  <si>
    <t>Suministro e instalación de tubria EMT de 1", incluye accesorios de conexión.</t>
  </si>
  <si>
    <t>16.1.2.4</t>
  </si>
  <si>
    <t>Suministro e instalación de tubria EMT de 1.1/2", incluye accesorios de conexión.</t>
  </si>
  <si>
    <t>16.1.2.5</t>
  </si>
  <si>
    <t>Suministro e instalación de tubria EMT de 2", incluye accesorios de conexión.</t>
  </si>
  <si>
    <t>16.1.2.6</t>
  </si>
  <si>
    <t>Circuito ramal en cable 3x12 HFFRLS</t>
  </si>
  <si>
    <t>16.1.2.7</t>
  </si>
  <si>
    <t>Circuito ramal en cable 3x10 HFFRLS</t>
  </si>
  <si>
    <t>16.1.2.8</t>
  </si>
  <si>
    <t>Bandeja tipo escalerilla de 30x6cm con división. Incluye los accesorios</t>
  </si>
  <si>
    <t>16.1.2.9</t>
  </si>
  <si>
    <t>suministro e instalación de coraza flexible tipo americana de 3/4 de pulgada, incluye accesorios de conexión.</t>
  </si>
  <si>
    <t>16.1.3</t>
  </si>
  <si>
    <t>ILUMINACIÓN</t>
  </si>
  <si>
    <t>16.1.3.1</t>
  </si>
  <si>
    <t>Desinstalación o retiro de luminarias existentes.</t>
  </si>
  <si>
    <t>16.1.3.2</t>
  </si>
  <si>
    <t>Desmonte de interruptor existente</t>
  </si>
  <si>
    <t>16.1.3.3</t>
  </si>
  <si>
    <t>Suministro e instalación de Luminaria Led Redonda 24 w para circulaciones, pasillos y otras, según diseño de las instalaciones eléctricas internas y   cumplimiento RETILAP</t>
  </si>
  <si>
    <t>16.1.3.4</t>
  </si>
  <si>
    <t>Suministro e instalación de luminaria led panel cuadrado 60x60cm de entre 36W y 48W, 3600 lumens, 6500K RETILAP</t>
  </si>
  <si>
    <t>16.1.3.5</t>
  </si>
  <si>
    <t>Suministro e instalación de luminaria led redonda de 24W, 1440 lumens, 6500K RETILAP</t>
  </si>
  <si>
    <t>16.1.3.6</t>
  </si>
  <si>
    <t>Suministro e instalación de luminaria led hermética de 50W, 5300 lumens, 6500K</t>
  </si>
  <si>
    <t>16.1.3.7</t>
  </si>
  <si>
    <t>Suministro e instalación de  Aplique tipo tortuga led 12w</t>
  </si>
  <si>
    <t>16.1.3.8</t>
  </si>
  <si>
    <t>Salida Eléctrica Iluminación Lprom = 6 mts cable # 12 LSHF. Incluye suministro e instalación de ducto o canalización, conductores fase, neutro, tierra, caja metálica, conectores, aparato, identificación de circuito en bandeja, marcación de tuberías, marcación  Luminaria. Se debe considerar el cable encauchetado 3x16, soportes y elementos de fijación</t>
  </si>
  <si>
    <t>16.1.3.9</t>
  </si>
  <si>
    <t>Luminaria de Emergencia, cumplimiento con el RETILAP</t>
  </si>
  <si>
    <t>16.1.3.10</t>
  </si>
  <si>
    <t>Luminaria de Emergencia, cumplimiento con el RETILAP y con aviso de salida</t>
  </si>
  <si>
    <t>16.1.3.11</t>
  </si>
  <si>
    <t>Salida Eléctrica Interruptor Sencillo. Incluye suministro e instalación de ducto o canalización, conductores fase, neutro, tierra, caja metálica, conectores, aparato</t>
  </si>
  <si>
    <t>16.1.3.12</t>
  </si>
  <si>
    <t>Salida Eléctrica Interruptor Doble. Incluye suministro e instalación de ducto o canalización, conductores fase, neutro, tierra, caja metálica, conectores, aparato</t>
  </si>
  <si>
    <t>16.1.3.13</t>
  </si>
  <si>
    <t>Salida Eléctrica Interruptor Triple. Incluye suministro e instalación de ducto o canalización, conductores fase, neutro, tierra, caja metálica, conectores, aparato</t>
  </si>
  <si>
    <t>16.1.3.14</t>
  </si>
  <si>
    <t>Salida para sensor 360° para control de luces en pasillos. Incluye el sensor.</t>
  </si>
  <si>
    <t>16.1.4</t>
  </si>
  <si>
    <t>TOMACORRIENTES</t>
  </si>
  <si>
    <t>16.1.4.1</t>
  </si>
  <si>
    <t>Salida Eléctrica GFCI Lprom = 6 mts cable # 12 HFFRSL. Incluye suministro e instalación de ducto o canalización, conductores fase, neutro, tierra, caja metálica, conectores, aparato, identificación de circuito en bandeja, marcación de tuberías, marcación  tomacorriente</t>
  </si>
  <si>
    <t>16.1.4.2</t>
  </si>
  <si>
    <t>Salida Eléctrica Trifásica cable # 10 HFFRSL. Incluye suministro e instalación de ducto o canalización, conductores fase, neutro y tierra, caja metálica, conectores, aparato, identificación de circuito en bandeja, marcación de tuberías, marcación  tomacorriente</t>
  </si>
  <si>
    <t>16.1.4.3</t>
  </si>
  <si>
    <t>Suministro e instalación de Salida Eléctrica Bifásica Lprom= 6 mts. cable # 10 HFFRSL. Incluye suministro e instalación de ducto o canalización, conductores fase y tierra, caja metálica, conectores, aparato, identificación de circuito en bandeja, marcación de tuberías, marcación  tomacorriente</t>
  </si>
  <si>
    <t>16.1.4.4</t>
  </si>
  <si>
    <t>Suministro e instlación de Salida Eléctrica Normal Lprom = 6 mts cable # 12 HFFRSL. Incluye suministro e instalación de ducto o canalización, conductores fase, neutro, tierra, caja metálica, conectores, aparato, identificación de circuito en tablero, marcación de tuberías, marcación  tomacorriente</t>
  </si>
  <si>
    <t>16.1.4.5</t>
  </si>
  <si>
    <t>Suministro e instlación de Salida Eléctrica Regulada Lprom = 6 mts cable # 12 HFFRSL. Incluye suministro e instalación de ducto o canalización, conductores fase, neutro, tierra, caja metálica, conectores, aparato, identificación de circuito en tablero, marcación de tuberías, marcación  tomacorriente</t>
  </si>
  <si>
    <t>16.1.4.6</t>
  </si>
  <si>
    <t>Salida Eléctrica dedicada Lprom = 6 mts cable # 12 HFFRSL. Incluye suministro e instalación de ducto o canalización, conductores fase, neutro, tierra, caja metálica, conectores, aparato, identificación de circuito en bandeja, marcación de tuberías, marcación  tomacorriente</t>
  </si>
  <si>
    <t>16.1.4.7</t>
  </si>
  <si>
    <t>Desmonte de tomacorriente y cableado existente</t>
  </si>
  <si>
    <t>16.1.4.8</t>
  </si>
  <si>
    <t>Retiro de conductores en salida eléctrica</t>
  </si>
  <si>
    <t>16.1.4.9</t>
  </si>
  <si>
    <t>Movimiento de salida normal incluye caja o troquel, cableado, tomacorriente, canalización y sus accesorios.</t>
  </si>
  <si>
    <t>16.1.4.10</t>
  </si>
  <si>
    <t>Movimiento de salida regulada inlcuye caja o troquel, cableado, tomacorriente, canalización y sus accesorios.</t>
  </si>
  <si>
    <t>16.1.4.11</t>
  </si>
  <si>
    <t>Suministro e instalación de Salida Eléctrica Bifásica Lprom= 10 mts. para extractor en cable # 10 HFFRSL. Incluye suministro e instalación de ducto o canalización, conductores fase y tierra, caja metálica, conectores, aparato, identificación de circuito en bandeja, marcación de tuberías, marcación  tomacorriente</t>
  </si>
  <si>
    <t>16.1.5</t>
  </si>
  <si>
    <t>INSTALACIONES DE VOZ Y DATOS</t>
  </si>
  <si>
    <t>16.1.5.1</t>
  </si>
  <si>
    <t>Suministro e instalación de puntos de voz y datos (salida doble, uno voz y uno datos) incluye caja o troquel, cableado, jacks y sus accesorios. Todo en categoria 6A con una longitud promedio de 50 metros.</t>
  </si>
  <si>
    <t>16.1.5.2</t>
  </si>
  <si>
    <t>Suministro e instalación de puntos de datos (salida doble, dos datos) incluye caja o troquel, cableado, jacks y sus accesorios. Todo en categoria 6A con una longitud promedio de 50 metros.</t>
  </si>
  <si>
    <t>16.1.5.3</t>
  </si>
  <si>
    <t>Suministro e instalación de punto de datos (salida sencilla, uno datos) incluye caja o troquel, cableado, jack y sus accesorios. Todo en categoria 6A con una longitud promedio de 50 metros.</t>
  </si>
  <si>
    <t>16.1.5.4</t>
  </si>
  <si>
    <t>Suministro e instalación de punto de datos (salida sencilla, llamado de emergencia) incluye caja o troquel, cableado, jack, botonera y sus accesorios. Todo en categoria 6A con una longitud promedio de 40 metros.</t>
  </si>
  <si>
    <t>16.1.5.5</t>
  </si>
  <si>
    <t>Suministro e instalación de salida HDMI, incluye caja o troquel, cableado, face plate, jack  en ambas puntas y sus accesorios.Long. promedio de 6 mts.</t>
  </si>
  <si>
    <t>16.1.5.6</t>
  </si>
  <si>
    <t>Suministro e instalación de cable HDMI long aprox. 3 mts.</t>
  </si>
  <si>
    <t>16.1.5.7</t>
  </si>
  <si>
    <t>Suministro e instalación de salida TV en cable coaxial, incluye caja o troquel, cableado, face plate, jack y sus accesorios.</t>
  </si>
  <si>
    <t>16.1.5.8</t>
  </si>
  <si>
    <t>PATCHCORD CAT 6A x1.5m color rojo</t>
  </si>
  <si>
    <t>16.1.5.9</t>
  </si>
  <si>
    <t>PATCHCORD  CAT 6 A x 3 MT color rojo</t>
  </si>
  <si>
    <t>16.1.5.10</t>
  </si>
  <si>
    <t>PATCHPANEL COMPLETO INCLUYE JACKS UTP CAT 6A (VOZ IP) 24 PUERTOS</t>
  </si>
  <si>
    <t>16.1.5.11</t>
  </si>
  <si>
    <t>PATCHCORD  CAT 6 A x 3 MT color azul</t>
  </si>
  <si>
    <t>16.1.5.12</t>
  </si>
  <si>
    <t>PATCH PANEL COMPLETO INCLUYE JACKS DE 24 PUERTOS CAT 6A RED DE DATOS</t>
  </si>
  <si>
    <t>16.1.5.13</t>
  </si>
  <si>
    <t>PATCHCORD  CAT 6A  x 1,5 MT color azul</t>
  </si>
  <si>
    <t>16.1.5.14</t>
  </si>
  <si>
    <t>CERTIFICACION CABLEADO ESTRUCTURADO PUNTO</t>
  </si>
  <si>
    <t>16.1.5.15</t>
  </si>
  <si>
    <t>identificación de punto de cableado voz o datos</t>
  </si>
  <si>
    <t>16.1.5.16</t>
  </si>
  <si>
    <t>Movimiento de puntos de voz y datos (salida doble, uno voz y uno datos) incluye caja o troquel, cableado, jacks y sus accesorios.</t>
  </si>
  <si>
    <t>16.1.5.17</t>
  </si>
  <si>
    <t>marquillas para circuitos electricos o puntos de voz y datos.</t>
  </si>
  <si>
    <t>16.1.5.18</t>
  </si>
  <si>
    <t>Cable UTP CAT 6A</t>
  </si>
  <si>
    <t>16.1.5.19</t>
  </si>
  <si>
    <t>JACK CAT 6A ROJO O AZUL</t>
  </si>
  <si>
    <t>16.1.5.20</t>
  </si>
  <si>
    <t>FACE PLATE DOBLE</t>
  </si>
  <si>
    <t>16.1.5.21</t>
  </si>
  <si>
    <t>FACE PLATE SENCILLO</t>
  </si>
  <si>
    <t>16.1.5.22</t>
  </si>
  <si>
    <t>SUMINISTRO, INSTALACION, PROGRAMACIÓN Y PUESTA EN MARCHA DE SWITCH, PUERTOS POE 24 puertos 10/100 Mbps RJ45 PoE, 2 puertos Gigabit RJ45/SFP combo, VLAN: Soportado, CAPACIDAD: 8,8 Gbps, TABLAS DE DIRECCIÓN MAC: 16 K, TASA DE REENVIÓ DE PAQUETES: 6,5 Mbps, NORMA: IEEE 802.3af/at</t>
  </si>
  <si>
    <t>16.1.5.23</t>
  </si>
  <si>
    <t>suministro e instalación de contacto magnetico pesado alta seguridad, incluye cableado.</t>
  </si>
  <si>
    <t>16.1.5.24</t>
  </si>
  <si>
    <t>suministro e instalación de boton de salida, incluye cableado</t>
  </si>
  <si>
    <t>16.1.5.25</t>
  </si>
  <si>
    <t>suministro e instalación de teclado para apertura puerta, Controlador De Puerta (control De Acceso), incluye cableado.</t>
  </si>
  <si>
    <t>16.2</t>
  </si>
  <si>
    <t>FISIOLOGIA</t>
  </si>
  <si>
    <t>16.2.1</t>
  </si>
  <si>
    <t>16.2.1.1</t>
  </si>
  <si>
    <t>Canaleta Metálica de 12cm x 5cm con división, pintura electrostática, accesorios para canaleta y de fijación, para instalación perimetral.</t>
  </si>
  <si>
    <t>16.2.1.2</t>
  </si>
  <si>
    <t>Suministro e instalación de tuberia EMT de 3/4"</t>
  </si>
  <si>
    <t>16.2.1.3</t>
  </si>
  <si>
    <t>Suministro e instalación de tuberia EMT de 1"</t>
  </si>
  <si>
    <t>16.2.1.4</t>
  </si>
  <si>
    <t>Suministro e instalación de tuberia EMT de 1.1/2"</t>
  </si>
  <si>
    <t>16.2.1.5</t>
  </si>
  <si>
    <t>Suministro e instalación de tuberia EMT de 2"</t>
  </si>
  <si>
    <t>16.2.1.6</t>
  </si>
  <si>
    <t>16.2.1.7</t>
  </si>
  <si>
    <t>Circuito ramal en cable 3x12 HFFRLS normal (codigo de colores)</t>
  </si>
  <si>
    <t>16.2.1.8</t>
  </si>
  <si>
    <t>Circuito ramal en cable 3x12 HFFRLS regulado (codigo de colores)</t>
  </si>
  <si>
    <t>16.2.1.9</t>
  </si>
  <si>
    <t>16.2.1.10</t>
  </si>
  <si>
    <t>16.2.2</t>
  </si>
  <si>
    <t>16.2.2.1</t>
  </si>
  <si>
    <t>Desinstalación o retiro de luminarias existentes a doble altura.</t>
  </si>
  <si>
    <t>16.2.2.2</t>
  </si>
  <si>
    <t>Luminaria Led Redonda de 24 w para circulaciones, pasillos y otras, según diseño de las instalaciones eléctricas internas y   cumplimiento RETILAP</t>
  </si>
  <si>
    <t>16.2.2.3</t>
  </si>
  <si>
    <t>Luminaria Led 60cm x 60cm 48 w cumplimiento con el RETILAP</t>
  </si>
  <si>
    <t>16.2.2.4</t>
  </si>
  <si>
    <t>Luminaria Led 120cm x 30cm cumplimiento con el RETILAP</t>
  </si>
  <si>
    <t>16.2.2.5</t>
  </si>
  <si>
    <t>16.2.2.6</t>
  </si>
  <si>
    <t>16.2.2.7</t>
  </si>
  <si>
    <t>16.2.2.8</t>
  </si>
  <si>
    <t>16.2.2.9</t>
  </si>
  <si>
    <t>16.2.2.10</t>
  </si>
  <si>
    <t>16.2.3</t>
  </si>
  <si>
    <t>16.2.3.1</t>
  </si>
  <si>
    <t>16.2.3.2</t>
  </si>
  <si>
    <t>16.2.3.3</t>
  </si>
  <si>
    <t>16.2.3.4</t>
  </si>
  <si>
    <t>16.2.3.5</t>
  </si>
  <si>
    <t>16.2.4</t>
  </si>
  <si>
    <t>INSTALACIONES DE VOZ Y DATOS (TODOS LOS PUNTOS SON NUEVOS)</t>
  </si>
  <si>
    <t>16.2.4.1</t>
  </si>
  <si>
    <t>Suministro e instalación de puntos de voz y datos (salida doble, uno voz y uno datos) incluye caja o troquel, cableado, jacks y sus accesorios. Todo en categoria 6A con una longitud promedio de 70 metros.</t>
  </si>
  <si>
    <t>16.2.4.2</t>
  </si>
  <si>
    <t>Suministro e instalación de punto de datos (salida sencilla, uno datos) incluye caja o troquel, cableado, jack y sus accesorios. Todo en categoria 6A con una longitud promedio de 70 metros.</t>
  </si>
  <si>
    <t>16.2.4.3</t>
  </si>
  <si>
    <t>16.2.4.4</t>
  </si>
  <si>
    <t>16.2.4.5</t>
  </si>
  <si>
    <t>16.2.4.6</t>
  </si>
  <si>
    <t>16.2.4.7</t>
  </si>
  <si>
    <t>16.2.4.8</t>
  </si>
  <si>
    <t>16.2.4.9</t>
  </si>
  <si>
    <t>16.2.4.10</t>
  </si>
  <si>
    <t>PATCH PANEL COMPLETO INCLUYE JACKS 24 PUERTOS CAT 6A RED DE DATOS</t>
  </si>
  <si>
    <t>16.2.4.11</t>
  </si>
  <si>
    <t>16.2.4.12</t>
  </si>
  <si>
    <t xml:space="preserve">SISTEMA DE SEGURIDAD </t>
  </si>
  <si>
    <t>17.1</t>
  </si>
  <si>
    <t xml:space="preserve">Sistema de seguridad y control de acceso </t>
  </si>
  <si>
    <t>17.2</t>
  </si>
  <si>
    <t xml:space="preserve">Sistema de deteccion de humos </t>
  </si>
  <si>
    <t>17.3</t>
  </si>
  <si>
    <t>C.C.T.V</t>
  </si>
  <si>
    <t>ASEOS Y VARIOS</t>
  </si>
  <si>
    <t>18.1</t>
  </si>
  <si>
    <t>Aseo general durante toda la obra y al final, incluye cargue de escombros y sobrantes, retiro y disposición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</si>
</sst>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6" formatCode="&quot;$&quot;\ #,##0;[Red]\-&quot;$&quot;\ #,##0"/>
    <numFmt numFmtId="8" formatCode="&quot;$&quot;\ #,##0.00;[Red]\-&quot;$&quot;\ #,##0.00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#,##0.00;[Red]\-&quot;$&quot;#,##0.00"/>
    <numFmt numFmtId="165" formatCode="_-&quot;$&quot;* #,##0_-;\-&quot;$&quot;* #,##0_-;_-&quot;$&quot;* &quot;-&quot;_-;_-@_-"/>
    <numFmt numFmtId="166" formatCode="_-&quot;$&quot;* #,##0.00_-;\-&quot;$&quot;* #,##0.00_-;_-&quot;$&quot;* &quot;-&quot;??_-;_-@_-"/>
    <numFmt numFmtId="167" formatCode="_-[$$-240A]\ * #,##0.00_-;\-[$$-240A]\ * #,##0.00_-;_-[$$-240A]\ * &quot;-&quot;??_-;_-@_-"/>
    <numFmt numFmtId="168" formatCode="0.0"/>
    <numFmt numFmtId="169" formatCode="_-* #,##0.00_-;\-* #,##0.00_-;_-* \-??_-;_-@_-"/>
    <numFmt numFmtId="170" formatCode="_ * #,##0.00_ ;_ * \-#,##0.00_ ;_ * \-??_ ;_ @_ "/>
    <numFmt numFmtId="171" formatCode="_ * #,##0_ ;_ * \-#,##0_ ;_ * \-??_ ;_ @_ "/>
    <numFmt numFmtId="172" formatCode="_([$$-240A]\ * #,##0_);_([$$-240A]\ * \(#,##0\);_([$$-240A]\ * &quot;-&quot;??_);_(@_)"/>
    <numFmt numFmtId="173" formatCode="_-* #,##0_-;\-* #,##0_-;_-* &quot;-&quot;??_-;_-@_-"/>
    <numFmt numFmtId="174" formatCode="&quot;$&quot;#,##0"/>
    <numFmt numFmtId="175" formatCode="_-* #,##0.00_-;\-* #,##0.00_-;_-* &quot;-&quot;_-;_-@_-"/>
    <numFmt numFmtId="176" formatCode="_ &quot;$&quot;\ * #,##0_ ;_ &quot;$&quot;\ * \-#,##0_ ;_ &quot;$&quot;\ * &quot;-&quot;_ ;_ @_ "/>
    <numFmt numFmtId="177" formatCode="_(* #,##0.00_);_(* \(#,##0.00\);_(* &quot;-&quot;??_);_(@_)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  <charset val="1"/>
    </font>
    <font>
      <sz val="10"/>
      <color indexed="8"/>
      <name val="Arial"/>
      <family val="2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color indexed="8"/>
      <name val="Arial Narrow"/>
      <family val="2"/>
      <charset val="1"/>
    </font>
    <font>
      <b/>
      <sz val="10"/>
      <color rgb="FF000000"/>
      <name val="Arial Narrow"/>
      <family val="2"/>
    </font>
    <font>
      <sz val="10"/>
      <name val="Arial Narrow"/>
      <family val="2"/>
      <charset val="1"/>
    </font>
    <font>
      <sz val="10"/>
      <color rgb="FF000000"/>
      <name val="Calibri"/>
      <family val="2"/>
      <scheme val="minor"/>
    </font>
    <font>
      <sz val="10"/>
      <name val="Arial Narrow"/>
      <family val="2"/>
    </font>
    <font>
      <sz val="10"/>
      <color rgb="FF000000"/>
      <name val="Arial Narrow"/>
      <family val="2"/>
    </font>
    <font>
      <sz val="10"/>
      <color indexed="8"/>
      <name val="Arial Narrow"/>
      <family val="2"/>
    </font>
    <font>
      <sz val="10"/>
      <color theme="1"/>
      <name val="Century Schoolbook"/>
      <family val="1"/>
    </font>
    <font>
      <sz val="10"/>
      <color theme="1"/>
      <name val="Arial Narrow"/>
      <family val="2"/>
    </font>
    <font>
      <sz val="10"/>
      <color rgb="FFFF0000"/>
      <name val="Arial Narrow"/>
      <family val="2"/>
    </font>
    <font>
      <sz val="9"/>
      <color rgb="FF000000"/>
      <name val="Arial Narrow"/>
      <family val="2"/>
    </font>
    <font>
      <b/>
      <sz val="10"/>
      <color rgb="FFFF0000"/>
      <name val="Arial Narrow"/>
      <family val="2"/>
    </font>
    <font>
      <b/>
      <sz val="9"/>
      <color rgb="FF000000"/>
      <name val="Arial Narrow"/>
      <family val="2"/>
    </font>
    <font>
      <sz val="9"/>
      <color rgb="FFFF0000"/>
      <name val="Arial Narrow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theme="1"/>
      <name val="Arial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BE4D5"/>
        <bgColor indexed="64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7" fillId="0" borderId="0"/>
    <xf numFmtId="169" fontId="7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/>
    <xf numFmtId="0" fontId="5" fillId="0" borderId="0"/>
    <xf numFmtId="176" fontId="5" fillId="0" borderId="0" applyFont="0" applyFill="0" applyBorder="0" applyAlignment="0" applyProtection="0"/>
    <xf numFmtId="0" fontId="5" fillId="0" borderId="0"/>
    <xf numFmtId="176" fontId="5" fillId="0" borderId="0" applyFont="0" applyFill="0" applyBorder="0" applyAlignment="0" applyProtection="0"/>
    <xf numFmtId="0" fontId="5" fillId="0" borderId="0"/>
    <xf numFmtId="0" fontId="5" fillId="0" borderId="0">
      <alignment vertical="center"/>
    </xf>
    <xf numFmtId="177" fontId="5" fillId="0" borderId="0" applyFont="0" applyFill="0" applyBorder="0" applyAlignment="0" applyProtection="0"/>
  </cellStyleXfs>
  <cellXfs count="40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7" fontId="4" fillId="0" borderId="1" xfId="0" applyNumberFormat="1" applyFont="1" applyBorder="1"/>
    <xf numFmtId="1" fontId="4" fillId="2" borderId="1" xfId="0" applyNumberFormat="1" applyFont="1" applyFill="1" applyBorder="1" applyAlignment="1">
      <alignment horizontal="center" vertical="center"/>
    </xf>
    <xf numFmtId="167" fontId="4" fillId="2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67" fontId="4" fillId="3" borderId="1" xfId="0" applyNumberFormat="1" applyFont="1" applyFill="1" applyBorder="1"/>
    <xf numFmtId="1" fontId="4" fillId="4" borderId="1" xfId="0" applyNumberFormat="1" applyFont="1" applyFill="1" applyBorder="1" applyAlignment="1">
      <alignment horizontal="center" vertical="center"/>
    </xf>
    <xf numFmtId="167" fontId="4" fillId="4" borderId="1" xfId="0" applyNumberFormat="1" applyFont="1" applyFill="1" applyBorder="1"/>
    <xf numFmtId="167" fontId="4" fillId="2" borderId="1" xfId="0" applyNumberFormat="1" applyFont="1" applyFill="1" applyBorder="1"/>
    <xf numFmtId="0" fontId="4" fillId="3" borderId="1" xfId="0" applyFont="1" applyFill="1" applyBorder="1" applyAlignment="1">
      <alignment horizontal="center" vertical="center"/>
    </xf>
    <xf numFmtId="167" fontId="5" fillId="0" borderId="1" xfId="0" applyNumberFormat="1" applyFont="1" applyFill="1" applyBorder="1"/>
    <xf numFmtId="167" fontId="5" fillId="2" borderId="1" xfId="0" applyNumberFormat="1" applyFont="1" applyFill="1" applyBorder="1"/>
    <xf numFmtId="167" fontId="5" fillId="3" borderId="1" xfId="0" applyNumberFormat="1" applyFont="1" applyFill="1" applyBorder="1"/>
    <xf numFmtId="167" fontId="5" fillId="4" borderId="1" xfId="0" applyNumberFormat="1" applyFont="1" applyFill="1" applyBorder="1"/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wrapText="1"/>
    </xf>
    <xf numFmtId="0" fontId="4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167" fontId="4" fillId="5" borderId="1" xfId="0" applyNumberFormat="1" applyFont="1" applyFill="1" applyBorder="1"/>
    <xf numFmtId="0" fontId="6" fillId="0" borderId="1" xfId="0" applyFont="1" applyFill="1" applyBorder="1" applyAlignment="1">
      <alignment horizontal="center"/>
    </xf>
    <xf numFmtId="167" fontId="4" fillId="0" borderId="1" xfId="0" applyNumberFormat="1" applyFont="1" applyFill="1" applyBorder="1"/>
    <xf numFmtId="168" fontId="4" fillId="2" borderId="1" xfId="0" applyNumberFormat="1" applyFont="1" applyFill="1" applyBorder="1" applyAlignment="1">
      <alignment horizontal="center" vertical="center"/>
    </xf>
    <xf numFmtId="168" fontId="4" fillId="3" borderId="1" xfId="0" applyNumberFormat="1" applyFont="1" applyFill="1" applyBorder="1" applyAlignment="1">
      <alignment horizontal="center" vertical="center"/>
    </xf>
    <xf numFmtId="168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7" fontId="4" fillId="0" borderId="1" xfId="0" applyNumberFormat="1" applyFont="1" applyBorder="1" applyAlignment="1">
      <alignment vertical="center"/>
    </xf>
    <xf numFmtId="167" fontId="4" fillId="2" borderId="1" xfId="0" applyNumberFormat="1" applyFont="1" applyFill="1" applyBorder="1" applyAlignment="1">
      <alignment vertical="center"/>
    </xf>
    <xf numFmtId="167" fontId="4" fillId="3" borderId="1" xfId="0" applyNumberFormat="1" applyFont="1" applyFill="1" applyBorder="1" applyAlignment="1">
      <alignment vertical="center"/>
    </xf>
    <xf numFmtId="167" fontId="4" fillId="4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67" fontId="6" fillId="0" borderId="1" xfId="0" applyNumberFormat="1" applyFont="1" applyBorder="1" applyAlignment="1">
      <alignment vertical="center"/>
    </xf>
    <xf numFmtId="167" fontId="6" fillId="2" borderId="1" xfId="0" applyNumberFormat="1" applyFont="1" applyFill="1" applyBorder="1" applyAlignment="1">
      <alignment vertical="center"/>
    </xf>
    <xf numFmtId="167" fontId="6" fillId="3" borderId="1" xfId="0" applyNumberFormat="1" applyFont="1" applyFill="1" applyBorder="1" applyAlignment="1">
      <alignment vertical="center"/>
    </xf>
    <xf numFmtId="167" fontId="6" fillId="4" borderId="1" xfId="0" applyNumberFormat="1" applyFont="1" applyFill="1" applyBorder="1" applyAlignment="1">
      <alignment vertical="center"/>
    </xf>
    <xf numFmtId="167" fontId="4" fillId="0" borderId="1" xfId="0" applyNumberFormat="1" applyFont="1" applyFill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wrapText="1"/>
    </xf>
    <xf numFmtId="167" fontId="4" fillId="0" borderId="0" xfId="0" applyNumberFormat="1" applyFont="1"/>
    <xf numFmtId="0" fontId="5" fillId="6" borderId="2" xfId="2" applyFont="1" applyFill="1" applyBorder="1" applyAlignment="1">
      <alignment horizontal="right" vertical="center"/>
    </xf>
    <xf numFmtId="0" fontId="5" fillId="6" borderId="3" xfId="2" applyFont="1" applyFill="1" applyBorder="1" applyAlignment="1">
      <alignment horizontal="center" vertical="center"/>
    </xf>
    <xf numFmtId="170" fontId="8" fillId="6" borderId="3" xfId="3" applyNumberFormat="1" applyFont="1" applyFill="1" applyBorder="1" applyAlignment="1" applyProtection="1">
      <alignment horizontal="center" vertical="center" wrapText="1"/>
    </xf>
    <xf numFmtId="4" fontId="8" fillId="6" borderId="3" xfId="3" applyNumberFormat="1" applyFont="1" applyFill="1" applyBorder="1" applyAlignment="1" applyProtection="1">
      <alignment horizontal="right" vertical="center" wrapText="1"/>
    </xf>
    <xf numFmtId="171" fontId="8" fillId="6" borderId="4" xfId="3" applyNumberFormat="1" applyFont="1" applyFill="1" applyBorder="1" applyAlignment="1" applyProtection="1">
      <alignment horizontal="center" vertical="center" wrapText="1"/>
    </xf>
    <xf numFmtId="171" fontId="8" fillId="6" borderId="0" xfId="3" applyNumberFormat="1" applyFont="1" applyFill="1" applyBorder="1" applyAlignment="1" applyProtection="1">
      <alignment horizontal="center" vertical="center" wrapText="1"/>
    </xf>
    <xf numFmtId="171" fontId="8" fillId="6" borderId="5" xfId="3" applyNumberFormat="1" applyFont="1" applyFill="1" applyBorder="1" applyAlignment="1" applyProtection="1">
      <alignment horizontal="center" vertical="center" wrapText="1"/>
    </xf>
    <xf numFmtId="0" fontId="5" fillId="6" borderId="6" xfId="2" applyFont="1" applyFill="1" applyBorder="1" applyAlignment="1">
      <alignment horizontal="right" vertical="center"/>
    </xf>
    <xf numFmtId="0" fontId="5" fillId="6" borderId="7" xfId="2" applyFont="1" applyFill="1" applyBorder="1" applyAlignment="1">
      <alignment horizontal="center" vertical="center"/>
    </xf>
    <xf numFmtId="170" fontId="8" fillId="6" borderId="7" xfId="3" applyNumberFormat="1" applyFont="1" applyFill="1" applyBorder="1" applyAlignment="1" applyProtection="1">
      <alignment horizontal="center" vertical="center" wrapText="1"/>
    </xf>
    <xf numFmtId="4" fontId="8" fillId="6" borderId="7" xfId="3" applyNumberFormat="1" applyFont="1" applyFill="1" applyBorder="1" applyAlignment="1" applyProtection="1">
      <alignment horizontal="right" vertical="center" wrapText="1"/>
    </xf>
    <xf numFmtId="171" fontId="8" fillId="6" borderId="8" xfId="3" applyNumberFormat="1" applyFont="1" applyFill="1" applyBorder="1" applyAlignment="1" applyProtection="1">
      <alignment horizontal="center" vertical="center" wrapText="1"/>
    </xf>
    <xf numFmtId="171" fontId="8" fillId="6" borderId="9" xfId="3" applyNumberFormat="1" applyFont="1" applyFill="1" applyBorder="1" applyAlignment="1" applyProtection="1">
      <alignment horizontal="center" vertical="center" wrapText="1"/>
    </xf>
    <xf numFmtId="0" fontId="8" fillId="6" borderId="6" xfId="2" applyFont="1" applyFill="1" applyBorder="1" applyAlignment="1">
      <alignment horizontal="right" vertical="center" wrapText="1"/>
    </xf>
    <xf numFmtId="10" fontId="8" fillId="6" borderId="7" xfId="3" applyNumberFormat="1" applyFont="1" applyFill="1" applyBorder="1" applyAlignment="1" applyProtection="1">
      <alignment horizontal="center" vertical="center" wrapText="1"/>
    </xf>
    <xf numFmtId="0" fontId="8" fillId="6" borderId="10" xfId="2" applyFont="1" applyFill="1" applyBorder="1" applyAlignment="1">
      <alignment horizontal="right" vertical="center" wrapText="1"/>
    </xf>
    <xf numFmtId="0" fontId="5" fillId="6" borderId="11" xfId="2" applyFont="1" applyFill="1" applyBorder="1" applyAlignment="1">
      <alignment horizontal="center" vertical="center"/>
    </xf>
    <xf numFmtId="10" fontId="8" fillId="6" borderId="11" xfId="3" applyNumberFormat="1" applyFont="1" applyFill="1" applyBorder="1" applyAlignment="1" applyProtection="1">
      <alignment horizontal="center" vertical="center" wrapText="1"/>
    </xf>
    <xf numFmtId="4" fontId="8" fillId="6" borderId="11" xfId="3" applyNumberFormat="1" applyFont="1" applyFill="1" applyBorder="1" applyAlignment="1" applyProtection="1">
      <alignment horizontal="right" vertical="center" wrapText="1"/>
    </xf>
    <xf numFmtId="171" fontId="8" fillId="6" borderId="12" xfId="3" applyNumberFormat="1" applyFont="1" applyFill="1" applyBorder="1" applyAlignment="1" applyProtection="1">
      <alignment horizontal="center" vertical="center" wrapText="1"/>
    </xf>
    <xf numFmtId="171" fontId="8" fillId="6" borderId="13" xfId="3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/>
    </xf>
    <xf numFmtId="0" fontId="11" fillId="0" borderId="0" xfId="0" applyFont="1"/>
    <xf numFmtId="0" fontId="10" fillId="0" borderId="0" xfId="0" applyFont="1" applyAlignment="1">
      <alignment horizontal="right"/>
    </xf>
    <xf numFmtId="171" fontId="10" fillId="0" borderId="1" xfId="0" applyNumberFormat="1" applyFont="1" applyBorder="1" applyAlignment="1">
      <alignment horizontal="right"/>
    </xf>
    <xf numFmtId="171" fontId="10" fillId="0" borderId="0" xfId="0" applyNumberFormat="1" applyFont="1" applyBorder="1" applyAlignment="1">
      <alignment horizontal="right"/>
    </xf>
    <xf numFmtId="171" fontId="10" fillId="2" borderId="1" xfId="0" applyNumberFormat="1" applyFont="1" applyFill="1" applyBorder="1" applyAlignment="1">
      <alignment horizontal="right"/>
    </xf>
    <xf numFmtId="171" fontId="10" fillId="3" borderId="1" xfId="0" applyNumberFormat="1" applyFont="1" applyFill="1" applyBorder="1" applyAlignment="1">
      <alignment horizontal="right"/>
    </xf>
    <xf numFmtId="171" fontId="10" fillId="4" borderId="1" xfId="0" applyNumberFormat="1" applyFont="1" applyFill="1" applyBorder="1" applyAlignment="1">
      <alignment horizontal="right"/>
    </xf>
    <xf numFmtId="0" fontId="11" fillId="0" borderId="0" xfId="0" applyFont="1" applyAlignment="1">
      <alignment horizontal="right"/>
    </xf>
    <xf numFmtId="167" fontId="11" fillId="0" borderId="1" xfId="0" applyNumberFormat="1" applyFont="1" applyBorder="1" applyAlignment="1">
      <alignment horizontal="right"/>
    </xf>
    <xf numFmtId="0" fontId="13" fillId="8" borderId="1" xfId="2" applyFont="1" applyFill="1" applyBorder="1" applyAlignment="1">
      <alignment horizontal="center" vertical="center"/>
    </xf>
    <xf numFmtId="0" fontId="13" fillId="8" borderId="1" xfId="2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6" fontId="14" fillId="9" borderId="1" xfId="0" applyNumberFormat="1" applyFont="1" applyFill="1" applyBorder="1" applyAlignment="1">
      <alignment horizontal="right" vertical="center" wrapText="1"/>
    </xf>
    <xf numFmtId="0" fontId="15" fillId="0" borderId="1" xfId="2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vertical="center" wrapText="1"/>
    </xf>
    <xf numFmtId="0" fontId="17" fillId="0" borderId="1" xfId="2" applyFont="1" applyFill="1" applyBorder="1" applyAlignment="1">
      <alignment horizontal="center" vertical="center" wrapText="1"/>
    </xf>
    <xf numFmtId="3" fontId="18" fillId="0" borderId="1" xfId="0" applyNumberFormat="1" applyFont="1" applyFill="1" applyBorder="1" applyAlignment="1">
      <alignment horizontal="center" vertical="center"/>
    </xf>
    <xf numFmtId="172" fontId="18" fillId="0" borderId="1" xfId="0" applyNumberFormat="1" applyFont="1" applyFill="1" applyBorder="1" applyAlignment="1">
      <alignment horizontal="center" vertical="center"/>
    </xf>
    <xf numFmtId="173" fontId="19" fillId="0" borderId="1" xfId="3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>
      <alignment vertical="center" wrapText="1"/>
    </xf>
    <xf numFmtId="0" fontId="14" fillId="1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3" fontId="18" fillId="11" borderId="1" xfId="0" applyNumberFormat="1" applyFont="1" applyFill="1" applyBorder="1" applyAlignment="1">
      <alignment horizontal="center" vertical="center" wrapText="1"/>
    </xf>
    <xf numFmtId="8" fontId="18" fillId="0" borderId="1" xfId="0" applyNumberFormat="1" applyFont="1" applyBorder="1" applyAlignment="1">
      <alignment horizontal="right" vertical="center"/>
    </xf>
    <xf numFmtId="6" fontId="18" fillId="0" borderId="1" xfId="0" applyNumberFormat="1" applyFont="1" applyBorder="1" applyAlignment="1">
      <alignment horizontal="right" vertical="center"/>
    </xf>
    <xf numFmtId="6" fontId="18" fillId="9" borderId="1" xfId="0" applyNumberFormat="1" applyFont="1" applyFill="1" applyBorder="1" applyAlignment="1">
      <alignment horizontal="right" vertical="center"/>
    </xf>
    <xf numFmtId="0" fontId="18" fillId="0" borderId="1" xfId="0" applyFont="1" applyBorder="1" applyAlignment="1">
      <alignment horizontal="right" vertical="center" wrapText="1"/>
    </xf>
    <xf numFmtId="10" fontId="18" fillId="0" borderId="1" xfId="1" applyNumberFormat="1" applyFont="1" applyBorder="1" applyAlignment="1">
      <alignment horizontal="center" vertical="center" wrapText="1"/>
    </xf>
    <xf numFmtId="167" fontId="18" fillId="0" borderId="1" xfId="0" applyNumberFormat="1" applyFont="1" applyBorder="1" applyAlignment="1">
      <alignment horizontal="right" vertical="center"/>
    </xf>
    <xf numFmtId="9" fontId="18" fillId="0" borderId="1" xfId="0" applyNumberFormat="1" applyFont="1" applyBorder="1" applyAlignment="1">
      <alignment horizontal="center" vertical="center" wrapText="1"/>
    </xf>
    <xf numFmtId="6" fontId="18" fillId="7" borderId="1" xfId="0" applyNumberFormat="1" applyFont="1" applyFill="1" applyBorder="1" applyAlignment="1">
      <alignment horizontal="right" vertical="center" wrapText="1"/>
    </xf>
    <xf numFmtId="0" fontId="12" fillId="1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173" fontId="22" fillId="11" borderId="1" xfId="0" applyNumberFormat="1" applyFont="1" applyFill="1" applyBorder="1" applyAlignment="1">
      <alignment horizontal="center" vertical="center" wrapText="1"/>
    </xf>
    <xf numFmtId="8" fontId="23" fillId="11" borderId="1" xfId="0" applyNumberFormat="1" applyFont="1" applyFill="1" applyBorder="1" applyAlignment="1">
      <alignment horizontal="center" vertical="center" wrapText="1"/>
    </xf>
    <xf numFmtId="8" fontId="22" fillId="11" borderId="1" xfId="0" applyNumberFormat="1" applyFont="1" applyFill="1" applyBorder="1" applyAlignment="1">
      <alignment horizontal="right" vertical="center" wrapText="1"/>
    </xf>
    <xf numFmtId="173" fontId="24" fillId="12" borderId="1" xfId="0" applyNumberFormat="1" applyFont="1" applyFill="1" applyBorder="1" applyAlignment="1">
      <alignment horizontal="center" vertical="center" wrapText="1"/>
    </xf>
    <xf numFmtId="8" fontId="25" fillId="2" borderId="1" xfId="0" applyNumberFormat="1" applyFont="1" applyFill="1" applyBorder="1" applyAlignment="1">
      <alignment horizontal="center" vertical="center" wrapText="1"/>
    </xf>
    <xf numFmtId="9" fontId="0" fillId="0" borderId="0" xfId="1" applyFont="1" applyAlignment="1">
      <alignment horizontal="center"/>
    </xf>
    <xf numFmtId="8" fontId="0" fillId="0" borderId="0" xfId="0" applyNumberFormat="1"/>
    <xf numFmtId="167" fontId="2" fillId="13" borderId="0" xfId="0" applyNumberFormat="1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1" fillId="0" borderId="1" xfId="0" applyFont="1" applyBorder="1"/>
    <xf numFmtId="168" fontId="27" fillId="2" borderId="1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167" fontId="6" fillId="4" borderId="1" xfId="0" applyNumberFormat="1" applyFont="1" applyFill="1" applyBorder="1"/>
    <xf numFmtId="168" fontId="6" fillId="3" borderId="1" xfId="0" applyNumberFormat="1" applyFont="1" applyFill="1" applyBorder="1" applyAlignment="1">
      <alignment horizontal="center" vertical="center"/>
    </xf>
    <xf numFmtId="167" fontId="0" fillId="0" borderId="0" xfId="0" applyNumberFormat="1"/>
    <xf numFmtId="1" fontId="3" fillId="2" borderId="1" xfId="0" applyNumberFormat="1" applyFont="1" applyFill="1" applyBorder="1" applyAlignment="1">
      <alignment horizontal="center" vertical="center"/>
    </xf>
    <xf numFmtId="167" fontId="3" fillId="2" borderId="1" xfId="0" applyNumberFormat="1" applyFont="1" applyFill="1" applyBorder="1"/>
    <xf numFmtId="167" fontId="6" fillId="0" borderId="1" xfId="0" applyNumberFormat="1" applyFont="1" applyFill="1" applyBorder="1"/>
    <xf numFmtId="0" fontId="4" fillId="0" borderId="1" xfId="0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7" fontId="6" fillId="0" borderId="1" xfId="0" applyNumberFormat="1" applyFont="1" applyBorder="1" applyAlignment="1">
      <alignment horizontal="center" vertical="center"/>
    </xf>
    <xf numFmtId="167" fontId="4" fillId="4" borderId="1" xfId="0" applyNumberFormat="1" applyFont="1" applyFill="1" applyBorder="1" applyAlignment="1">
      <alignment horizontal="center" vertical="center"/>
    </xf>
    <xf numFmtId="167" fontId="5" fillId="4" borderId="1" xfId="0" applyNumberFormat="1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 wrapText="1"/>
    </xf>
    <xf numFmtId="0" fontId="0" fillId="14" borderId="0" xfId="0" applyFill="1"/>
    <xf numFmtId="0" fontId="0" fillId="4" borderId="0" xfId="0" applyFill="1"/>
    <xf numFmtId="167" fontId="6" fillId="4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horizontal="center" vertical="center"/>
    </xf>
    <xf numFmtId="0" fontId="0" fillId="15" borderId="0" xfId="0" applyFill="1"/>
    <xf numFmtId="167" fontId="0" fillId="15" borderId="0" xfId="0" applyNumberFormat="1" applyFill="1"/>
    <xf numFmtId="0" fontId="10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0" fillId="16" borderId="0" xfId="0" applyFill="1" applyAlignment="1">
      <alignment wrapText="1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0" xfId="0" applyBorder="1"/>
    <xf numFmtId="0" fontId="0" fillId="0" borderId="30" xfId="0" applyBorder="1"/>
    <xf numFmtId="0" fontId="11" fillId="4" borderId="0" xfId="0" applyFont="1" applyFill="1"/>
    <xf numFmtId="168" fontId="6" fillId="4" borderId="1" xfId="0" applyNumberFormat="1" applyFont="1" applyFill="1" applyBorder="1" applyAlignment="1">
      <alignment horizontal="center" vertical="center"/>
    </xf>
    <xf numFmtId="0" fontId="5" fillId="15" borderId="1" xfId="0" applyFont="1" applyFill="1" applyBorder="1" applyAlignment="1">
      <alignment horizontal="center" vertical="center"/>
    </xf>
    <xf numFmtId="0" fontId="6" fillId="15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167" fontId="6" fillId="0" borderId="0" xfId="0" applyNumberFormat="1" applyFont="1" applyBorder="1" applyAlignment="1">
      <alignment horizontal="center" vertical="center"/>
    </xf>
    <xf numFmtId="167" fontId="4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44" fontId="10" fillId="0" borderId="1" xfId="4" applyFont="1" applyBorder="1" applyAlignment="1">
      <alignment horizontal="right"/>
    </xf>
    <xf numFmtId="44" fontId="8" fillId="6" borderId="4" xfId="4" applyFont="1" applyFill="1" applyBorder="1" applyAlignment="1" applyProtection="1">
      <alignment horizontal="center" vertical="center" wrapText="1"/>
    </xf>
    <xf numFmtId="44" fontId="8" fillId="6" borderId="0" xfId="4" applyFont="1" applyFill="1" applyBorder="1" applyAlignment="1" applyProtection="1">
      <alignment horizontal="center" vertical="center" wrapText="1"/>
    </xf>
    <xf numFmtId="44" fontId="8" fillId="6" borderId="8" xfId="4" applyFont="1" applyFill="1" applyBorder="1" applyAlignment="1" applyProtection="1">
      <alignment horizontal="center" vertical="center" wrapText="1"/>
    </xf>
    <xf numFmtId="44" fontId="8" fillId="6" borderId="12" xfId="4" applyFont="1" applyFill="1" applyBorder="1" applyAlignment="1" applyProtection="1">
      <alignment horizontal="center" vertical="center" wrapText="1"/>
    </xf>
    <xf numFmtId="44" fontId="10" fillId="17" borderId="0" xfId="4" applyFont="1" applyFill="1" applyBorder="1" applyAlignment="1">
      <alignment horizontal="right"/>
    </xf>
    <xf numFmtId="167" fontId="0" fillId="17" borderId="0" xfId="0" applyNumberFormat="1" applyFill="1"/>
    <xf numFmtId="167" fontId="0" fillId="0" borderId="1" xfId="0" applyNumberFormat="1" applyBorder="1"/>
    <xf numFmtId="44" fontId="0" fillId="0" borderId="1" xfId="4" applyFont="1" applyBorder="1"/>
    <xf numFmtId="0" fontId="4" fillId="18" borderId="1" xfId="0" applyFont="1" applyFill="1" applyBorder="1" applyAlignment="1">
      <alignment wrapText="1"/>
    </xf>
    <xf numFmtId="0" fontId="4" fillId="13" borderId="1" xfId="0" applyFont="1" applyFill="1" applyBorder="1" applyAlignment="1">
      <alignment wrapText="1"/>
    </xf>
    <xf numFmtId="167" fontId="0" fillId="19" borderId="1" xfId="0" applyNumberFormat="1" applyFill="1" applyBorder="1"/>
    <xf numFmtId="43" fontId="0" fillId="0" borderId="0" xfId="5" applyFont="1"/>
    <xf numFmtId="0" fontId="4" fillId="19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19" borderId="1" xfId="0" applyFont="1" applyFill="1" applyBorder="1" applyAlignment="1">
      <alignment horizontal="center" vertical="center" wrapText="1"/>
    </xf>
    <xf numFmtId="43" fontId="0" fillId="0" borderId="0" xfId="0" applyNumberFormat="1"/>
    <xf numFmtId="166" fontId="11" fillId="19" borderId="0" xfId="0" applyNumberFormat="1" applyFont="1" applyFill="1"/>
    <xf numFmtId="0" fontId="4" fillId="20" borderId="1" xfId="0" applyFont="1" applyFill="1" applyBorder="1" applyAlignment="1">
      <alignment horizontal="center" vertical="center" wrapText="1"/>
    </xf>
    <xf numFmtId="0" fontId="30" fillId="0" borderId="0" xfId="0" applyFont="1" applyAlignment="1">
      <alignment wrapText="1"/>
    </xf>
    <xf numFmtId="167" fontId="5" fillId="19" borderId="1" xfId="0" applyNumberFormat="1" applyFont="1" applyFill="1" applyBorder="1"/>
    <xf numFmtId="41" fontId="21" fillId="0" borderId="0" xfId="6" applyFont="1" applyFill="1" applyAlignment="1">
      <alignment vertical="center"/>
    </xf>
    <xf numFmtId="41" fontId="21" fillId="0" borderId="0" xfId="6" applyFont="1" applyAlignment="1">
      <alignment vertical="center"/>
    </xf>
    <xf numFmtId="41" fontId="32" fillId="0" borderId="1" xfId="6" applyFont="1" applyBorder="1" applyAlignment="1">
      <alignment horizontal="center" vertical="center"/>
    </xf>
    <xf numFmtId="41" fontId="32" fillId="22" borderId="14" xfId="6" applyFont="1" applyFill="1" applyBorder="1" applyAlignment="1">
      <alignment vertical="center" wrapText="1"/>
    </xf>
    <xf numFmtId="174" fontId="34" fillId="23" borderId="1" xfId="6" applyNumberFormat="1" applyFont="1" applyFill="1" applyBorder="1" applyAlignment="1">
      <alignment vertical="center"/>
    </xf>
    <xf numFmtId="0" fontId="34" fillId="0" borderId="1" xfId="0" applyFont="1" applyBorder="1" applyAlignment="1">
      <alignment horizontal="center" vertical="center" wrapText="1"/>
    </xf>
    <xf numFmtId="41" fontId="34" fillId="0" borderId="1" xfId="6" applyFont="1" applyBorder="1" applyAlignment="1">
      <alignment vertical="center"/>
    </xf>
    <xf numFmtId="0" fontId="32" fillId="10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right" vertical="center" wrapText="1"/>
    </xf>
    <xf numFmtId="41" fontId="34" fillId="0" borderId="0" xfId="6" applyFont="1" applyAlignment="1">
      <alignment vertical="center"/>
    </xf>
    <xf numFmtId="41" fontId="35" fillId="0" borderId="0" xfId="6" applyFont="1" applyFill="1" applyBorder="1" applyAlignment="1">
      <alignment vertical="center"/>
    </xf>
    <xf numFmtId="41" fontId="36" fillId="0" borderId="0" xfId="6" applyFont="1" applyFill="1" applyBorder="1" applyAlignment="1">
      <alignment vertical="center"/>
    </xf>
    <xf numFmtId="41" fontId="36" fillId="0" borderId="0" xfId="0" applyNumberFormat="1" applyFont="1" applyFill="1" applyBorder="1" applyAlignment="1">
      <alignment vertical="center" wrapText="1"/>
    </xf>
    <xf numFmtId="175" fontId="35" fillId="0" borderId="0" xfId="6" applyNumberFormat="1" applyFont="1" applyFill="1" applyBorder="1" applyAlignment="1">
      <alignment vertical="center"/>
    </xf>
    <xf numFmtId="41" fontId="36" fillId="0" borderId="0" xfId="6" applyFont="1" applyFill="1" applyBorder="1" applyAlignment="1">
      <alignment horizontal="center" vertical="center" wrapText="1"/>
    </xf>
    <xf numFmtId="41" fontId="12" fillId="0" borderId="0" xfId="6" applyNumberFormat="1" applyFont="1" applyFill="1" applyBorder="1" applyAlignment="1">
      <alignment horizontal="center" vertical="center" wrapText="1"/>
    </xf>
    <xf numFmtId="0" fontId="25" fillId="25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8" fontId="23" fillId="11" borderId="1" xfId="0" applyNumberFormat="1" applyFont="1" applyFill="1" applyBorder="1" applyAlignment="1">
      <alignment horizontal="center" vertical="center"/>
    </xf>
    <xf numFmtId="0" fontId="25" fillId="26" borderId="1" xfId="0" applyFont="1" applyFill="1" applyBorder="1" applyAlignment="1">
      <alignment horizontal="center" vertical="center" wrapText="1"/>
    </xf>
    <xf numFmtId="8" fontId="23" fillId="26" borderId="1" xfId="0" applyNumberFormat="1" applyFont="1" applyFill="1" applyBorder="1" applyAlignment="1">
      <alignment horizontal="center" vertical="center" wrapText="1"/>
    </xf>
    <xf numFmtId="41" fontId="34" fillId="0" borderId="1" xfId="6" applyFont="1" applyFill="1" applyBorder="1" applyAlignment="1">
      <alignment vertical="center"/>
    </xf>
    <xf numFmtId="10" fontId="34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6" fontId="23" fillId="11" borderId="1" xfId="0" applyNumberFormat="1" applyFont="1" applyFill="1" applyBorder="1" applyAlignment="1">
      <alignment horizontal="center" vertical="center" wrapText="1"/>
    </xf>
    <xf numFmtId="8" fontId="23" fillId="4" borderId="1" xfId="0" applyNumberFormat="1" applyFont="1" applyFill="1" applyBorder="1" applyAlignment="1">
      <alignment horizontal="center" vertical="center"/>
    </xf>
    <xf numFmtId="8" fontId="25" fillId="25" borderId="1" xfId="0" applyNumberFormat="1" applyFont="1" applyFill="1" applyBorder="1" applyAlignment="1">
      <alignment horizontal="center" vertical="center" wrapText="1"/>
    </xf>
    <xf numFmtId="0" fontId="32" fillId="10" borderId="1" xfId="0" applyFont="1" applyFill="1" applyBorder="1" applyAlignment="1">
      <alignment horizontal="left" vertical="center" wrapText="1"/>
    </xf>
    <xf numFmtId="0" fontId="32" fillId="10" borderId="33" xfId="0" applyFont="1" applyFill="1" applyBorder="1" applyAlignment="1">
      <alignment horizontal="center" vertical="center" wrapText="1"/>
    </xf>
    <xf numFmtId="6" fontId="32" fillId="5" borderId="33" xfId="6" applyNumberFormat="1" applyFont="1" applyFill="1" applyBorder="1" applyAlignment="1">
      <alignment vertical="center"/>
    </xf>
    <xf numFmtId="174" fontId="32" fillId="22" borderId="1" xfId="6" applyNumberFormat="1" applyFont="1" applyFill="1" applyBorder="1" applyAlignment="1">
      <alignment horizontal="right" vertical="center"/>
    </xf>
    <xf numFmtId="0" fontId="25" fillId="5" borderId="34" xfId="0" applyFont="1" applyFill="1" applyBorder="1" applyAlignment="1">
      <alignment horizontal="center" vertical="center" wrapText="1"/>
    </xf>
    <xf numFmtId="0" fontId="31" fillId="0" borderId="17" xfId="0" applyFont="1" applyFill="1" applyBorder="1" applyAlignment="1">
      <alignment horizontal="center" vertical="center" wrapText="1"/>
    </xf>
    <xf numFmtId="0" fontId="31" fillId="0" borderId="31" xfId="0" applyFont="1" applyFill="1" applyBorder="1" applyAlignment="1">
      <alignment horizontal="center" vertical="center" wrapText="1"/>
    </xf>
    <xf numFmtId="0" fontId="31" fillId="0" borderId="18" xfId="0" applyFont="1" applyFill="1" applyBorder="1" applyAlignment="1">
      <alignment horizontal="center" vertical="center" wrapText="1"/>
    </xf>
    <xf numFmtId="0" fontId="38" fillId="27" borderId="35" xfId="8" applyFont="1" applyFill="1" applyBorder="1" applyAlignment="1">
      <alignment vertical="center"/>
    </xf>
    <xf numFmtId="0" fontId="38" fillId="0" borderId="1" xfId="9" applyFont="1" applyBorder="1" applyAlignment="1">
      <alignment horizontal="center" vertical="center"/>
    </xf>
    <xf numFmtId="0" fontId="37" fillId="0" borderId="1" xfId="9" applyFont="1" applyBorder="1" applyAlignment="1">
      <alignment horizontal="center" vertical="center"/>
    </xf>
    <xf numFmtId="4" fontId="38" fillId="0" borderId="1" xfId="10" applyNumberFormat="1" applyFont="1" applyBorder="1" applyAlignment="1">
      <alignment vertical="center" wrapText="1"/>
    </xf>
    <xf numFmtId="4" fontId="37" fillId="0" borderId="1" xfId="10" applyNumberFormat="1" applyFont="1" applyBorder="1" applyAlignment="1">
      <alignment vertical="center" wrapText="1"/>
    </xf>
    <xf numFmtId="0" fontId="37" fillId="0" borderId="1" xfId="11" applyFont="1" applyBorder="1" applyAlignment="1">
      <alignment horizontal="center" vertical="center"/>
    </xf>
    <xf numFmtId="0" fontId="38" fillId="0" borderId="1" xfId="11" applyFont="1" applyBorder="1" applyAlignment="1">
      <alignment horizontal="center" vertical="center"/>
    </xf>
    <xf numFmtId="0" fontId="33" fillId="0" borderId="1" xfId="9" applyFont="1" applyBorder="1" applyAlignment="1">
      <alignment horizontal="center" vertical="center"/>
    </xf>
    <xf numFmtId="4" fontId="33" fillId="0" borderId="1" xfId="10" applyNumberFormat="1" applyFont="1" applyBorder="1" applyAlignment="1">
      <alignment vertical="center" wrapText="1"/>
    </xf>
    <xf numFmtId="0" fontId="33" fillId="0" borderId="1" xfId="11" applyFont="1" applyBorder="1" applyAlignment="1">
      <alignment horizontal="center" vertical="center"/>
    </xf>
    <xf numFmtId="0" fontId="31" fillId="0" borderId="1" xfId="11" applyFont="1" applyBorder="1" applyAlignment="1">
      <alignment horizontal="center" vertical="center"/>
    </xf>
    <xf numFmtId="4" fontId="37" fillId="0" borderId="1" xfId="10" applyNumberFormat="1" applyFont="1" applyFill="1" applyBorder="1" applyAlignment="1">
      <alignment vertical="center" wrapText="1"/>
    </xf>
    <xf numFmtId="4" fontId="31" fillId="0" borderId="1" xfId="10" applyNumberFormat="1" applyFont="1" applyBorder="1" applyAlignment="1">
      <alignment vertical="center" wrapText="1"/>
    </xf>
    <xf numFmtId="0" fontId="31" fillId="0" borderId="33" xfId="11" applyFont="1" applyBorder="1" applyAlignment="1">
      <alignment horizontal="center" vertical="center"/>
    </xf>
    <xf numFmtId="0" fontId="38" fillId="27" borderId="28" xfId="8" applyFont="1" applyFill="1" applyBorder="1" applyAlignment="1">
      <alignment vertical="center"/>
    </xf>
    <xf numFmtId="0" fontId="31" fillId="0" borderId="0" xfId="8" applyFont="1" applyFill="1" applyBorder="1" applyAlignment="1">
      <alignment horizontal="center" vertical="center"/>
    </xf>
    <xf numFmtId="0" fontId="31" fillId="0" borderId="0" xfId="11" applyFont="1" applyBorder="1" applyAlignment="1">
      <alignment horizontal="center" vertical="center"/>
    </xf>
    <xf numFmtId="0" fontId="33" fillId="0" borderId="0" xfId="11" applyFont="1" applyBorder="1" applyAlignment="1">
      <alignment horizontal="center" vertical="center"/>
    </xf>
    <xf numFmtId="0" fontId="33" fillId="0" borderId="0" xfId="11" applyFont="1" applyFill="1" applyBorder="1" applyAlignment="1">
      <alignment horizontal="center" vertical="center"/>
    </xf>
    <xf numFmtId="0" fontId="38" fillId="0" borderId="33" xfId="11" applyFont="1" applyBorder="1" applyAlignment="1">
      <alignment horizontal="center" vertical="center"/>
    </xf>
    <xf numFmtId="4" fontId="37" fillId="0" borderId="34" xfId="10" applyNumberFormat="1" applyFont="1" applyFill="1" applyBorder="1" applyAlignment="1">
      <alignment vertical="center" wrapText="1"/>
    </xf>
    <xf numFmtId="0" fontId="31" fillId="0" borderId="0" xfId="8" applyFont="1" applyFill="1" applyBorder="1" applyAlignment="1">
      <alignment vertical="center"/>
    </xf>
    <xf numFmtId="0" fontId="38" fillId="0" borderId="0" xfId="8" applyFont="1" applyFill="1" applyBorder="1" applyAlignment="1">
      <alignment vertical="center"/>
    </xf>
    <xf numFmtId="0" fontId="0" fillId="0" borderId="37" xfId="13" applyFont="1" applyBorder="1" applyAlignment="1">
      <alignment horizontal="center" vertical="center"/>
    </xf>
    <xf numFmtId="0" fontId="0" fillId="0" borderId="1" xfId="14" applyFont="1" applyBorder="1" applyAlignment="1">
      <alignment horizontal="justify" vertical="center" wrapText="1"/>
    </xf>
    <xf numFmtId="0" fontId="0" fillId="0" borderId="1" xfId="14" applyFont="1" applyBorder="1" applyAlignment="1">
      <alignment horizontal="center" vertical="center" wrapText="1"/>
    </xf>
    <xf numFmtId="2" fontId="4" fillId="23" borderId="1" xfId="11" applyNumberFormat="1" applyFont="1" applyFill="1" applyBorder="1" applyAlignment="1">
      <alignment vertical="center" wrapText="1"/>
    </xf>
    <xf numFmtId="0" fontId="5" fillId="0" borderId="1" xfId="14" applyBorder="1" applyAlignment="1">
      <alignment horizontal="justify" vertical="center" wrapText="1"/>
    </xf>
    <xf numFmtId="0" fontId="5" fillId="0" borderId="1" xfId="14" applyBorder="1" applyAlignment="1">
      <alignment horizontal="center" vertical="center" wrapText="1"/>
    </xf>
    <xf numFmtId="0" fontId="5" fillId="28" borderId="1" xfId="11" applyFill="1" applyBorder="1" applyAlignment="1">
      <alignment horizontal="center" vertical="center"/>
    </xf>
    <xf numFmtId="0" fontId="5" fillId="0" borderId="1" xfId="11" applyBorder="1" applyAlignment="1">
      <alignment horizontal="center" vertical="center"/>
    </xf>
    <xf numFmtId="0" fontId="0" fillId="11" borderId="1" xfId="14" applyFont="1" applyFill="1" applyBorder="1" applyAlignment="1">
      <alignment horizontal="justify" vertical="center" wrapText="1"/>
    </xf>
    <xf numFmtId="0" fontId="5" fillId="11" borderId="1" xfId="11" applyFill="1" applyBorder="1" applyAlignment="1">
      <alignment horizontal="center" vertical="center"/>
    </xf>
    <xf numFmtId="0" fontId="5" fillId="0" borderId="37" xfId="13" applyBorder="1" applyAlignment="1">
      <alignment horizontal="center" vertical="center"/>
    </xf>
    <xf numFmtId="2" fontId="5" fillId="23" borderId="1" xfId="11" applyNumberFormat="1" applyFill="1" applyBorder="1" applyAlignment="1">
      <alignment vertical="center" wrapText="1"/>
    </xf>
    <xf numFmtId="0" fontId="5" fillId="11" borderId="1" xfId="14" applyFill="1" applyBorder="1" applyAlignment="1">
      <alignment horizontal="justify" vertical="center" wrapText="1"/>
    </xf>
    <xf numFmtId="2" fontId="4" fillId="11" borderId="1" xfId="11" applyNumberFormat="1" applyFont="1" applyFill="1" applyBorder="1" applyAlignment="1">
      <alignment vertical="center" wrapText="1"/>
    </xf>
    <xf numFmtId="2" fontId="4" fillId="0" borderId="1" xfId="11" applyNumberFormat="1" applyFont="1" applyBorder="1" applyAlignment="1">
      <alignment vertical="center" wrapText="1"/>
    </xf>
    <xf numFmtId="0" fontId="5" fillId="11" borderId="1" xfId="14" applyFill="1" applyBorder="1" applyAlignment="1">
      <alignment horizontal="center" vertical="center" wrapText="1"/>
    </xf>
    <xf numFmtId="0" fontId="5" fillId="23" borderId="1" xfId="14" applyFill="1" applyBorder="1" applyAlignment="1">
      <alignment horizontal="justify" vertical="center" wrapText="1"/>
    </xf>
    <xf numFmtId="0" fontId="5" fillId="23" borderId="1" xfId="11" applyFill="1" applyBorder="1" applyAlignment="1">
      <alignment horizontal="center" vertical="center"/>
    </xf>
    <xf numFmtId="2" fontId="5" fillId="0" borderId="1" xfId="14" applyNumberFormat="1" applyBorder="1" applyAlignment="1">
      <alignment vertical="center" wrapText="1"/>
    </xf>
    <xf numFmtId="0" fontId="0" fillId="11" borderId="37" xfId="13" applyFont="1" applyFill="1" applyBorder="1" applyAlignment="1">
      <alignment horizontal="center" vertical="center"/>
    </xf>
    <xf numFmtId="2" fontId="5" fillId="11" borderId="1" xfId="14" applyNumberFormat="1" applyFill="1" applyBorder="1" applyAlignment="1">
      <alignment vertical="center" wrapText="1"/>
    </xf>
    <xf numFmtId="0" fontId="5" fillId="23" borderId="37" xfId="13" applyFill="1" applyBorder="1" applyAlignment="1">
      <alignment horizontal="center" vertical="center"/>
    </xf>
    <xf numFmtId="0" fontId="5" fillId="0" borderId="1" xfId="11" applyBorder="1" applyAlignment="1">
      <alignment horizontal="justify" vertical="center"/>
    </xf>
    <xf numFmtId="0" fontId="4" fillId="0" borderId="1" xfId="11" applyFont="1" applyBorder="1" applyAlignment="1">
      <alignment horizontal="center" vertical="center" wrapText="1"/>
    </xf>
    <xf numFmtId="0" fontId="4" fillId="0" borderId="1" xfId="11" applyFont="1" applyBorder="1" applyAlignment="1">
      <alignment horizontal="center" vertical="center"/>
    </xf>
    <xf numFmtId="2" fontId="4" fillId="0" borderId="1" xfId="11" applyNumberFormat="1" applyFont="1" applyBorder="1" applyAlignment="1">
      <alignment vertical="center"/>
    </xf>
    <xf numFmtId="2" fontId="4" fillId="11" borderId="1" xfId="11" applyNumberFormat="1" applyFont="1" applyFill="1" applyBorder="1" applyAlignment="1">
      <alignment vertical="center"/>
    </xf>
    <xf numFmtId="0" fontId="5" fillId="0" borderId="1" xfId="11" applyBorder="1" applyAlignment="1">
      <alignment horizontal="justify" vertical="center" wrapText="1"/>
    </xf>
    <xf numFmtId="2" fontId="4" fillId="23" borderId="1" xfId="11" applyNumberFormat="1" applyFont="1" applyFill="1" applyBorder="1" applyAlignment="1">
      <alignment vertical="center"/>
    </xf>
    <xf numFmtId="0" fontId="5" fillId="23" borderId="1" xfId="11" applyFill="1" applyBorder="1" applyAlignment="1">
      <alignment horizontal="justify" vertical="center"/>
    </xf>
    <xf numFmtId="0" fontId="4" fillId="23" borderId="1" xfId="11" applyFont="1" applyFill="1" applyBorder="1" applyAlignment="1">
      <alignment horizontal="center" vertical="center"/>
    </xf>
    <xf numFmtId="2" fontId="5" fillId="23" borderId="1" xfId="11" applyNumberFormat="1" applyFill="1" applyBorder="1" applyAlignment="1">
      <alignment vertical="center"/>
    </xf>
    <xf numFmtId="2" fontId="5" fillId="0" borderId="1" xfId="11" applyNumberFormat="1" applyBorder="1" applyAlignment="1">
      <alignment vertical="center"/>
    </xf>
    <xf numFmtId="0" fontId="0" fillId="23" borderId="37" xfId="13" applyFont="1" applyFill="1" applyBorder="1" applyAlignment="1">
      <alignment horizontal="center" vertical="center"/>
    </xf>
    <xf numFmtId="2" fontId="5" fillId="0" borderId="1" xfId="15" applyNumberFormat="1" applyFont="1" applyFill="1" applyBorder="1" applyAlignment="1" applyProtection="1">
      <alignment vertical="center"/>
    </xf>
    <xf numFmtId="2" fontId="5" fillId="23" borderId="1" xfId="15" applyNumberFormat="1" applyFont="1" applyFill="1" applyBorder="1" applyAlignment="1" applyProtection="1">
      <alignment vertical="center"/>
    </xf>
    <xf numFmtId="0" fontId="40" fillId="11" borderId="37" xfId="13" applyFont="1" applyFill="1" applyBorder="1" applyAlignment="1">
      <alignment horizontal="center" vertical="center"/>
    </xf>
    <xf numFmtId="2" fontId="5" fillId="23" borderId="1" xfId="14" applyNumberFormat="1" applyFill="1" applyBorder="1" applyAlignment="1">
      <alignment vertical="center" wrapText="1"/>
    </xf>
    <xf numFmtId="0" fontId="5" fillId="23" borderId="1" xfId="14" applyFill="1" applyBorder="1" applyAlignment="1">
      <alignment horizontal="center" vertical="center" wrapText="1"/>
    </xf>
    <xf numFmtId="0" fontId="39" fillId="23" borderId="1" xfId="11" applyFont="1" applyFill="1" applyBorder="1" applyAlignment="1">
      <alignment horizontal="left" vertical="center" wrapText="1"/>
    </xf>
    <xf numFmtId="0" fontId="5" fillId="23" borderId="1" xfId="11" applyFill="1" applyBorder="1" applyAlignment="1">
      <alignment horizontal="left" vertical="center" wrapText="1"/>
    </xf>
    <xf numFmtId="0" fontId="5" fillId="11" borderId="1" xfId="11" applyFill="1" applyBorder="1" applyAlignment="1">
      <alignment horizontal="justify" vertical="center"/>
    </xf>
    <xf numFmtId="0" fontId="0" fillId="0" borderId="1" xfId="14" applyFont="1" applyBorder="1" applyAlignment="1">
      <alignment horizontal="left" vertical="top" wrapText="1"/>
    </xf>
    <xf numFmtId="2" fontId="4" fillId="23" borderId="1" xfId="11" applyNumberFormat="1" applyFont="1" applyFill="1" applyBorder="1" applyAlignment="1">
      <alignment horizontal="right" vertical="center"/>
    </xf>
    <xf numFmtId="0" fontId="40" fillId="0" borderId="1" xfId="11" applyFont="1" applyBorder="1" applyAlignment="1">
      <alignment wrapText="1"/>
    </xf>
    <xf numFmtId="0" fontId="40" fillId="0" borderId="1" xfId="11" applyFont="1" applyBorder="1" applyAlignment="1">
      <alignment horizontal="center"/>
    </xf>
    <xf numFmtId="2" fontId="40" fillId="23" borderId="1" xfId="11" applyNumberFormat="1" applyFont="1" applyFill="1" applyBorder="1"/>
    <xf numFmtId="0" fontId="40" fillId="0" borderId="33" xfId="11" applyFont="1" applyBorder="1" applyAlignment="1">
      <alignment wrapText="1"/>
    </xf>
    <xf numFmtId="0" fontId="40" fillId="0" borderId="33" xfId="11" applyFont="1" applyBorder="1" applyAlignment="1">
      <alignment horizontal="center"/>
    </xf>
    <xf numFmtId="2" fontId="40" fillId="23" borderId="33" xfId="11" applyNumberFormat="1" applyFont="1" applyFill="1" applyBorder="1"/>
    <xf numFmtId="2" fontId="40" fillId="0" borderId="33" xfId="11" applyNumberFormat="1" applyFont="1" applyBorder="1"/>
    <xf numFmtId="0" fontId="40" fillId="29" borderId="33" xfId="11" applyFont="1" applyFill="1" applyBorder="1" applyAlignment="1">
      <alignment wrapText="1"/>
    </xf>
    <xf numFmtId="0" fontId="40" fillId="29" borderId="33" xfId="11" applyFont="1" applyFill="1" applyBorder="1" applyAlignment="1">
      <alignment horizontal="center"/>
    </xf>
    <xf numFmtId="2" fontId="40" fillId="29" borderId="33" xfId="11" applyNumberFormat="1" applyFont="1" applyFill="1" applyBorder="1"/>
    <xf numFmtId="0" fontId="40" fillId="29" borderId="33" xfId="11" applyFont="1" applyFill="1" applyBorder="1" applyAlignment="1">
      <alignment vertical="top" wrapText="1"/>
    </xf>
    <xf numFmtId="0" fontId="40" fillId="0" borderId="1" xfId="11" applyFont="1" applyBorder="1"/>
    <xf numFmtId="2" fontId="40" fillId="0" borderId="1" xfId="11" applyNumberFormat="1" applyFont="1" applyBorder="1"/>
    <xf numFmtId="0" fontId="40" fillId="0" borderId="33" xfId="11" applyFont="1" applyBorder="1"/>
    <xf numFmtId="0" fontId="5" fillId="0" borderId="1" xfId="11" applyBorder="1" applyAlignment="1">
      <alignment horizontal="justify" vertical="top" wrapText="1"/>
    </xf>
    <xf numFmtId="0" fontId="5" fillId="0" borderId="1" xfId="14" applyBorder="1" applyAlignment="1">
      <alignment horizontal="justify" vertical="center"/>
    </xf>
    <xf numFmtId="0" fontId="5" fillId="11" borderId="37" xfId="13" applyFill="1" applyBorder="1" applyAlignment="1">
      <alignment horizontal="center" vertical="center"/>
    </xf>
    <xf numFmtId="0" fontId="38" fillId="27" borderId="27" xfId="8" applyFont="1" applyFill="1" applyBorder="1" applyAlignment="1">
      <alignment vertical="center"/>
    </xf>
    <xf numFmtId="4" fontId="33" fillId="0" borderId="20" xfId="10" applyNumberFormat="1" applyFont="1" applyBorder="1" applyAlignment="1">
      <alignment vertical="center" wrapText="1"/>
    </xf>
    <xf numFmtId="4" fontId="33" fillId="0" borderId="16" xfId="10" applyNumberFormat="1" applyFont="1" applyFill="1" applyBorder="1" applyAlignment="1">
      <alignment vertical="center" wrapText="1"/>
    </xf>
    <xf numFmtId="4" fontId="33" fillId="0" borderId="18" xfId="10" applyNumberFormat="1" applyFont="1" applyFill="1" applyBorder="1" applyAlignment="1">
      <alignment vertical="center" wrapText="1"/>
    </xf>
    <xf numFmtId="4" fontId="38" fillId="0" borderId="39" xfId="10" applyNumberFormat="1" applyFont="1" applyBorder="1" applyAlignment="1">
      <alignment vertical="center" wrapText="1"/>
    </xf>
    <xf numFmtId="4" fontId="37" fillId="0" borderId="39" xfId="10" applyNumberFormat="1" applyFont="1" applyBorder="1" applyAlignment="1">
      <alignment vertical="center" wrapText="1"/>
    </xf>
    <xf numFmtId="0" fontId="38" fillId="0" borderId="39" xfId="9" applyFont="1" applyBorder="1" applyAlignment="1">
      <alignment horizontal="center" vertical="center"/>
    </xf>
    <xf numFmtId="4" fontId="33" fillId="0" borderId="39" xfId="10" applyNumberFormat="1" applyFont="1" applyBorder="1" applyAlignment="1">
      <alignment vertical="center" wrapText="1"/>
    </xf>
    <xf numFmtId="4" fontId="37" fillId="0" borderId="39" xfId="10" applyNumberFormat="1" applyFont="1" applyFill="1" applyBorder="1" applyAlignment="1">
      <alignment vertical="center" wrapText="1"/>
    </xf>
    <xf numFmtId="0" fontId="38" fillId="27" borderId="38" xfId="8" applyFont="1" applyFill="1" applyBorder="1" applyAlignment="1">
      <alignment vertical="center"/>
    </xf>
    <xf numFmtId="0" fontId="37" fillId="0" borderId="39" xfId="9" applyFont="1" applyBorder="1" applyAlignment="1">
      <alignment horizontal="center" vertical="center"/>
    </xf>
    <xf numFmtId="0" fontId="40" fillId="0" borderId="0" xfId="11" applyFont="1" applyBorder="1" applyAlignment="1">
      <alignment vertical="top" wrapText="1"/>
    </xf>
    <xf numFmtId="0" fontId="33" fillId="0" borderId="39" xfId="9" applyFont="1" applyBorder="1" applyAlignment="1">
      <alignment horizontal="center" vertical="center"/>
    </xf>
    <xf numFmtId="4" fontId="37" fillId="0" borderId="40" xfId="10" applyNumberFormat="1" applyFont="1" applyFill="1" applyBorder="1" applyAlignment="1">
      <alignment vertical="center" wrapText="1"/>
    </xf>
    <xf numFmtId="4" fontId="31" fillId="0" borderId="39" xfId="10" applyNumberFormat="1" applyFont="1" applyBorder="1" applyAlignment="1">
      <alignment vertical="center" wrapText="1"/>
    </xf>
    <xf numFmtId="4" fontId="31" fillId="0" borderId="41" xfId="10" applyNumberFormat="1" applyFont="1" applyBorder="1" applyAlignment="1">
      <alignment vertical="center" wrapText="1"/>
    </xf>
    <xf numFmtId="4" fontId="37" fillId="0" borderId="39" xfId="12" applyNumberFormat="1" applyFont="1" applyBorder="1" applyAlignment="1">
      <alignment vertical="center" wrapText="1"/>
    </xf>
    <xf numFmtId="4" fontId="38" fillId="0" borderId="41" xfId="10" applyNumberFormat="1" applyFont="1" applyBorder="1" applyAlignment="1">
      <alignment vertical="center" wrapText="1"/>
    </xf>
    <xf numFmtId="0" fontId="33" fillId="0" borderId="42" xfId="11" applyFont="1" applyBorder="1" applyAlignment="1">
      <alignment horizontal="center" vertical="center"/>
    </xf>
    <xf numFmtId="0" fontId="33" fillId="0" borderId="36" xfId="9" applyFont="1" applyBorder="1" applyAlignment="1">
      <alignment horizontal="left" vertical="center" wrapText="1"/>
    </xf>
    <xf numFmtId="0" fontId="33" fillId="0" borderId="36" xfId="9" applyFont="1" applyBorder="1" applyAlignment="1">
      <alignment horizontal="center" vertical="center"/>
    </xf>
    <xf numFmtId="4" fontId="33" fillId="0" borderId="36" xfId="10" applyNumberFormat="1" applyFont="1" applyBorder="1" applyAlignment="1">
      <alignment vertical="center" wrapText="1"/>
    </xf>
    <xf numFmtId="0" fontId="37" fillId="0" borderId="36" xfId="9" applyFont="1" applyBorder="1" applyAlignment="1">
      <alignment horizontal="center" vertical="center"/>
    </xf>
    <xf numFmtId="4" fontId="37" fillId="0" borderId="43" xfId="10" applyNumberFormat="1" applyFont="1" applyBorder="1" applyAlignment="1">
      <alignment vertical="center" wrapText="1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12" borderId="1" xfId="0" applyFont="1" applyFill="1" applyBorder="1" applyAlignment="1">
      <alignment horizontal="center" vertical="center" wrapText="1"/>
    </xf>
    <xf numFmtId="8" fontId="12" fillId="1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8" fontId="22" fillId="0" borderId="1" xfId="0" applyNumberFormat="1" applyFont="1" applyFill="1" applyBorder="1" applyAlignment="1">
      <alignment horizontal="center" vertical="center" wrapText="1"/>
    </xf>
    <xf numFmtId="0" fontId="22" fillId="11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left" vertical="center" wrapText="1"/>
    </xf>
    <xf numFmtId="0" fontId="31" fillId="21" borderId="1" xfId="0" applyFont="1" applyFill="1" applyBorder="1" applyAlignment="1">
      <alignment horizontal="center" vertical="center" wrapText="1"/>
    </xf>
    <xf numFmtId="0" fontId="31" fillId="3" borderId="17" xfId="0" applyFont="1" applyFill="1" applyBorder="1" applyAlignment="1">
      <alignment horizontal="left" vertical="center" wrapText="1"/>
    </xf>
    <xf numFmtId="0" fontId="31" fillId="3" borderId="31" xfId="0" applyFont="1" applyFill="1" applyBorder="1" applyAlignment="1">
      <alignment horizontal="left" vertical="center" wrapText="1"/>
    </xf>
    <xf numFmtId="0" fontId="31" fillId="3" borderId="18" xfId="0" applyFont="1" applyFill="1" applyBorder="1" applyAlignment="1">
      <alignment horizontal="left" vertical="center" wrapText="1"/>
    </xf>
    <xf numFmtId="0" fontId="31" fillId="3" borderId="19" xfId="0" applyFont="1" applyFill="1" applyBorder="1" applyAlignment="1">
      <alignment horizontal="left" vertical="center" wrapText="1"/>
    </xf>
    <xf numFmtId="0" fontId="31" fillId="3" borderId="32" xfId="0" applyFont="1" applyFill="1" applyBorder="1" applyAlignment="1">
      <alignment horizontal="left" vertical="center" wrapText="1"/>
    </xf>
    <xf numFmtId="0" fontId="31" fillId="3" borderId="20" xfId="0" applyFont="1" applyFill="1" applyBorder="1" applyAlignment="1">
      <alignment horizontal="left" vertical="center" wrapText="1"/>
    </xf>
    <xf numFmtId="41" fontId="32" fillId="0" borderId="14" xfId="6" applyFont="1" applyBorder="1" applyAlignment="1">
      <alignment horizontal="center" vertical="center"/>
    </xf>
    <xf numFmtId="41" fontId="32" fillId="0" borderId="15" xfId="6" applyFont="1" applyBorder="1" applyAlignment="1">
      <alignment horizontal="center" vertical="center"/>
    </xf>
    <xf numFmtId="41" fontId="32" fillId="0" borderId="16" xfId="6" applyFont="1" applyBorder="1" applyAlignment="1">
      <alignment horizontal="center" vertical="center"/>
    </xf>
    <xf numFmtId="0" fontId="33" fillId="0" borderId="14" xfId="6" applyNumberFormat="1" applyFont="1" applyBorder="1" applyAlignment="1">
      <alignment horizontal="left" vertical="center" wrapText="1"/>
    </xf>
    <xf numFmtId="0" fontId="33" fillId="0" borderId="15" xfId="6" applyNumberFormat="1" applyFont="1" applyBorder="1" applyAlignment="1">
      <alignment horizontal="left" vertical="center" wrapText="1"/>
    </xf>
    <xf numFmtId="0" fontId="33" fillId="0" borderId="16" xfId="6" applyNumberFormat="1" applyFont="1" applyBorder="1" applyAlignment="1">
      <alignment horizontal="left" vertical="center" wrapText="1"/>
    </xf>
    <xf numFmtId="41" fontId="33" fillId="0" borderId="14" xfId="6" applyFont="1" applyBorder="1" applyAlignment="1">
      <alignment horizontal="left" vertical="center" wrapText="1"/>
    </xf>
    <xf numFmtId="41" fontId="33" fillId="0" borderId="15" xfId="6" applyFont="1" applyBorder="1" applyAlignment="1">
      <alignment horizontal="left" vertical="center" wrapText="1"/>
    </xf>
    <xf numFmtId="41" fontId="33" fillId="0" borderId="16" xfId="6" applyFont="1" applyBorder="1" applyAlignment="1">
      <alignment horizontal="left" vertical="center" wrapText="1"/>
    </xf>
    <xf numFmtId="0" fontId="31" fillId="3" borderId="17" xfId="0" applyFont="1" applyFill="1" applyBorder="1" applyAlignment="1">
      <alignment horizontal="center" vertical="center" wrapText="1"/>
    </xf>
    <xf numFmtId="0" fontId="31" fillId="3" borderId="31" xfId="0" applyFont="1" applyFill="1" applyBorder="1" applyAlignment="1">
      <alignment horizontal="center" vertical="center" wrapText="1"/>
    </xf>
    <xf numFmtId="0" fontId="31" fillId="3" borderId="18" xfId="0" applyFont="1" applyFill="1" applyBorder="1" applyAlignment="1">
      <alignment horizontal="center" vertical="center" wrapText="1"/>
    </xf>
    <xf numFmtId="0" fontId="32" fillId="10" borderId="14" xfId="0" applyFont="1" applyFill="1" applyBorder="1" applyAlignment="1">
      <alignment horizontal="left" vertical="center" wrapText="1"/>
    </xf>
    <xf numFmtId="0" fontId="32" fillId="10" borderId="15" xfId="0" applyFont="1" applyFill="1" applyBorder="1" applyAlignment="1">
      <alignment horizontal="left" vertical="center" wrapText="1"/>
    </xf>
    <xf numFmtId="0" fontId="32" fillId="10" borderId="16" xfId="0" applyFont="1" applyFill="1" applyBorder="1" applyAlignment="1">
      <alignment horizontal="left" vertical="center" wrapText="1"/>
    </xf>
    <xf numFmtId="0" fontId="34" fillId="5" borderId="14" xfId="0" applyFont="1" applyFill="1" applyBorder="1" applyAlignment="1">
      <alignment horizontal="center" vertical="center" wrapText="1"/>
    </xf>
    <xf numFmtId="0" fontId="34" fillId="5" borderId="16" xfId="0" applyFont="1" applyFill="1" applyBorder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 wrapText="1"/>
    </xf>
    <xf numFmtId="0" fontId="32" fillId="3" borderId="15" xfId="0" applyFont="1" applyFill="1" applyBorder="1" applyAlignment="1">
      <alignment horizontal="center" vertical="center" wrapText="1"/>
    </xf>
    <xf numFmtId="0" fontId="32" fillId="3" borderId="16" xfId="0" applyFont="1" applyFill="1" applyBorder="1" applyAlignment="1">
      <alignment horizontal="center" vertical="center" wrapText="1"/>
    </xf>
    <xf numFmtId="41" fontId="32" fillId="22" borderId="14" xfId="6" applyFont="1" applyFill="1" applyBorder="1" applyAlignment="1">
      <alignment horizontal="center" vertical="center" wrapText="1"/>
    </xf>
    <xf numFmtId="41" fontId="32" fillId="22" borderId="15" xfId="6" applyFont="1" applyFill="1" applyBorder="1" applyAlignment="1">
      <alignment horizontal="center" vertical="center" wrapText="1"/>
    </xf>
    <xf numFmtId="41" fontId="32" fillId="22" borderId="16" xfId="6" applyFont="1" applyFill="1" applyBorder="1" applyAlignment="1">
      <alignment horizontal="center" vertical="center" wrapText="1"/>
    </xf>
    <xf numFmtId="0" fontId="31" fillId="17" borderId="1" xfId="0" applyFont="1" applyFill="1" applyBorder="1" applyAlignment="1">
      <alignment horizontal="center" vertical="center" wrapText="1"/>
    </xf>
    <xf numFmtId="0" fontId="38" fillId="27" borderId="27" xfId="8" applyFont="1" applyFill="1" applyBorder="1" applyAlignment="1">
      <alignment horizontal="left" vertical="center"/>
    </xf>
    <xf numFmtId="0" fontId="38" fillId="27" borderId="35" xfId="8" applyFont="1" applyFill="1" applyBorder="1" applyAlignment="1">
      <alignment horizontal="left" vertical="center"/>
    </xf>
    <xf numFmtId="0" fontId="38" fillId="27" borderId="28" xfId="8" applyFont="1" applyFill="1" applyBorder="1" applyAlignment="1">
      <alignment horizontal="left" vertical="center"/>
    </xf>
    <xf numFmtId="0" fontId="34" fillId="0" borderId="14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 wrapText="1"/>
    </xf>
    <xf numFmtId="9" fontId="34" fillId="0" borderId="14" xfId="0" applyNumberFormat="1" applyFont="1" applyBorder="1" applyAlignment="1">
      <alignment horizontal="center" vertical="center" wrapText="1"/>
    </xf>
    <xf numFmtId="9" fontId="34" fillId="0" borderId="16" xfId="0" applyNumberFormat="1" applyFont="1" applyBorder="1" applyAlignment="1">
      <alignment horizontal="center" vertical="center" wrapText="1"/>
    </xf>
    <xf numFmtId="0" fontId="32" fillId="10" borderId="19" xfId="0" applyFont="1" applyFill="1" applyBorder="1" applyAlignment="1">
      <alignment horizontal="left" vertical="center" wrapText="1"/>
    </xf>
    <xf numFmtId="0" fontId="32" fillId="10" borderId="32" xfId="0" applyFont="1" applyFill="1" applyBorder="1" applyAlignment="1">
      <alignment horizontal="left" vertical="center" wrapText="1"/>
    </xf>
    <xf numFmtId="0" fontId="32" fillId="10" borderId="20" xfId="0" applyFont="1" applyFill="1" applyBorder="1" applyAlignment="1">
      <alignment horizontal="left" vertical="center" wrapText="1"/>
    </xf>
    <xf numFmtId="49" fontId="12" fillId="24" borderId="0" xfId="0" applyNumberFormat="1" applyFont="1" applyFill="1" applyAlignment="1">
      <alignment horizontal="center" vertical="center" wrapText="1"/>
    </xf>
    <xf numFmtId="0" fontId="25" fillId="26" borderId="14" xfId="0" applyFont="1" applyFill="1" applyBorder="1" applyAlignment="1">
      <alignment horizontal="center" vertical="center" wrapText="1"/>
    </xf>
    <xf numFmtId="0" fontId="25" fillId="26" borderId="15" xfId="0" applyFont="1" applyFill="1" applyBorder="1" applyAlignment="1">
      <alignment horizontal="center" vertical="center" wrapText="1"/>
    </xf>
    <xf numFmtId="0" fontId="25" fillId="26" borderId="16" xfId="0" applyFont="1" applyFill="1" applyBorder="1" applyAlignment="1">
      <alignment horizontal="center" vertical="center" wrapText="1"/>
    </xf>
    <xf numFmtId="0" fontId="25" fillId="25" borderId="1" xfId="0" applyFont="1" applyFill="1" applyBorder="1" applyAlignment="1">
      <alignment horizontal="center" vertical="center" wrapText="1"/>
    </xf>
  </cellXfs>
  <cellStyles count="16">
    <cellStyle name="Excel Built-in Normal" xfId="2" xr:uid="{00000000-0005-0000-0000-000000000000}"/>
    <cellStyle name="Millares" xfId="5" builtinId="3"/>
    <cellStyle name="Millares [0]" xfId="6" builtinId="6"/>
    <cellStyle name="Millares 2" xfId="3" xr:uid="{00000000-0005-0000-0000-000003000000}"/>
    <cellStyle name="Millares 2 11" xfId="10" xr:uid="{BA0C06BF-C58F-4808-935C-1154239B4216}"/>
    <cellStyle name="Millares 2 14" xfId="12" xr:uid="{BB4B96C2-75C9-47C7-A04E-4AADAA1FFACD}"/>
    <cellStyle name="Millares 3" xfId="15" xr:uid="{F15995AB-5BAD-4207-ABBC-DAAF78CF2980}"/>
    <cellStyle name="Moneda" xfId="4" builtinId="4"/>
    <cellStyle name="Moneda [0] 2" xfId="7" xr:uid="{00000000-0005-0000-0000-000005000000}"/>
    <cellStyle name="Normal" xfId="0" builtinId="0"/>
    <cellStyle name="Normal 2 10 2 2" xfId="11" xr:uid="{84D967B2-0819-46C9-9320-56F1A266A8ED}"/>
    <cellStyle name="Normal 2 10 3" xfId="9" xr:uid="{B72853DB-2716-4720-B430-4020EA9EC42B}"/>
    <cellStyle name="Normal 2 2" xfId="8" xr:uid="{D7F494E4-91F7-4DAD-B34F-BC18EAC6ED39}"/>
    <cellStyle name="Normal 3" xfId="13" xr:uid="{39A825C4-1D5F-4782-97E0-812AECCD3E4D}"/>
    <cellStyle name="Normal_cantidades 2 2" xfId="14" xr:uid="{4F317CCA-5356-4EC8-91B2-F1A30509DD7D}"/>
    <cellStyle name="Porcentaje" xfId="1" builtinId="5"/>
  </cellStyles>
  <dxfs count="120"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636598</xdr:colOff>
      <xdr:row>27</xdr:row>
      <xdr:rowOff>169334</xdr:rowOff>
    </xdr:from>
    <xdr:to>
      <xdr:col>21</xdr:col>
      <xdr:colOff>188384</xdr:colOff>
      <xdr:row>33</xdr:row>
      <xdr:rowOff>63503</xdr:rowOff>
    </xdr:to>
    <xdr:pic>
      <xdr:nvPicPr>
        <xdr:cNvPr id="2" name="Imagen 1" descr="CARCAMOS EN CONCRETO - MUNDO PREFABRICADOS S.A.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02681" y="8117417"/>
          <a:ext cx="2599786" cy="14710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638527</xdr:colOff>
      <xdr:row>38</xdr:row>
      <xdr:rowOff>137582</xdr:rowOff>
    </xdr:from>
    <xdr:to>
      <xdr:col>21</xdr:col>
      <xdr:colOff>222251</xdr:colOff>
      <xdr:row>52</xdr:row>
      <xdr:rowOff>15875</xdr:rowOff>
    </xdr:to>
    <xdr:pic>
      <xdr:nvPicPr>
        <xdr:cNvPr id="4" name="Imagen 3" descr="TOPE-LLANTAS EN CONCRETO - MUNDO PREFABRICADOS S.A.S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2610" y="10128249"/>
          <a:ext cx="3393724" cy="2545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657270</xdr:colOff>
      <xdr:row>15</xdr:row>
      <xdr:rowOff>95251</xdr:rowOff>
    </xdr:from>
    <xdr:to>
      <xdr:col>21</xdr:col>
      <xdr:colOff>275167</xdr:colOff>
      <xdr:row>16</xdr:row>
      <xdr:rowOff>102905</xdr:rowOff>
    </xdr:to>
    <xdr:pic>
      <xdr:nvPicPr>
        <xdr:cNvPr id="6" name="Imagen 5" descr="Adoquín en concreto - tráfico pesado - prefabricados de calidad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47353" y="1809751"/>
          <a:ext cx="1141897" cy="653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105834</xdr:colOff>
      <xdr:row>14</xdr:row>
      <xdr:rowOff>42334</xdr:rowOff>
    </xdr:from>
    <xdr:to>
      <xdr:col>21</xdr:col>
      <xdr:colOff>402167</xdr:colOff>
      <xdr:row>15</xdr:row>
      <xdr:rowOff>312209</xdr:rowOff>
    </xdr:to>
    <xdr:pic>
      <xdr:nvPicPr>
        <xdr:cNvPr id="12" name="Imagen 11" descr="Gramoquines - Prefabricados Omega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7917" y="941917"/>
          <a:ext cx="1058333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300781</xdr:colOff>
      <xdr:row>20</xdr:row>
      <xdr:rowOff>31750</xdr:rowOff>
    </xdr:from>
    <xdr:to>
      <xdr:col>23</xdr:col>
      <xdr:colOff>709085</xdr:colOff>
      <xdr:row>22</xdr:row>
      <xdr:rowOff>336734</xdr:rowOff>
    </xdr:to>
    <xdr:pic>
      <xdr:nvPicPr>
        <xdr:cNvPr id="14" name="Imagen 13" descr="Sardinel A-10 - preconcretos de la sabana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6864" y="5196417"/>
          <a:ext cx="1170304" cy="11199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261192</xdr:colOff>
      <xdr:row>22</xdr:row>
      <xdr:rowOff>2</xdr:rowOff>
    </xdr:from>
    <xdr:to>
      <xdr:col>22</xdr:col>
      <xdr:colOff>18784</xdr:colOff>
      <xdr:row>25</xdr:row>
      <xdr:rowOff>89960</xdr:rowOff>
    </xdr:to>
    <xdr:pic>
      <xdr:nvPicPr>
        <xdr:cNvPr id="16" name="Imagen 15" descr="Alcaldía de Bucaramanga explica la construcción de resaltos que han  generado polémica | Vanguardia.com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51275" y="5979585"/>
          <a:ext cx="2043592" cy="1259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673766</xdr:colOff>
      <xdr:row>17</xdr:row>
      <xdr:rowOff>423334</xdr:rowOff>
    </xdr:from>
    <xdr:to>
      <xdr:col>23</xdr:col>
      <xdr:colOff>656166</xdr:colOff>
      <xdr:row>19</xdr:row>
      <xdr:rowOff>254001</xdr:rowOff>
    </xdr:to>
    <xdr:pic>
      <xdr:nvPicPr>
        <xdr:cNvPr id="18" name="Imagen 17" descr="CAÑUELAS EN CONCRETO - MUNDO PREFABRICADOS S.A.S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87849" y="2783417"/>
          <a:ext cx="1506400" cy="1132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27"/>
  <sheetViews>
    <sheetView topLeftCell="G7" zoomScale="90" zoomScaleNormal="90" workbookViewId="0">
      <selection activeCell="K18" sqref="K18"/>
    </sheetView>
  </sheetViews>
  <sheetFormatPr baseColWidth="10" defaultRowHeight="15" x14ac:dyDescent="0.25"/>
  <cols>
    <col min="1" max="1" width="5" customWidth="1"/>
    <col min="3" max="3" width="34.28515625" customWidth="1"/>
    <col min="5" max="7" width="15.7109375" customWidth="1"/>
    <col min="8" max="8" width="18.140625" customWidth="1"/>
    <col min="9" max="9" width="23" customWidth="1"/>
    <col min="10" max="10" width="18.85546875" customWidth="1"/>
    <col min="11" max="11" width="21.28515625" customWidth="1"/>
    <col min="12" max="12" width="13.85546875" bestFit="1" customWidth="1"/>
  </cols>
  <sheetData>
    <row r="2" spans="2:12" x14ac:dyDescent="0.25">
      <c r="B2" s="339" t="s">
        <v>0</v>
      </c>
      <c r="C2" s="340"/>
      <c r="D2" s="340"/>
      <c r="E2" s="340"/>
      <c r="F2" s="340"/>
      <c r="G2" s="340"/>
      <c r="H2" s="340"/>
    </row>
    <row r="3" spans="2:12" ht="51" customHeight="1" x14ac:dyDescent="0.25">
      <c r="B3" s="1" t="s">
        <v>1</v>
      </c>
      <c r="C3" s="1" t="s">
        <v>2</v>
      </c>
      <c r="D3" s="1" t="s">
        <v>3</v>
      </c>
      <c r="E3" s="117" t="s">
        <v>181</v>
      </c>
      <c r="F3" s="117" t="s">
        <v>182</v>
      </c>
      <c r="G3" s="172" t="s">
        <v>183</v>
      </c>
      <c r="H3" s="117" t="s">
        <v>184</v>
      </c>
      <c r="I3" s="172" t="s">
        <v>178</v>
      </c>
      <c r="J3" s="172" t="s">
        <v>180</v>
      </c>
    </row>
    <row r="4" spans="2:12" x14ac:dyDescent="0.25">
      <c r="B4" s="1"/>
      <c r="C4" s="171"/>
      <c r="D4" s="170" t="s">
        <v>13</v>
      </c>
      <c r="E4" s="117"/>
      <c r="F4" s="117"/>
      <c r="G4" s="1"/>
      <c r="H4" s="2"/>
    </row>
    <row r="5" spans="2:12" ht="26.25" x14ac:dyDescent="0.25">
      <c r="B5" s="18">
        <v>22</v>
      </c>
      <c r="C5" s="7" t="s">
        <v>187</v>
      </c>
      <c r="D5" s="8" t="s">
        <v>13</v>
      </c>
      <c r="E5" s="13">
        <v>1645.65</v>
      </c>
      <c r="F5" s="121">
        <v>1177</v>
      </c>
      <c r="G5" s="29">
        <v>7695</v>
      </c>
      <c r="H5" s="14">
        <f>+G5*E5</f>
        <v>12663276.75</v>
      </c>
      <c r="I5" s="184">
        <f>G5*1.0321</f>
        <v>7942.0095000000001</v>
      </c>
      <c r="J5" s="180">
        <f>F5*I5</f>
        <v>9347745.1815000009</v>
      </c>
    </row>
    <row r="6" spans="2:12" ht="39" x14ac:dyDescent="0.25">
      <c r="B6" s="18">
        <v>23</v>
      </c>
      <c r="C6" s="7" t="s">
        <v>188</v>
      </c>
      <c r="D6" s="8" t="s">
        <v>29</v>
      </c>
      <c r="E6" s="13"/>
      <c r="F6" s="121">
        <f>1177*0.15</f>
        <v>176.54999999999998</v>
      </c>
      <c r="G6" s="29"/>
      <c r="H6" s="14"/>
      <c r="I6" s="184">
        <v>54000</v>
      </c>
      <c r="J6" s="180">
        <f>F6*I6</f>
        <v>9533700</v>
      </c>
      <c r="L6" t="s">
        <v>192</v>
      </c>
    </row>
    <row r="7" spans="2:12" ht="64.5" x14ac:dyDescent="0.25">
      <c r="B7" s="18">
        <v>24</v>
      </c>
      <c r="C7" s="183" t="s">
        <v>193</v>
      </c>
      <c r="D7" s="8" t="s">
        <v>29</v>
      </c>
      <c r="E7" s="13">
        <v>1722</v>
      </c>
      <c r="F7" s="121">
        <f>1177*0.15</f>
        <v>176.54999999999998</v>
      </c>
      <c r="G7" s="10">
        <v>96200</v>
      </c>
      <c r="H7" s="14">
        <f>+G7*E7</f>
        <v>165656400</v>
      </c>
      <c r="I7" s="184">
        <f>621150</f>
        <v>621150</v>
      </c>
      <c r="J7" s="180">
        <f>F7*I7</f>
        <v>109664032.49999999</v>
      </c>
    </row>
    <row r="8" spans="2:12" x14ac:dyDescent="0.25">
      <c r="B8" s="18">
        <v>25</v>
      </c>
      <c r="C8" s="7" t="s">
        <v>19</v>
      </c>
      <c r="D8" s="8" t="s">
        <v>18</v>
      </c>
      <c r="E8" s="13">
        <v>1</v>
      </c>
      <c r="F8" s="15">
        <v>1</v>
      </c>
      <c r="G8" s="19">
        <v>5471416.75</v>
      </c>
      <c r="H8" s="14">
        <f t="shared" ref="H8:H12" si="0">+G8*E8</f>
        <v>5471416.75</v>
      </c>
      <c r="I8" s="184">
        <f t="shared" ref="I8:I12" si="1">G8*1.0321</f>
        <v>5647049.2276750002</v>
      </c>
      <c r="J8" s="180">
        <f t="shared" ref="J8:J14" si="2">F8*I8</f>
        <v>5647049.2276750002</v>
      </c>
    </row>
    <row r="9" spans="2:12" ht="39" x14ac:dyDescent="0.25">
      <c r="B9" s="18">
        <v>26</v>
      </c>
      <c r="C9" s="7" t="s">
        <v>194</v>
      </c>
      <c r="D9" s="8" t="s">
        <v>18</v>
      </c>
      <c r="E9" s="31">
        <v>7.1999999999999993</v>
      </c>
      <c r="F9" s="161">
        <v>8</v>
      </c>
      <c r="G9" s="19">
        <v>1236700</v>
      </c>
      <c r="H9" s="14">
        <f t="shared" si="0"/>
        <v>8904240</v>
      </c>
      <c r="I9" s="184">
        <f>'parqueadero ELV'!I24</f>
        <v>1327453.9928000001</v>
      </c>
      <c r="J9" s="180">
        <f t="shared" si="2"/>
        <v>10619631.942400001</v>
      </c>
    </row>
    <row r="10" spans="2:12" x14ac:dyDescent="0.25">
      <c r="B10" s="18">
        <v>27</v>
      </c>
      <c r="C10" s="7" t="s">
        <v>44</v>
      </c>
      <c r="D10" s="8" t="s">
        <v>3</v>
      </c>
      <c r="E10" s="13">
        <v>10</v>
      </c>
      <c r="F10" s="15">
        <v>28</v>
      </c>
      <c r="G10" s="29">
        <v>576571</v>
      </c>
      <c r="H10" s="14">
        <f t="shared" si="0"/>
        <v>5765710</v>
      </c>
      <c r="I10" s="184">
        <f t="shared" si="1"/>
        <v>595078.92910000007</v>
      </c>
      <c r="J10" s="180">
        <f t="shared" si="2"/>
        <v>16662210.014800001</v>
      </c>
    </row>
    <row r="11" spans="2:12" x14ac:dyDescent="0.25">
      <c r="B11" s="18">
        <v>28</v>
      </c>
      <c r="C11" s="7" t="s">
        <v>46</v>
      </c>
      <c r="D11" s="8" t="s">
        <v>18</v>
      </c>
      <c r="E11" s="13">
        <v>1</v>
      </c>
      <c r="F11" s="15">
        <v>1</v>
      </c>
      <c r="G11" s="29">
        <f>'parqueadero ELV'!G27</f>
        <v>832000</v>
      </c>
      <c r="H11" s="14">
        <f t="shared" si="0"/>
        <v>832000</v>
      </c>
      <c r="I11" s="184">
        <f t="shared" si="1"/>
        <v>858707.20000000007</v>
      </c>
      <c r="J11" s="180">
        <f t="shared" si="2"/>
        <v>858707.20000000007</v>
      </c>
    </row>
    <row r="12" spans="2:12" x14ac:dyDescent="0.25">
      <c r="B12" s="18">
        <v>29</v>
      </c>
      <c r="C12" s="7" t="s">
        <v>48</v>
      </c>
      <c r="D12" s="8" t="s">
        <v>18</v>
      </c>
      <c r="E12" s="13">
        <v>10</v>
      </c>
      <c r="F12" s="15">
        <v>28</v>
      </c>
      <c r="G12" s="19">
        <v>54680</v>
      </c>
      <c r="H12" s="14">
        <f t="shared" si="0"/>
        <v>546800</v>
      </c>
      <c r="I12" s="184">
        <f t="shared" si="1"/>
        <v>56435.228000000003</v>
      </c>
      <c r="J12" s="180">
        <f t="shared" si="2"/>
        <v>1580186.3840000001</v>
      </c>
    </row>
    <row r="13" spans="2:12" x14ac:dyDescent="0.25">
      <c r="B13" s="18">
        <v>30</v>
      </c>
      <c r="C13" s="7" t="s">
        <v>204</v>
      </c>
      <c r="D13" s="8" t="s">
        <v>18</v>
      </c>
      <c r="E13" s="13"/>
      <c r="F13" s="15">
        <v>4</v>
      </c>
      <c r="G13" s="19"/>
      <c r="H13" s="14"/>
      <c r="I13" s="184">
        <v>1000000</v>
      </c>
      <c r="J13" s="180">
        <f t="shared" si="2"/>
        <v>4000000</v>
      </c>
      <c r="K13" s="124" t="e">
        <f>+#REF!+J13</f>
        <v>#REF!</v>
      </c>
    </row>
    <row r="14" spans="2:12" x14ac:dyDescent="0.25">
      <c r="B14" s="18"/>
      <c r="C14" s="7" t="s">
        <v>206</v>
      </c>
      <c r="D14" s="8" t="s">
        <v>24</v>
      </c>
      <c r="E14" s="13"/>
      <c r="F14" s="15">
        <v>8</v>
      </c>
      <c r="G14" s="19">
        <v>101374</v>
      </c>
      <c r="H14" s="14"/>
      <c r="I14" s="194">
        <v>101374</v>
      </c>
      <c r="J14" s="180">
        <f t="shared" si="2"/>
        <v>810992</v>
      </c>
      <c r="K14" s="124"/>
    </row>
    <row r="15" spans="2:12" x14ac:dyDescent="0.25">
      <c r="B15" s="18">
        <v>32</v>
      </c>
      <c r="C15" s="7" t="s">
        <v>195</v>
      </c>
      <c r="D15" s="8" t="s">
        <v>196</v>
      </c>
      <c r="E15" s="13">
        <v>1</v>
      </c>
      <c r="F15" s="15">
        <v>1</v>
      </c>
      <c r="G15" s="19"/>
      <c r="H15" s="14">
        <f t="shared" ref="H15" si="3">+G15*E15</f>
        <v>0</v>
      </c>
      <c r="I15" s="184">
        <v>2000000</v>
      </c>
      <c r="J15" s="180">
        <f t="shared" ref="J15" si="4">F15*I15</f>
        <v>2000000</v>
      </c>
    </row>
    <row r="16" spans="2:12" x14ac:dyDescent="0.25">
      <c r="B16" s="47"/>
      <c r="C16" s="48"/>
      <c r="D16" s="47"/>
      <c r="E16" s="49"/>
      <c r="F16" s="49"/>
      <c r="G16" s="49"/>
      <c r="H16" s="49"/>
    </row>
    <row r="17" spans="2:12" x14ac:dyDescent="0.25">
      <c r="B17" s="47"/>
      <c r="C17" s="48"/>
      <c r="D17" s="47"/>
      <c r="E17" s="49"/>
      <c r="F17" s="49"/>
      <c r="G17" s="49"/>
      <c r="H17" s="49"/>
      <c r="K17" t="s">
        <v>191</v>
      </c>
    </row>
    <row r="18" spans="2:12" x14ac:dyDescent="0.25">
      <c r="B18" s="47"/>
      <c r="C18" s="50" t="s">
        <v>59</v>
      </c>
      <c r="D18" s="51"/>
      <c r="E18" s="55"/>
      <c r="F18" s="55"/>
      <c r="G18" s="55"/>
      <c r="H18" s="56">
        <f>+SUM(H7:H16)</f>
        <v>187176566.75</v>
      </c>
      <c r="J18" s="184">
        <f>SUM(J5:J15)</f>
        <v>170724254.45037499</v>
      </c>
      <c r="K18" s="184">
        <f>+J18/1270</f>
        <v>134428.5468113189</v>
      </c>
      <c r="L18" s="124"/>
    </row>
    <row r="19" spans="2:12" x14ac:dyDescent="0.25">
      <c r="B19" s="73"/>
      <c r="C19" s="57" t="s">
        <v>60</v>
      </c>
      <c r="D19" s="58"/>
      <c r="E19" s="55"/>
      <c r="F19" s="55"/>
      <c r="G19" s="55"/>
      <c r="H19" s="62">
        <f>+SUM(H20:H23)</f>
        <v>49077695.801849999</v>
      </c>
      <c r="J19" s="180">
        <f>SUM(J20:J23)</f>
        <v>44763899.516888328</v>
      </c>
    </row>
    <row r="20" spans="2:12" x14ac:dyDescent="0.25">
      <c r="B20" s="73"/>
      <c r="C20" s="63" t="s">
        <v>61</v>
      </c>
      <c r="D20" s="64">
        <v>0.17269999999999999</v>
      </c>
      <c r="E20" s="55"/>
      <c r="F20" s="55"/>
      <c r="G20" s="55"/>
      <c r="H20" s="62">
        <f>+D20*H18</f>
        <v>32325393.077724997</v>
      </c>
      <c r="J20" s="180">
        <f>J18*D20</f>
        <v>29484078.74357976</v>
      </c>
    </row>
    <row r="21" spans="2:12" x14ac:dyDescent="0.25">
      <c r="B21" s="73"/>
      <c r="C21" s="63" t="s">
        <v>62</v>
      </c>
      <c r="D21" s="64">
        <v>0.03</v>
      </c>
      <c r="E21" s="55"/>
      <c r="F21" s="55"/>
      <c r="G21" s="55"/>
      <c r="H21" s="62">
        <f>+D21*H18</f>
        <v>5615297.0024999995</v>
      </c>
      <c r="J21" s="180">
        <f>J18*D21</f>
        <v>5121727.6335112499</v>
      </c>
    </row>
    <row r="22" spans="2:12" x14ac:dyDescent="0.25">
      <c r="B22" s="73"/>
      <c r="C22" s="63" t="s">
        <v>63</v>
      </c>
      <c r="D22" s="64">
        <v>0.05</v>
      </c>
      <c r="E22" s="55"/>
      <c r="F22" s="55"/>
      <c r="G22" s="55"/>
      <c r="H22" s="62">
        <f>+D22*H18</f>
        <v>9358828.3375000004</v>
      </c>
      <c r="J22" s="181">
        <f>D22*J18</f>
        <v>8536212.7225187495</v>
      </c>
    </row>
    <row r="23" spans="2:12" x14ac:dyDescent="0.25">
      <c r="B23" s="73"/>
      <c r="C23" s="65" t="s">
        <v>64</v>
      </c>
      <c r="D23" s="67">
        <v>0.19</v>
      </c>
      <c r="E23" s="55"/>
      <c r="F23" s="55"/>
      <c r="G23" s="55"/>
      <c r="H23" s="70">
        <f>+D23*H22</f>
        <v>1778177.3841250001</v>
      </c>
      <c r="J23" s="181">
        <f>J22*D23</f>
        <v>1621880.4172785624</v>
      </c>
    </row>
    <row r="24" spans="2:12" x14ac:dyDescent="0.25">
      <c r="B24" s="73"/>
      <c r="C24" s="73"/>
      <c r="D24" s="73"/>
      <c r="E24" s="73"/>
      <c r="F24" s="73"/>
      <c r="G24" s="73"/>
      <c r="H24" s="73"/>
    </row>
    <row r="25" spans="2:12" x14ac:dyDescent="0.25">
      <c r="B25" s="73"/>
      <c r="C25" s="73"/>
      <c r="D25" s="73"/>
      <c r="E25" s="76"/>
      <c r="F25" s="76"/>
      <c r="G25" s="76"/>
      <c r="H25" s="78">
        <f>+H19+H18</f>
        <v>236254262.55184999</v>
      </c>
      <c r="J25" s="179">
        <f>J18+J19</f>
        <v>215488153.96726331</v>
      </c>
    </row>
    <row r="26" spans="2:12" x14ac:dyDescent="0.25">
      <c r="B26" s="73"/>
      <c r="C26" s="73"/>
      <c r="D26" s="73"/>
      <c r="E26" s="73"/>
      <c r="F26" s="73"/>
      <c r="G26" s="73"/>
      <c r="H26" s="119"/>
    </row>
    <row r="27" spans="2:12" x14ac:dyDescent="0.25">
      <c r="B27" s="73"/>
      <c r="C27" s="73"/>
      <c r="D27" s="73"/>
      <c r="E27" s="73"/>
      <c r="F27" s="73"/>
      <c r="G27" s="73"/>
      <c r="H27" s="81"/>
    </row>
  </sheetData>
  <protectedRanges>
    <protectedRange sqref="D20:D22" name="Rango3_2_1_3"/>
  </protectedRanges>
  <mergeCells count="1">
    <mergeCell ref="B2:H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W49"/>
  <sheetViews>
    <sheetView topLeftCell="G25" zoomScale="90" zoomScaleNormal="90" workbookViewId="0">
      <selection activeCell="G7" sqref="G7"/>
    </sheetView>
  </sheetViews>
  <sheetFormatPr baseColWidth="10" defaultRowHeight="15" x14ac:dyDescent="0.25"/>
  <cols>
    <col min="1" max="1" width="5" customWidth="1"/>
    <col min="3" max="3" width="61" customWidth="1"/>
    <col min="5" max="5" width="16.7109375" customWidth="1"/>
    <col min="6" max="6" width="18" customWidth="1"/>
    <col min="7" max="7" width="16.28515625" customWidth="1"/>
    <col min="8" max="10" width="19.140625" customWidth="1"/>
    <col min="11" max="11" width="24.28515625" customWidth="1"/>
    <col min="12" max="12" width="15.85546875" customWidth="1"/>
    <col min="13" max="13" width="26.5703125" customWidth="1"/>
    <col min="14" max="14" width="20.5703125" customWidth="1"/>
    <col min="16" max="16" width="13.85546875" customWidth="1"/>
  </cols>
  <sheetData>
    <row r="1" spans="2:23" x14ac:dyDescent="0.25">
      <c r="E1" t="s">
        <v>165</v>
      </c>
      <c r="G1">
        <f>10.93+23.02+79.07</f>
        <v>113.02</v>
      </c>
      <c r="M1" s="149"/>
      <c r="N1" s="150">
        <v>198</v>
      </c>
      <c r="P1" s="342" t="s">
        <v>174</v>
      </c>
      <c r="Q1" s="343"/>
      <c r="R1" s="157">
        <v>42</v>
      </c>
      <c r="S1" s="157">
        <v>5.4</v>
      </c>
      <c r="T1" s="157" t="s">
        <v>170</v>
      </c>
      <c r="U1" s="157"/>
      <c r="V1" s="150">
        <f>+S1*R1</f>
        <v>226.8</v>
      </c>
    </row>
    <row r="2" spans="2:23" x14ac:dyDescent="0.25">
      <c r="E2" s="73" t="s">
        <v>162</v>
      </c>
      <c r="G2">
        <f>192.5+208+31.5+13.63+17.44+10.57</f>
        <v>473.64</v>
      </c>
      <c r="M2" s="151" t="s">
        <v>168</v>
      </c>
      <c r="N2" s="152">
        <f>62.5*2</f>
        <v>125</v>
      </c>
      <c r="P2" s="344"/>
      <c r="Q2" s="345"/>
      <c r="R2" s="158">
        <v>41</v>
      </c>
      <c r="S2" s="158">
        <v>2.5499999999999998</v>
      </c>
      <c r="T2" s="158" t="s">
        <v>171</v>
      </c>
      <c r="U2" s="158"/>
      <c r="V2" s="152">
        <f>+S2*R2</f>
        <v>104.55</v>
      </c>
    </row>
    <row r="3" spans="2:23" x14ac:dyDescent="0.25">
      <c r="E3" s="160" t="s">
        <v>161</v>
      </c>
      <c r="F3" s="136"/>
      <c r="G3" s="136">
        <f>339.6+235.8</f>
        <v>575.40000000000009</v>
      </c>
      <c r="M3" s="151"/>
      <c r="N3" s="152">
        <v>5.6</v>
      </c>
      <c r="P3" s="151"/>
      <c r="Q3" s="158"/>
      <c r="R3" s="158"/>
      <c r="S3" s="158"/>
      <c r="T3" s="158"/>
      <c r="U3" s="158"/>
      <c r="V3" s="152"/>
    </row>
    <row r="4" spans="2:23" ht="15.75" thickBot="1" x14ac:dyDescent="0.3">
      <c r="E4" s="160" t="s">
        <v>163</v>
      </c>
      <c r="F4" s="136"/>
      <c r="G4" s="136">
        <v>722.2</v>
      </c>
      <c r="M4" s="153"/>
      <c r="N4" s="154">
        <f>SUM(N1:N3)</f>
        <v>328.6</v>
      </c>
      <c r="P4" s="151" t="s">
        <v>172</v>
      </c>
      <c r="Q4" s="158"/>
      <c r="R4" s="158">
        <v>155.41</v>
      </c>
      <c r="S4" s="158"/>
      <c r="T4" s="158"/>
      <c r="U4" s="158"/>
      <c r="V4" s="152"/>
    </row>
    <row r="5" spans="2:23" ht="15.75" thickBot="1" x14ac:dyDescent="0.3">
      <c r="E5" s="160" t="s">
        <v>164</v>
      </c>
      <c r="F5" s="136"/>
      <c r="G5" s="136">
        <v>118.2</v>
      </c>
      <c r="P5" s="153" t="s">
        <v>173</v>
      </c>
      <c r="Q5" s="159"/>
      <c r="R5" s="159">
        <v>38.71</v>
      </c>
      <c r="S5" s="159"/>
      <c r="T5" s="159"/>
      <c r="U5" s="159"/>
      <c r="V5" s="154">
        <f>+V1+V2+R4+R5</f>
        <v>525.47</v>
      </c>
    </row>
    <row r="6" spans="2:23" ht="15.75" thickBot="1" x14ac:dyDescent="0.3">
      <c r="E6" s="73"/>
      <c r="G6">
        <f>+G3+G4+G5</f>
        <v>1415.8000000000002</v>
      </c>
      <c r="M6" s="155" t="s">
        <v>169</v>
      </c>
      <c r="N6" s="156">
        <f>8.1+6.4</f>
        <v>14.5</v>
      </c>
      <c r="P6" t="s">
        <v>175</v>
      </c>
    </row>
    <row r="7" spans="2:23" x14ac:dyDescent="0.25">
      <c r="E7" s="73" t="s">
        <v>207</v>
      </c>
    </row>
    <row r="8" spans="2:23" x14ac:dyDescent="0.25">
      <c r="E8" s="73"/>
    </row>
    <row r="10" spans="2:23" x14ac:dyDescent="0.25">
      <c r="B10" s="339" t="s">
        <v>122</v>
      </c>
      <c r="C10" s="340"/>
      <c r="D10" s="340"/>
      <c r="E10" s="340"/>
      <c r="F10" s="340"/>
      <c r="G10" s="340"/>
      <c r="H10" s="340"/>
      <c r="I10" s="340"/>
      <c r="J10" s="340"/>
      <c r="K10" s="340"/>
      <c r="L10" s="341"/>
      <c r="M10" s="143"/>
      <c r="P10" t="s">
        <v>110</v>
      </c>
    </row>
    <row r="11" spans="2:23" ht="75" x14ac:dyDescent="0.25">
      <c r="B11" s="1" t="s">
        <v>1</v>
      </c>
      <c r="C11" s="1" t="s">
        <v>2</v>
      </c>
      <c r="D11" s="1" t="s">
        <v>3</v>
      </c>
      <c r="E11" s="172" t="s">
        <v>185</v>
      </c>
      <c r="F11" s="148" t="s">
        <v>166</v>
      </c>
      <c r="G11" s="172" t="s">
        <v>183</v>
      </c>
      <c r="H11" s="172" t="s">
        <v>184</v>
      </c>
      <c r="I11" s="172" t="s">
        <v>178</v>
      </c>
      <c r="J11" s="172" t="s">
        <v>179</v>
      </c>
      <c r="K11" s="5" t="s">
        <v>10</v>
      </c>
      <c r="L11" s="5" t="s">
        <v>11</v>
      </c>
      <c r="M11" s="144"/>
      <c r="N11" s="145" t="s">
        <v>159</v>
      </c>
    </row>
    <row r="12" spans="2:23" x14ac:dyDescent="0.25">
      <c r="B12" s="6">
        <v>1</v>
      </c>
      <c r="C12" s="128" t="s">
        <v>121</v>
      </c>
      <c r="D12" s="35" t="s">
        <v>13</v>
      </c>
      <c r="E12" s="146">
        <v>1402</v>
      </c>
      <c r="F12" s="146">
        <v>1889.44</v>
      </c>
      <c r="G12" s="138">
        <f>'plazoleta ELV'!G5</f>
        <v>7695</v>
      </c>
      <c r="H12" s="130">
        <f>+G12*E12</f>
        <v>10788390</v>
      </c>
      <c r="I12" s="130">
        <f>G12*1.0321</f>
        <v>7942.0095000000001</v>
      </c>
      <c r="J12" s="130">
        <f>F12*I12</f>
        <v>15005950.429680001</v>
      </c>
      <c r="K12" s="71"/>
      <c r="L12" s="72" t="s">
        <v>32</v>
      </c>
      <c r="M12" s="140"/>
      <c r="N12" s="130">
        <v>4132</v>
      </c>
      <c r="O12" t="s">
        <v>115</v>
      </c>
      <c r="P12" s="124">
        <v>1350</v>
      </c>
      <c r="S12" t="s">
        <v>158</v>
      </c>
    </row>
    <row r="13" spans="2:23" ht="39" customHeight="1" x14ac:dyDescent="0.25">
      <c r="B13" s="6">
        <v>7</v>
      </c>
      <c r="C13" s="134" t="s">
        <v>145</v>
      </c>
      <c r="D13" s="35" t="s">
        <v>29</v>
      </c>
      <c r="E13" s="36">
        <v>1399</v>
      </c>
      <c r="F13" s="162">
        <f>+(G3+G4+G5)*0.5*1.3</f>
        <v>920.2700000000001</v>
      </c>
      <c r="G13" s="129">
        <f>+ROUND(50227*1.04,0)</f>
        <v>52236</v>
      </c>
      <c r="H13" s="130">
        <f>+G13*E13</f>
        <v>73078164</v>
      </c>
      <c r="I13" s="130">
        <v>22500</v>
      </c>
      <c r="J13" s="130">
        <f>F13*I13</f>
        <v>20706075.000000004</v>
      </c>
      <c r="K13" s="71"/>
      <c r="L13" s="72"/>
      <c r="M13" s="140"/>
      <c r="N13" s="130">
        <v>56257</v>
      </c>
      <c r="O13" s="141" t="s">
        <v>146</v>
      </c>
      <c r="P13" s="142">
        <v>43900</v>
      </c>
      <c r="T13" s="136" t="s">
        <v>125</v>
      </c>
      <c r="U13" s="136" t="s">
        <v>130</v>
      </c>
      <c r="V13" s="136"/>
    </row>
    <row r="14" spans="2:23" x14ac:dyDescent="0.25">
      <c r="B14" s="6">
        <v>8</v>
      </c>
      <c r="C14" s="128" t="s">
        <v>197</v>
      </c>
      <c r="D14" s="35" t="s">
        <v>29</v>
      </c>
      <c r="E14" s="36">
        <v>979</v>
      </c>
      <c r="F14" s="162">
        <f>+(G3+G4+G5)*0.35</f>
        <v>495.53000000000003</v>
      </c>
      <c r="G14" s="132">
        <f>+ROUND(84981*1.04,0)</f>
        <v>88380</v>
      </c>
      <c r="H14" s="132">
        <f>+G14*E14</f>
        <v>86524020</v>
      </c>
      <c r="I14" s="130">
        <v>82247</v>
      </c>
      <c r="J14" s="130">
        <f>F14*I14</f>
        <v>40755855.910000004</v>
      </c>
      <c r="K14" s="71"/>
      <c r="L14" s="72"/>
      <c r="M14" s="140"/>
      <c r="N14" s="130">
        <v>68883</v>
      </c>
      <c r="O14" t="s">
        <v>115</v>
      </c>
      <c r="P14" s="124">
        <v>79214</v>
      </c>
      <c r="Q14" t="s">
        <v>119</v>
      </c>
      <c r="W14" s="136" t="s">
        <v>129</v>
      </c>
    </row>
    <row r="15" spans="2:23" ht="39" x14ac:dyDescent="0.25">
      <c r="B15" s="6">
        <v>2</v>
      </c>
      <c r="C15" s="128" t="s">
        <v>147</v>
      </c>
      <c r="D15" s="35" t="s">
        <v>13</v>
      </c>
      <c r="E15" s="146">
        <v>525</v>
      </c>
      <c r="F15" s="146">
        <v>575.4</v>
      </c>
      <c r="G15" s="132">
        <f>ROUND(84115*1.04,0)</f>
        <v>87480</v>
      </c>
      <c r="H15" s="130">
        <f t="shared" ref="H15:H33" si="0">+G15*E15</f>
        <v>45927000</v>
      </c>
      <c r="I15" s="130">
        <f t="shared" ref="I15:I33" si="1">G15*1.0321</f>
        <v>90288.108000000007</v>
      </c>
      <c r="J15" s="130">
        <f t="shared" ref="J15:J33" si="2">F15*I15</f>
        <v>51951777.343200006</v>
      </c>
      <c r="K15" s="71" t="s">
        <v>14</v>
      </c>
      <c r="L15" s="72"/>
      <c r="M15" s="140"/>
      <c r="N15" s="130"/>
      <c r="O15" t="s">
        <v>123</v>
      </c>
      <c r="P15" s="124">
        <v>66360</v>
      </c>
      <c r="Q15" t="s">
        <v>113</v>
      </c>
      <c r="W15" s="141" t="s">
        <v>153</v>
      </c>
    </row>
    <row r="16" spans="2:23" ht="51" x14ac:dyDescent="0.25">
      <c r="B16" s="6">
        <v>3</v>
      </c>
      <c r="C16" s="128" t="s">
        <v>148</v>
      </c>
      <c r="D16" s="35" t="s">
        <v>13</v>
      </c>
      <c r="E16" s="146">
        <v>960</v>
      </c>
      <c r="F16" s="146">
        <v>722.2</v>
      </c>
      <c r="G16" s="132">
        <f>ROUND(95140*1.04,0)</f>
        <v>98946</v>
      </c>
      <c r="H16" s="130">
        <f>+G16*E16</f>
        <v>94988160</v>
      </c>
      <c r="I16" s="130">
        <f t="shared" si="1"/>
        <v>102122.1666</v>
      </c>
      <c r="J16" s="130">
        <f t="shared" si="2"/>
        <v>73752628.718520001</v>
      </c>
      <c r="K16" s="71"/>
      <c r="L16" s="72"/>
      <c r="M16" s="140"/>
      <c r="N16" s="130">
        <v>52528</v>
      </c>
      <c r="O16" t="s">
        <v>115</v>
      </c>
      <c r="P16" s="124">
        <v>90885</v>
      </c>
      <c r="Q16" t="s">
        <v>111</v>
      </c>
      <c r="W16" s="141" t="s">
        <v>154</v>
      </c>
    </row>
    <row r="17" spans="2:23" ht="25.5" x14ac:dyDescent="0.25">
      <c r="B17" s="6" t="s">
        <v>167</v>
      </c>
      <c r="C17" s="189" t="s">
        <v>198</v>
      </c>
      <c r="D17" s="35" t="s">
        <v>13</v>
      </c>
      <c r="E17" s="146"/>
      <c r="F17" s="146">
        <v>118.2</v>
      </c>
      <c r="G17" s="132"/>
      <c r="H17" s="130"/>
      <c r="I17" s="130">
        <f>'plazoleta ELV'!I7</f>
        <v>621150</v>
      </c>
      <c r="J17" s="130">
        <f t="shared" si="2"/>
        <v>73419930</v>
      </c>
      <c r="K17" s="71"/>
      <c r="L17" s="72"/>
      <c r="M17" s="140"/>
      <c r="N17" s="130"/>
      <c r="P17" s="124"/>
      <c r="W17" s="141"/>
    </row>
    <row r="18" spans="2:23" ht="76.5" x14ac:dyDescent="0.25">
      <c r="B18" s="6">
        <v>4</v>
      </c>
      <c r="C18" s="128" t="s">
        <v>128</v>
      </c>
      <c r="D18" s="35" t="s">
        <v>18</v>
      </c>
      <c r="E18" s="146">
        <v>2</v>
      </c>
      <c r="F18" s="146">
        <v>1</v>
      </c>
      <c r="G18" s="129">
        <v>5471416.75</v>
      </c>
      <c r="H18" s="130">
        <f t="shared" si="0"/>
        <v>10942833.5</v>
      </c>
      <c r="I18" s="130">
        <f t="shared" si="1"/>
        <v>5647049.2276750002</v>
      </c>
      <c r="J18" s="130">
        <f t="shared" si="2"/>
        <v>5647049.2276750002</v>
      </c>
      <c r="K18" s="71"/>
      <c r="L18" s="72"/>
      <c r="M18" s="140"/>
      <c r="N18" s="130"/>
      <c r="P18" s="124"/>
      <c r="Q18" t="s">
        <v>127</v>
      </c>
    </row>
    <row r="19" spans="2:23" ht="25.5" x14ac:dyDescent="0.25">
      <c r="B19" s="6">
        <v>5</v>
      </c>
      <c r="C19" s="128" t="s">
        <v>149</v>
      </c>
      <c r="D19" s="35" t="s">
        <v>24</v>
      </c>
      <c r="E19" s="36">
        <v>211</v>
      </c>
      <c r="F19" s="147">
        <f>176+21.7</f>
        <v>197.7</v>
      </c>
      <c r="G19" s="132">
        <f>+ROUND(120000*1.04,0)</f>
        <v>124800</v>
      </c>
      <c r="H19" s="130">
        <f t="shared" si="0"/>
        <v>26332800</v>
      </c>
      <c r="I19" s="130">
        <f t="shared" si="1"/>
        <v>128806.08</v>
      </c>
      <c r="J19" s="130">
        <f t="shared" si="2"/>
        <v>25464962.015999999</v>
      </c>
      <c r="K19" s="71"/>
      <c r="L19" s="72"/>
      <c r="M19" s="140"/>
      <c r="N19" s="130">
        <v>43504</v>
      </c>
      <c r="O19" t="s">
        <v>115</v>
      </c>
      <c r="P19" s="124">
        <v>100318</v>
      </c>
      <c r="Q19" s="141" t="s">
        <v>152</v>
      </c>
      <c r="R19" s="141"/>
      <c r="S19" s="141"/>
      <c r="T19" s="141" t="s">
        <v>151</v>
      </c>
      <c r="U19" s="141">
        <v>56000</v>
      </c>
    </row>
    <row r="20" spans="2:23" ht="39" x14ac:dyDescent="0.25">
      <c r="B20" s="6">
        <v>6</v>
      </c>
      <c r="C20" s="128" t="s">
        <v>150</v>
      </c>
      <c r="D20" s="35" t="s">
        <v>13</v>
      </c>
      <c r="E20" s="146">
        <v>525</v>
      </c>
      <c r="F20" s="146">
        <f>+F15</f>
        <v>575.4</v>
      </c>
      <c r="G20" s="133">
        <f>ROUND(11230*1.04,0)</f>
        <v>11679</v>
      </c>
      <c r="H20" s="130">
        <f t="shared" si="0"/>
        <v>6131475</v>
      </c>
      <c r="I20" s="130">
        <f t="shared" si="1"/>
        <v>12053.8959</v>
      </c>
      <c r="J20" s="130">
        <f t="shared" si="2"/>
        <v>6935811.7008599993</v>
      </c>
      <c r="K20" s="71" t="s">
        <v>14</v>
      </c>
      <c r="L20" s="72"/>
      <c r="M20" s="140"/>
      <c r="N20" s="130"/>
      <c r="O20" t="s">
        <v>115</v>
      </c>
      <c r="P20" s="124">
        <v>9938</v>
      </c>
      <c r="Q20" t="s">
        <v>124</v>
      </c>
    </row>
    <row r="21" spans="2:23" ht="25.5" x14ac:dyDescent="0.25">
      <c r="B21" s="6">
        <v>9</v>
      </c>
      <c r="C21" s="128" t="s">
        <v>131</v>
      </c>
      <c r="D21" s="35" t="s">
        <v>24</v>
      </c>
      <c r="E21" s="41">
        <v>334</v>
      </c>
      <c r="F21" s="146">
        <v>334</v>
      </c>
      <c r="G21" s="132">
        <f>+ROUND(46331*1.04,0)</f>
        <v>48184</v>
      </c>
      <c r="H21" s="130">
        <f t="shared" si="0"/>
        <v>16093456</v>
      </c>
      <c r="I21" s="130">
        <f t="shared" si="1"/>
        <v>49730.706400000003</v>
      </c>
      <c r="J21" s="130">
        <f t="shared" si="2"/>
        <v>16610055.937600002</v>
      </c>
      <c r="K21" s="71"/>
      <c r="L21" s="72"/>
      <c r="M21" s="140"/>
      <c r="N21" s="130"/>
      <c r="O21" s="141" t="s">
        <v>115</v>
      </c>
      <c r="P21" s="142">
        <v>46169</v>
      </c>
      <c r="R21" s="135" t="s">
        <v>151</v>
      </c>
      <c r="S21" s="135">
        <v>60100</v>
      </c>
    </row>
    <row r="22" spans="2:23" ht="38.25" x14ac:dyDescent="0.25">
      <c r="B22" s="6">
        <v>10</v>
      </c>
      <c r="C22" s="128" t="s">
        <v>134</v>
      </c>
      <c r="D22" s="35" t="s">
        <v>13</v>
      </c>
      <c r="E22" s="41">
        <v>126</v>
      </c>
      <c r="F22" s="163">
        <f>90+15</f>
        <v>105</v>
      </c>
      <c r="G22" s="137">
        <f>ROUND(136676*1.04,0)</f>
        <v>142143</v>
      </c>
      <c r="H22" s="130">
        <f t="shared" si="0"/>
        <v>17910018</v>
      </c>
      <c r="I22" s="130">
        <f t="shared" si="1"/>
        <v>146705.79029999999</v>
      </c>
      <c r="J22" s="130">
        <f t="shared" si="2"/>
        <v>15404107.9815</v>
      </c>
      <c r="K22" s="71"/>
      <c r="L22" s="72"/>
      <c r="M22" s="140"/>
      <c r="N22" s="130"/>
      <c r="O22" t="s">
        <v>132</v>
      </c>
      <c r="P22" s="124"/>
    </row>
    <row r="23" spans="2:23" ht="38.25" x14ac:dyDescent="0.25">
      <c r="B23" s="6">
        <v>11</v>
      </c>
      <c r="C23" s="128" t="s">
        <v>143</v>
      </c>
      <c r="D23" s="35" t="s">
        <v>13</v>
      </c>
      <c r="E23" s="146">
        <v>32</v>
      </c>
      <c r="F23" s="147">
        <v>15</v>
      </c>
      <c r="G23" s="137">
        <f>+ROUND(149868*1.04,0)</f>
        <v>155863</v>
      </c>
      <c r="H23" s="130">
        <f t="shared" si="0"/>
        <v>4987616</v>
      </c>
      <c r="I23" s="130">
        <f t="shared" si="1"/>
        <v>160866.2023</v>
      </c>
      <c r="J23" s="130">
        <f t="shared" si="2"/>
        <v>2412993.0345000001</v>
      </c>
      <c r="K23" s="71"/>
      <c r="L23" s="72"/>
      <c r="M23" s="140"/>
      <c r="N23" s="130"/>
      <c r="O23" t="s">
        <v>133</v>
      </c>
    </row>
    <row r="24" spans="2:23" ht="39" x14ac:dyDescent="0.25">
      <c r="B24" s="6">
        <v>12</v>
      </c>
      <c r="C24" s="128" t="s">
        <v>135</v>
      </c>
      <c r="D24" s="35" t="s">
        <v>18</v>
      </c>
      <c r="E24" s="36">
        <v>17</v>
      </c>
      <c r="F24" s="147">
        <v>17</v>
      </c>
      <c r="G24" s="138">
        <f>ROUND(1236700*1.04,0)</f>
        <v>1286168</v>
      </c>
      <c r="H24" s="130">
        <f>+G24*E24</f>
        <v>21864856</v>
      </c>
      <c r="I24" s="130">
        <f t="shared" si="1"/>
        <v>1327453.9928000001</v>
      </c>
      <c r="J24" s="130">
        <f t="shared" si="2"/>
        <v>22566717.877600003</v>
      </c>
      <c r="K24" s="71" t="s">
        <v>41</v>
      </c>
      <c r="L24" s="72"/>
      <c r="M24" s="140"/>
      <c r="N24" s="130"/>
      <c r="O24" t="s">
        <v>155</v>
      </c>
    </row>
    <row r="25" spans="2:23" x14ac:dyDescent="0.25">
      <c r="B25" s="6">
        <v>13</v>
      </c>
      <c r="C25" s="128" t="s">
        <v>126</v>
      </c>
      <c r="D25" s="35" t="s">
        <v>24</v>
      </c>
      <c r="E25" s="36">
        <v>50</v>
      </c>
      <c r="F25" s="146">
        <v>50</v>
      </c>
      <c r="G25" s="138">
        <f>ROUND(48580*1.04,0)</f>
        <v>50523</v>
      </c>
      <c r="H25" s="130">
        <f t="shared" si="0"/>
        <v>2526150</v>
      </c>
      <c r="I25" s="130">
        <f t="shared" si="1"/>
        <v>52144.7883</v>
      </c>
      <c r="J25" s="130">
        <f t="shared" si="2"/>
        <v>2607239.415</v>
      </c>
      <c r="K25" s="71"/>
      <c r="L25" s="72"/>
      <c r="M25" s="140"/>
      <c r="N25" s="130"/>
      <c r="O25" t="s">
        <v>155</v>
      </c>
    </row>
    <row r="26" spans="2:23" ht="25.5" x14ac:dyDescent="0.25">
      <c r="B26" s="6">
        <v>14</v>
      </c>
      <c r="C26" s="128" t="s">
        <v>157</v>
      </c>
      <c r="D26" s="35" t="s">
        <v>24</v>
      </c>
      <c r="E26" s="41">
        <v>23</v>
      </c>
      <c r="F26" s="41">
        <v>50</v>
      </c>
      <c r="G26" s="138">
        <f>+ROUND(93406*1.04,0)</f>
        <v>97142</v>
      </c>
      <c r="H26" s="130">
        <f t="shared" si="0"/>
        <v>2234266</v>
      </c>
      <c r="I26" s="130">
        <f t="shared" si="1"/>
        <v>100260.2582</v>
      </c>
      <c r="J26" s="130">
        <f t="shared" si="2"/>
        <v>5013012.91</v>
      </c>
      <c r="K26" s="71"/>
      <c r="L26" s="72"/>
      <c r="M26" s="140"/>
      <c r="N26" s="130">
        <v>93453</v>
      </c>
      <c r="O26" t="s">
        <v>136</v>
      </c>
      <c r="R26" s="141" t="s">
        <v>156</v>
      </c>
      <c r="S26" s="141"/>
      <c r="T26" s="141"/>
      <c r="U26" s="141"/>
      <c r="V26" s="141"/>
      <c r="W26" s="141"/>
    </row>
    <row r="27" spans="2:23" ht="38.25" x14ac:dyDescent="0.25">
      <c r="B27" s="6">
        <v>15</v>
      </c>
      <c r="C27" s="128" t="s">
        <v>160</v>
      </c>
      <c r="D27" s="35" t="s">
        <v>18</v>
      </c>
      <c r="E27" s="146">
        <v>1</v>
      </c>
      <c r="F27" s="146">
        <v>1</v>
      </c>
      <c r="G27" s="129">
        <f>+ROUND(800000*1.04,0)</f>
        <v>832000</v>
      </c>
      <c r="H27" s="130">
        <f t="shared" si="0"/>
        <v>832000</v>
      </c>
      <c r="I27" s="130">
        <f t="shared" si="1"/>
        <v>858707.20000000007</v>
      </c>
      <c r="J27" s="130">
        <f t="shared" si="2"/>
        <v>858707.20000000007</v>
      </c>
      <c r="K27" s="71"/>
      <c r="L27" s="72"/>
      <c r="M27" s="140"/>
      <c r="N27" s="130">
        <v>569500</v>
      </c>
      <c r="O27" t="s">
        <v>137</v>
      </c>
      <c r="R27" t="s">
        <v>110</v>
      </c>
      <c r="S27">
        <v>552000</v>
      </c>
    </row>
    <row r="28" spans="2:23" x14ac:dyDescent="0.25">
      <c r="B28" s="6">
        <v>16</v>
      </c>
      <c r="C28" s="128" t="s">
        <v>138</v>
      </c>
      <c r="D28" s="35" t="s">
        <v>29</v>
      </c>
      <c r="E28" s="36">
        <v>20</v>
      </c>
      <c r="F28" s="41">
        <v>4</v>
      </c>
      <c r="G28" s="129">
        <f>+ROUND(90000*1.04,0)</f>
        <v>93600</v>
      </c>
      <c r="H28" s="130">
        <f t="shared" si="0"/>
        <v>1872000</v>
      </c>
      <c r="I28" s="130">
        <f t="shared" si="1"/>
        <v>96604.56</v>
      </c>
      <c r="J28" s="130">
        <f t="shared" si="2"/>
        <v>386418.24</v>
      </c>
      <c r="K28" s="71"/>
      <c r="L28" s="72"/>
      <c r="M28" s="140"/>
      <c r="N28" s="130"/>
      <c r="O28" t="s">
        <v>139</v>
      </c>
    </row>
    <row r="29" spans="2:23" ht="38.25" x14ac:dyDescent="0.25">
      <c r="B29" s="6">
        <v>17</v>
      </c>
      <c r="C29" s="128" t="s">
        <v>176</v>
      </c>
      <c r="D29" s="35" t="s">
        <v>24</v>
      </c>
      <c r="E29" s="36">
        <v>40</v>
      </c>
      <c r="F29" s="41">
        <v>200</v>
      </c>
      <c r="G29" s="129">
        <v>310000</v>
      </c>
      <c r="H29" s="130">
        <f t="shared" si="0"/>
        <v>12400000</v>
      </c>
      <c r="I29" s="130">
        <f t="shared" si="1"/>
        <v>319951</v>
      </c>
      <c r="J29" s="130">
        <f t="shared" si="2"/>
        <v>63990200</v>
      </c>
      <c r="K29" s="71"/>
      <c r="L29" s="72"/>
      <c r="M29" s="140"/>
      <c r="N29" s="130"/>
      <c r="O29" t="s">
        <v>140</v>
      </c>
    </row>
    <row r="30" spans="2:23" x14ac:dyDescent="0.25">
      <c r="B30" s="6">
        <v>18</v>
      </c>
      <c r="C30" s="128" t="s">
        <v>141</v>
      </c>
      <c r="D30" s="35" t="s">
        <v>18</v>
      </c>
      <c r="E30" s="146">
        <v>82</v>
      </c>
      <c r="F30" s="146">
        <v>82</v>
      </c>
      <c r="G30" s="129">
        <f>+ROUND(46000*1.04,0)</f>
        <v>47840</v>
      </c>
      <c r="H30" s="130">
        <f t="shared" si="0"/>
        <v>3922880</v>
      </c>
      <c r="I30" s="130">
        <f t="shared" si="1"/>
        <v>49375.664000000004</v>
      </c>
      <c r="J30" s="130">
        <f t="shared" si="2"/>
        <v>4048804.4480000003</v>
      </c>
      <c r="K30" s="71"/>
      <c r="L30" s="72"/>
      <c r="M30" s="140"/>
      <c r="N30" s="130"/>
    </row>
    <row r="31" spans="2:23" ht="25.5" x14ac:dyDescent="0.25">
      <c r="B31" s="6">
        <v>19</v>
      </c>
      <c r="C31" s="128" t="s">
        <v>142</v>
      </c>
      <c r="D31" s="35" t="s">
        <v>24</v>
      </c>
      <c r="E31" s="146">
        <v>118</v>
      </c>
      <c r="F31" s="146">
        <v>118</v>
      </c>
      <c r="G31" s="131">
        <f>+ROUND(481700*1.04,0)</f>
        <v>500968</v>
      </c>
      <c r="H31" s="130">
        <f t="shared" si="0"/>
        <v>59114224</v>
      </c>
      <c r="I31" s="130">
        <f t="shared" si="1"/>
        <v>517049.07280000002</v>
      </c>
      <c r="J31" s="130">
        <f t="shared" si="2"/>
        <v>61011790.590400003</v>
      </c>
      <c r="K31" s="71"/>
      <c r="L31" s="72">
        <v>121</v>
      </c>
      <c r="M31" s="140"/>
      <c r="N31" s="130"/>
    </row>
    <row r="32" spans="2:23" x14ac:dyDescent="0.25">
      <c r="B32" s="6"/>
      <c r="C32" s="192" t="s">
        <v>199</v>
      </c>
      <c r="D32" s="35"/>
      <c r="E32" s="146"/>
      <c r="F32" s="146">
        <v>118</v>
      </c>
      <c r="G32" s="131"/>
      <c r="H32" s="130"/>
      <c r="I32" s="130">
        <v>425000</v>
      </c>
      <c r="J32" s="130">
        <f t="shared" si="2"/>
        <v>50150000</v>
      </c>
      <c r="K32" s="139"/>
      <c r="L32" s="140"/>
      <c r="M32" s="140"/>
      <c r="N32" s="130"/>
    </row>
    <row r="33" spans="2:14" x14ac:dyDescent="0.25">
      <c r="B33" s="6">
        <v>20</v>
      </c>
      <c r="C33" s="128" t="s">
        <v>144</v>
      </c>
      <c r="D33" s="35" t="s">
        <v>24</v>
      </c>
      <c r="E33" s="147">
        <f>259+120</f>
        <v>379</v>
      </c>
      <c r="F33" s="147">
        <v>526</v>
      </c>
      <c r="G33" s="131">
        <f>+ROUND(37240*1.04,0)</f>
        <v>38730</v>
      </c>
      <c r="H33" s="130">
        <f t="shared" si="0"/>
        <v>14678670</v>
      </c>
      <c r="I33" s="130">
        <f t="shared" si="1"/>
        <v>39973.233</v>
      </c>
      <c r="J33" s="130">
        <f t="shared" si="2"/>
        <v>21025920.557999998</v>
      </c>
      <c r="K33" s="139"/>
      <c r="L33" s="140"/>
      <c r="M33" s="140"/>
      <c r="N33" s="130"/>
    </row>
    <row r="34" spans="2:14" x14ac:dyDescent="0.25">
      <c r="B34" s="164">
        <v>22</v>
      </c>
      <c r="C34" s="187" t="s">
        <v>177</v>
      </c>
      <c r="D34" s="165" t="s">
        <v>13</v>
      </c>
      <c r="E34" s="166"/>
      <c r="F34" s="167">
        <v>480</v>
      </c>
      <c r="G34" s="168">
        <v>11935.37</v>
      </c>
      <c r="H34" s="169">
        <f>F34*G34</f>
        <v>5728977.6000000006</v>
      </c>
      <c r="I34" s="169">
        <f>G34</f>
        <v>11935.37</v>
      </c>
      <c r="J34" s="130"/>
      <c r="K34" s="73"/>
      <c r="L34" s="73"/>
      <c r="M34" s="73"/>
      <c r="N34" s="169"/>
    </row>
    <row r="35" spans="2:14" x14ac:dyDescent="0.25">
      <c r="B35" s="47"/>
      <c r="C35" s="48"/>
      <c r="D35" s="47"/>
      <c r="E35" s="47"/>
      <c r="F35" s="47"/>
      <c r="G35" s="49"/>
      <c r="H35" s="49"/>
      <c r="I35" s="49"/>
      <c r="J35" s="49"/>
      <c r="K35" s="73"/>
      <c r="L35" s="73"/>
      <c r="M35" s="73"/>
    </row>
    <row r="36" spans="2:14" x14ac:dyDescent="0.25">
      <c r="B36" s="47"/>
      <c r="C36" s="50" t="s">
        <v>59</v>
      </c>
      <c r="D36" s="51"/>
      <c r="E36" s="52"/>
      <c r="F36" s="52"/>
      <c r="G36" s="53"/>
      <c r="H36" s="174">
        <f>SUM(H12:H35)</f>
        <v>518877956.10000002</v>
      </c>
      <c r="I36" s="54"/>
      <c r="J36" s="174">
        <f>SUM(J12:J34)</f>
        <v>579726008.538535</v>
      </c>
      <c r="K36" s="191">
        <f>J36/G6</f>
        <v>409468.85756359296</v>
      </c>
      <c r="L36" s="73"/>
      <c r="M36" s="73"/>
    </row>
    <row r="37" spans="2:14" x14ac:dyDescent="0.25">
      <c r="B37" s="73"/>
      <c r="C37" s="57" t="s">
        <v>60</v>
      </c>
      <c r="D37" s="58"/>
      <c r="E37" s="59"/>
      <c r="F37" s="59"/>
      <c r="G37" s="60"/>
      <c r="H37" s="176">
        <f>+SUM(H38:H41)</f>
        <v>136049800.08942002</v>
      </c>
      <c r="I37" s="55"/>
      <c r="J37" s="175">
        <f>SUM(J38:J41)</f>
        <v>152004159.43880388</v>
      </c>
      <c r="K37" s="73"/>
      <c r="L37" s="73"/>
      <c r="M37" s="73"/>
    </row>
    <row r="38" spans="2:14" x14ac:dyDescent="0.25">
      <c r="B38" s="73"/>
      <c r="C38" s="63" t="s">
        <v>61</v>
      </c>
      <c r="D38" s="58"/>
      <c r="E38" s="64">
        <v>0.17269999999999999</v>
      </c>
      <c r="F38" s="64"/>
      <c r="G38" s="60"/>
      <c r="H38" s="176">
        <f>+E38*H36</f>
        <v>89610223.018470004</v>
      </c>
      <c r="I38" s="55"/>
      <c r="J38" s="175">
        <f>J36*E38</f>
        <v>100118681.674605</v>
      </c>
      <c r="K38" s="73"/>
      <c r="L38" s="73"/>
      <c r="M38" s="73"/>
    </row>
    <row r="39" spans="2:14" x14ac:dyDescent="0.25">
      <c r="B39" s="73"/>
      <c r="C39" s="63" t="s">
        <v>62</v>
      </c>
      <c r="D39" s="58"/>
      <c r="E39" s="64">
        <v>0.03</v>
      </c>
      <c r="F39" s="64"/>
      <c r="G39" s="60"/>
      <c r="H39" s="176">
        <f>+E39*H36</f>
        <v>15566338.683</v>
      </c>
      <c r="I39" s="55"/>
      <c r="J39" s="175">
        <f>J36*E39</f>
        <v>17391780.25615605</v>
      </c>
      <c r="K39" s="73"/>
      <c r="L39" s="73"/>
      <c r="M39" s="73"/>
    </row>
    <row r="40" spans="2:14" x14ac:dyDescent="0.25">
      <c r="B40" s="73"/>
      <c r="C40" s="63" t="s">
        <v>63</v>
      </c>
      <c r="D40" s="58"/>
      <c r="E40" s="64">
        <v>0.05</v>
      </c>
      <c r="F40" s="64"/>
      <c r="G40" s="60"/>
      <c r="H40" s="176">
        <f>+E40*H36</f>
        <v>25943897.805000003</v>
      </c>
      <c r="I40" s="55"/>
      <c r="J40" s="175">
        <f>J36*E40</f>
        <v>28986300.426926751</v>
      </c>
      <c r="K40" s="73"/>
      <c r="L40" s="73"/>
      <c r="M40" s="73"/>
    </row>
    <row r="41" spans="2:14" x14ac:dyDescent="0.25">
      <c r="B41" s="73"/>
      <c r="C41" s="65" t="s">
        <v>64</v>
      </c>
      <c r="D41" s="66"/>
      <c r="E41" s="67">
        <v>0.19</v>
      </c>
      <c r="F41" s="67"/>
      <c r="G41" s="68"/>
      <c r="H41" s="177">
        <f>+E41*H40</f>
        <v>4929340.5829500007</v>
      </c>
      <c r="I41" s="55"/>
      <c r="J41" s="175">
        <f>J40*E41</f>
        <v>5507397.0811160831</v>
      </c>
      <c r="K41" s="73"/>
      <c r="L41" s="73"/>
      <c r="M41" s="73"/>
    </row>
    <row r="42" spans="2:14" x14ac:dyDescent="0.25"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</row>
    <row r="43" spans="2:14" x14ac:dyDescent="0.25">
      <c r="B43" s="73"/>
      <c r="C43" s="73"/>
      <c r="D43" s="73"/>
      <c r="E43" s="73"/>
      <c r="F43" s="73"/>
      <c r="G43" s="74"/>
      <c r="H43" s="173">
        <f>+H36+H37</f>
        <v>654927756.18941998</v>
      </c>
      <c r="I43" s="76"/>
      <c r="J43" s="178">
        <f>J36+J37</f>
        <v>731730167.97733891</v>
      </c>
      <c r="K43" s="73"/>
      <c r="L43" s="73"/>
      <c r="M43" s="73"/>
    </row>
    <row r="44" spans="2:14" x14ac:dyDescent="0.25"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</row>
    <row r="45" spans="2:14" x14ac:dyDescent="0.25"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</row>
    <row r="48" spans="2:14" x14ac:dyDescent="0.25">
      <c r="F48" s="185">
        <f>+J36/1416</f>
        <v>409411.02297919139</v>
      </c>
      <c r="H48" s="190">
        <f>I48*F31</f>
        <v>44840000</v>
      </c>
      <c r="I48" s="185">
        <v>380000</v>
      </c>
    </row>
    <row r="49" spans="8:9" x14ac:dyDescent="0.25">
      <c r="H49" s="190">
        <f>+I49*E31</f>
        <v>50150000</v>
      </c>
      <c r="I49" s="185">
        <v>425000</v>
      </c>
    </row>
  </sheetData>
  <protectedRanges>
    <protectedRange sqref="E38:F40" name="Rango3_2_1_3"/>
  </protectedRanges>
  <mergeCells count="2">
    <mergeCell ref="B10:L10"/>
    <mergeCell ref="P1:Q2"/>
  </mergeCells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B2:S59"/>
  <sheetViews>
    <sheetView zoomScale="90" zoomScaleNormal="90" workbookViewId="0">
      <selection activeCell="G47" sqref="G47"/>
    </sheetView>
  </sheetViews>
  <sheetFormatPr baseColWidth="10" defaultRowHeight="15" x14ac:dyDescent="0.25"/>
  <cols>
    <col min="1" max="1" width="5" customWidth="1"/>
    <col min="3" max="3" width="35.85546875" customWidth="1"/>
    <col min="6" max="6" width="16.28515625" customWidth="1"/>
    <col min="7" max="7" width="19.140625" customWidth="1"/>
    <col min="8" max="8" width="15.140625" hidden="1" customWidth="1"/>
    <col min="9" max="9" width="21" hidden="1" customWidth="1"/>
    <col min="10" max="10" width="15.7109375" hidden="1" customWidth="1"/>
    <col min="11" max="11" width="18.140625" hidden="1" customWidth="1"/>
    <col min="12" max="12" width="15.5703125" hidden="1" customWidth="1"/>
    <col min="13" max="13" width="18" hidden="1" customWidth="1"/>
    <col min="14" max="14" width="16.7109375" hidden="1" customWidth="1"/>
    <col min="15" max="15" width="15.85546875" hidden="1" customWidth="1"/>
    <col min="18" max="18" width="13.85546875" customWidth="1"/>
  </cols>
  <sheetData>
    <row r="2" spans="2:19" x14ac:dyDescent="0.25">
      <c r="B2" s="339" t="s">
        <v>0</v>
      </c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1"/>
      <c r="R2" t="s">
        <v>110</v>
      </c>
    </row>
    <row r="3" spans="2:19" ht="25.5" x14ac:dyDescent="0.25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16" t="s">
        <v>7</v>
      </c>
      <c r="I3" s="116" t="s">
        <v>6</v>
      </c>
      <c r="J3" s="117" t="s">
        <v>8</v>
      </c>
      <c r="K3" s="2" t="s">
        <v>6</v>
      </c>
      <c r="L3" s="118" t="s">
        <v>9</v>
      </c>
      <c r="M3" s="3" t="s">
        <v>6</v>
      </c>
      <c r="N3" s="4" t="s">
        <v>10</v>
      </c>
      <c r="O3" s="5" t="s">
        <v>11</v>
      </c>
    </row>
    <row r="4" spans="2:19" ht="64.5" hidden="1" x14ac:dyDescent="0.25">
      <c r="B4" s="6">
        <v>1</v>
      </c>
      <c r="C4" s="7" t="s">
        <v>12</v>
      </c>
      <c r="D4" s="8" t="s">
        <v>13</v>
      </c>
      <c r="E4" s="9">
        <v>525</v>
      </c>
      <c r="F4" s="10">
        <v>84115</v>
      </c>
      <c r="G4" s="10">
        <v>44160375</v>
      </c>
      <c r="H4" s="11">
        <v>525</v>
      </c>
      <c r="I4" s="12">
        <v>44160375</v>
      </c>
      <c r="J4" s="13"/>
      <c r="K4" s="14">
        <v>0</v>
      </c>
      <c r="L4" s="15"/>
      <c r="M4" s="16">
        <v>0</v>
      </c>
      <c r="N4" s="71" t="s">
        <v>14</v>
      </c>
      <c r="O4" s="72"/>
      <c r="Q4" t="s">
        <v>116</v>
      </c>
      <c r="R4" s="124">
        <v>66360</v>
      </c>
      <c r="S4" t="s">
        <v>113</v>
      </c>
    </row>
    <row r="5" spans="2:19" ht="26.25" hidden="1" x14ac:dyDescent="0.25">
      <c r="B5" s="6">
        <v>2</v>
      </c>
      <c r="C5" s="7" t="s">
        <v>112</v>
      </c>
      <c r="D5" s="8" t="s">
        <v>13</v>
      </c>
      <c r="E5" s="9">
        <v>960</v>
      </c>
      <c r="F5" s="10">
        <v>95140</v>
      </c>
      <c r="G5" s="10">
        <v>91334400</v>
      </c>
      <c r="H5" s="125">
        <v>960</v>
      </c>
      <c r="I5" s="126">
        <v>91334400</v>
      </c>
      <c r="J5" s="13"/>
      <c r="K5" s="14">
        <v>0</v>
      </c>
      <c r="L5" s="15"/>
      <c r="M5" s="16">
        <v>0</v>
      </c>
      <c r="N5" s="71"/>
      <c r="O5" s="72"/>
      <c r="Q5" t="s">
        <v>115</v>
      </c>
      <c r="R5" s="124">
        <v>90885</v>
      </c>
      <c r="S5" t="s">
        <v>111</v>
      </c>
    </row>
    <row r="6" spans="2:19" ht="26.25" hidden="1" x14ac:dyDescent="0.25">
      <c r="B6" s="18">
        <v>3</v>
      </c>
      <c r="C6" s="7" t="s">
        <v>16</v>
      </c>
      <c r="D6" s="8" t="s">
        <v>13</v>
      </c>
      <c r="E6" s="9">
        <v>1722</v>
      </c>
      <c r="F6" s="10">
        <v>96200</v>
      </c>
      <c r="G6" s="10">
        <v>165656400</v>
      </c>
      <c r="H6" s="11"/>
      <c r="I6" s="17">
        <v>0</v>
      </c>
      <c r="J6" s="13">
        <v>1722</v>
      </c>
      <c r="K6" s="14">
        <v>165656400</v>
      </c>
      <c r="L6" s="15"/>
      <c r="M6" s="16">
        <v>0</v>
      </c>
      <c r="N6" s="71"/>
      <c r="O6" s="72"/>
      <c r="R6" s="124"/>
    </row>
    <row r="7" spans="2:19" hidden="1" x14ac:dyDescent="0.25">
      <c r="B7" s="6">
        <v>4</v>
      </c>
      <c r="C7" s="7" t="s">
        <v>17</v>
      </c>
      <c r="D7" s="8" t="s">
        <v>18</v>
      </c>
      <c r="E7" s="9">
        <v>2</v>
      </c>
      <c r="F7" s="19">
        <v>5471416.75</v>
      </c>
      <c r="G7" s="10">
        <v>10942833.5</v>
      </c>
      <c r="H7" s="11">
        <v>2</v>
      </c>
      <c r="I7" s="20">
        <v>10942833.5</v>
      </c>
      <c r="J7" s="13"/>
      <c r="K7" s="21">
        <v>0</v>
      </c>
      <c r="L7" s="15"/>
      <c r="M7" s="22">
        <v>0</v>
      </c>
      <c r="N7" s="71"/>
      <c r="O7" s="72"/>
      <c r="R7" s="124"/>
    </row>
    <row r="8" spans="2:19" hidden="1" x14ac:dyDescent="0.25">
      <c r="B8" s="18">
        <v>5</v>
      </c>
      <c r="C8" s="7" t="s">
        <v>19</v>
      </c>
      <c r="D8" s="8" t="s">
        <v>18</v>
      </c>
      <c r="E8" s="9">
        <v>1</v>
      </c>
      <c r="F8" s="19">
        <v>5471416.75</v>
      </c>
      <c r="G8" s="10">
        <v>5471416.75</v>
      </c>
      <c r="H8" s="11"/>
      <c r="I8" s="20">
        <v>0</v>
      </c>
      <c r="J8" s="13">
        <v>1</v>
      </c>
      <c r="K8" s="21">
        <v>5471416.75</v>
      </c>
      <c r="L8" s="15"/>
      <c r="M8" s="22">
        <v>0</v>
      </c>
      <c r="N8" s="71"/>
      <c r="O8" s="72"/>
      <c r="R8" s="124"/>
    </row>
    <row r="9" spans="2:19" ht="26.25" hidden="1" x14ac:dyDescent="0.25">
      <c r="B9" s="23">
        <v>6</v>
      </c>
      <c r="C9" s="24" t="s">
        <v>20</v>
      </c>
      <c r="D9" s="25" t="s">
        <v>18</v>
      </c>
      <c r="E9" s="26">
        <v>0</v>
      </c>
      <c r="F9" s="27">
        <v>2430250</v>
      </c>
      <c r="G9" s="27">
        <v>0</v>
      </c>
      <c r="H9" s="11"/>
      <c r="I9" s="17">
        <v>0</v>
      </c>
      <c r="J9" s="13"/>
      <c r="K9" s="14">
        <v>0</v>
      </c>
      <c r="L9" s="15"/>
      <c r="M9" s="16">
        <v>0</v>
      </c>
      <c r="N9" s="71"/>
      <c r="O9" s="72"/>
      <c r="R9" s="124"/>
    </row>
    <row r="10" spans="2:19" ht="26.25" hidden="1" x14ac:dyDescent="0.25">
      <c r="B10" s="23">
        <v>7</v>
      </c>
      <c r="C10" s="24" t="s">
        <v>21</v>
      </c>
      <c r="D10" s="25" t="s">
        <v>13</v>
      </c>
      <c r="E10" s="26">
        <v>0</v>
      </c>
      <c r="F10" s="27">
        <v>356908</v>
      </c>
      <c r="G10" s="27">
        <v>0</v>
      </c>
      <c r="H10" s="11"/>
      <c r="I10" s="17">
        <v>0</v>
      </c>
      <c r="J10" s="13"/>
      <c r="K10" s="14">
        <v>0</v>
      </c>
      <c r="L10" s="15"/>
      <c r="M10" s="16">
        <v>0</v>
      </c>
      <c r="N10" s="71"/>
      <c r="O10" s="72"/>
      <c r="R10" s="124"/>
    </row>
    <row r="11" spans="2:19" ht="26.25" hidden="1" x14ac:dyDescent="0.25">
      <c r="B11" s="23">
        <v>8</v>
      </c>
      <c r="C11" s="24" t="s">
        <v>22</v>
      </c>
      <c r="D11" s="25" t="s">
        <v>18</v>
      </c>
      <c r="E11" s="26">
        <v>0</v>
      </c>
      <c r="F11" s="27">
        <v>47000</v>
      </c>
      <c r="G11" s="27">
        <v>0</v>
      </c>
      <c r="H11" s="11"/>
      <c r="I11" s="17">
        <v>0</v>
      </c>
      <c r="J11" s="13"/>
      <c r="K11" s="14">
        <v>0</v>
      </c>
      <c r="L11" s="15"/>
      <c r="M11" s="16">
        <v>0</v>
      </c>
      <c r="N11" s="71"/>
      <c r="O11" s="72"/>
      <c r="R11" s="124"/>
    </row>
    <row r="12" spans="2:19" ht="26.25" hidden="1" x14ac:dyDescent="0.25">
      <c r="B12" s="23">
        <v>9</v>
      </c>
      <c r="C12" s="24" t="s">
        <v>23</v>
      </c>
      <c r="D12" s="25" t="s">
        <v>24</v>
      </c>
      <c r="E12" s="26">
        <v>0</v>
      </c>
      <c r="F12" s="27">
        <v>111676</v>
      </c>
      <c r="G12" s="27">
        <v>0</v>
      </c>
      <c r="H12" s="11"/>
      <c r="I12" s="17">
        <v>0</v>
      </c>
      <c r="J12" s="13"/>
      <c r="K12" s="14">
        <v>0</v>
      </c>
      <c r="L12" s="15"/>
      <c r="M12" s="16">
        <v>0</v>
      </c>
      <c r="N12" s="71"/>
      <c r="O12" s="72"/>
      <c r="R12" s="124"/>
    </row>
    <row r="13" spans="2:19" ht="26.25" hidden="1" x14ac:dyDescent="0.25">
      <c r="B13" s="23">
        <v>10</v>
      </c>
      <c r="C13" s="24" t="s">
        <v>25</v>
      </c>
      <c r="D13" s="25" t="s">
        <v>13</v>
      </c>
      <c r="E13" s="26">
        <v>0</v>
      </c>
      <c r="F13" s="27">
        <v>420012</v>
      </c>
      <c r="G13" s="27">
        <v>0</v>
      </c>
      <c r="H13" s="11"/>
      <c r="I13" s="17">
        <v>0</v>
      </c>
      <c r="J13" s="13"/>
      <c r="K13" s="14">
        <v>0</v>
      </c>
      <c r="L13" s="15"/>
      <c r="M13" s="16">
        <v>0</v>
      </c>
      <c r="N13" s="71"/>
      <c r="O13" s="72"/>
      <c r="R13" s="124"/>
    </row>
    <row r="14" spans="2:19" hidden="1" x14ac:dyDescent="0.25">
      <c r="B14" s="6">
        <v>11</v>
      </c>
      <c r="C14" s="7" t="s">
        <v>26</v>
      </c>
      <c r="D14" s="8" t="s">
        <v>24</v>
      </c>
      <c r="E14" s="28">
        <v>211</v>
      </c>
      <c r="F14" s="29">
        <v>120000</v>
      </c>
      <c r="G14" s="10">
        <v>25320000</v>
      </c>
      <c r="H14" s="11">
        <v>211</v>
      </c>
      <c r="I14" s="17">
        <v>25320000</v>
      </c>
      <c r="J14" s="13"/>
      <c r="K14" s="14">
        <v>0</v>
      </c>
      <c r="L14" s="15"/>
      <c r="M14" s="16">
        <v>0</v>
      </c>
      <c r="N14" s="71"/>
      <c r="O14" s="72"/>
      <c r="Q14" t="s">
        <v>115</v>
      </c>
      <c r="R14" s="124">
        <v>100318</v>
      </c>
      <c r="S14" t="s">
        <v>114</v>
      </c>
    </row>
    <row r="15" spans="2:19" ht="64.5" hidden="1" x14ac:dyDescent="0.25">
      <c r="B15" s="6">
        <v>12</v>
      </c>
      <c r="C15" s="7" t="s">
        <v>27</v>
      </c>
      <c r="D15" s="8" t="s">
        <v>13</v>
      </c>
      <c r="E15" s="9">
        <v>525</v>
      </c>
      <c r="F15" s="127">
        <v>11230</v>
      </c>
      <c r="G15" s="10">
        <v>5895750</v>
      </c>
      <c r="H15" s="11">
        <v>525</v>
      </c>
      <c r="I15" s="17">
        <v>5895750</v>
      </c>
      <c r="J15" s="13"/>
      <c r="K15" s="14">
        <v>0</v>
      </c>
      <c r="L15" s="15"/>
      <c r="M15" s="16">
        <v>0</v>
      </c>
      <c r="N15" s="71" t="s">
        <v>14</v>
      </c>
      <c r="O15" s="72"/>
      <c r="R15" s="124">
        <v>0</v>
      </c>
      <c r="S15" t="s">
        <v>117</v>
      </c>
    </row>
    <row r="16" spans="2:19" ht="26.25" hidden="1" x14ac:dyDescent="0.25">
      <c r="B16" s="6">
        <v>13</v>
      </c>
      <c r="C16" s="7" t="s">
        <v>28</v>
      </c>
      <c r="D16" s="8" t="s">
        <v>29</v>
      </c>
      <c r="E16" s="9">
        <v>1398.75</v>
      </c>
      <c r="F16" s="29">
        <v>50227</v>
      </c>
      <c r="G16" s="10">
        <v>70255016.25</v>
      </c>
      <c r="H16" s="11">
        <v>1398.75</v>
      </c>
      <c r="I16" s="17">
        <v>70255016.25</v>
      </c>
      <c r="J16" s="13"/>
      <c r="K16" s="14">
        <v>0</v>
      </c>
      <c r="L16" s="15"/>
      <c r="M16" s="16">
        <v>0</v>
      </c>
      <c r="N16" s="71"/>
      <c r="O16" s="72"/>
      <c r="Q16" t="s">
        <v>115</v>
      </c>
      <c r="R16" s="124">
        <v>10900</v>
      </c>
      <c r="S16" t="s">
        <v>118</v>
      </c>
    </row>
    <row r="17" spans="2:19" ht="26.25" hidden="1" x14ac:dyDescent="0.25">
      <c r="B17" s="6">
        <v>14</v>
      </c>
      <c r="C17" s="7" t="s">
        <v>30</v>
      </c>
      <c r="D17" s="8" t="s">
        <v>29</v>
      </c>
      <c r="E17" s="9">
        <v>979.13</v>
      </c>
      <c r="F17" s="29">
        <v>84981</v>
      </c>
      <c r="G17" s="10">
        <v>83207446.530000001</v>
      </c>
      <c r="H17" s="11">
        <v>979.13</v>
      </c>
      <c r="I17" s="17">
        <v>83207446.530000001</v>
      </c>
      <c r="J17" s="13"/>
      <c r="K17" s="14">
        <v>0</v>
      </c>
      <c r="L17" s="15"/>
      <c r="M17" s="16">
        <v>0</v>
      </c>
      <c r="N17" s="71"/>
      <c r="O17" s="72"/>
      <c r="Q17" t="s">
        <v>115</v>
      </c>
      <c r="R17" s="124">
        <v>79214</v>
      </c>
      <c r="S17" t="s">
        <v>119</v>
      </c>
    </row>
    <row r="18" spans="2:19" ht="26.25" hidden="1" x14ac:dyDescent="0.25">
      <c r="B18" s="6">
        <v>15</v>
      </c>
      <c r="C18" s="7" t="s">
        <v>31</v>
      </c>
      <c r="D18" s="8" t="s">
        <v>13</v>
      </c>
      <c r="E18" s="9">
        <v>3047.5</v>
      </c>
      <c r="F18" s="29">
        <v>7695</v>
      </c>
      <c r="G18" s="10">
        <v>23450512.5</v>
      </c>
      <c r="H18" s="11">
        <v>1401.85</v>
      </c>
      <c r="I18" s="17">
        <v>10787235.75</v>
      </c>
      <c r="J18" s="13">
        <v>1645.65</v>
      </c>
      <c r="K18" s="14">
        <v>12663276.75</v>
      </c>
      <c r="L18" s="15"/>
      <c r="M18" s="16">
        <v>0</v>
      </c>
      <c r="N18" s="71"/>
      <c r="O18" s="72" t="s">
        <v>32</v>
      </c>
      <c r="Q18" t="s">
        <v>115</v>
      </c>
      <c r="R18" s="124">
        <v>1350</v>
      </c>
    </row>
    <row r="19" spans="2:19" hidden="1" x14ac:dyDescent="0.25">
      <c r="B19" s="6">
        <v>16</v>
      </c>
      <c r="C19" s="7" t="s">
        <v>33</v>
      </c>
      <c r="D19" s="8" t="s">
        <v>24</v>
      </c>
      <c r="E19" s="9">
        <v>334</v>
      </c>
      <c r="F19" s="29">
        <v>46331</v>
      </c>
      <c r="G19" s="10">
        <v>15474554</v>
      </c>
      <c r="H19" s="11">
        <v>334</v>
      </c>
      <c r="I19" s="17">
        <v>15474554</v>
      </c>
      <c r="J19" s="13"/>
      <c r="K19" s="14">
        <v>0</v>
      </c>
      <c r="L19" s="15"/>
      <c r="M19" s="16">
        <v>0</v>
      </c>
      <c r="N19" s="71"/>
      <c r="O19" s="72"/>
      <c r="Q19" t="s">
        <v>115</v>
      </c>
      <c r="R19" s="124">
        <v>46169</v>
      </c>
      <c r="S19" t="s">
        <v>120</v>
      </c>
    </row>
    <row r="20" spans="2:19" ht="26.25" hidden="1" x14ac:dyDescent="0.25">
      <c r="B20" s="18">
        <v>17</v>
      </c>
      <c r="C20" s="7" t="s">
        <v>34</v>
      </c>
      <c r="D20" s="8" t="s">
        <v>24</v>
      </c>
      <c r="E20" s="9">
        <v>1147</v>
      </c>
      <c r="F20" s="29">
        <v>37240</v>
      </c>
      <c r="G20" s="10">
        <v>42714280</v>
      </c>
      <c r="H20" s="11"/>
      <c r="I20" s="17">
        <v>0</v>
      </c>
      <c r="J20" s="13">
        <v>1147</v>
      </c>
      <c r="K20" s="14">
        <v>42714280</v>
      </c>
      <c r="L20" s="15"/>
      <c r="M20" s="16">
        <v>0</v>
      </c>
      <c r="N20" s="71"/>
      <c r="O20" s="72"/>
      <c r="R20" s="124"/>
    </row>
    <row r="21" spans="2:19" hidden="1" x14ac:dyDescent="0.25">
      <c r="B21" s="18">
        <v>18</v>
      </c>
      <c r="C21" s="7" t="s">
        <v>35</v>
      </c>
      <c r="D21" s="8" t="s">
        <v>13</v>
      </c>
      <c r="E21" s="9">
        <v>126</v>
      </c>
      <c r="F21" s="29">
        <v>136676</v>
      </c>
      <c r="G21" s="10">
        <v>17221176</v>
      </c>
      <c r="H21" s="11">
        <v>126</v>
      </c>
      <c r="I21" s="17">
        <v>17221176</v>
      </c>
      <c r="J21" s="13"/>
      <c r="K21" s="14">
        <v>0</v>
      </c>
      <c r="L21" s="15"/>
      <c r="M21" s="16">
        <v>0</v>
      </c>
      <c r="N21" s="71"/>
      <c r="O21" s="72"/>
    </row>
    <row r="22" spans="2:19" ht="26.25" hidden="1" x14ac:dyDescent="0.25">
      <c r="B22" s="6">
        <v>19</v>
      </c>
      <c r="C22" s="7" t="s">
        <v>36</v>
      </c>
      <c r="D22" s="8" t="s">
        <v>13</v>
      </c>
      <c r="E22" s="9">
        <v>32</v>
      </c>
      <c r="F22" s="29">
        <v>149868</v>
      </c>
      <c r="G22" s="10">
        <v>4795776</v>
      </c>
      <c r="H22" s="11">
        <v>32</v>
      </c>
      <c r="I22" s="17">
        <v>4795776</v>
      </c>
      <c r="J22" s="13"/>
      <c r="K22" s="14">
        <v>0</v>
      </c>
      <c r="L22" s="15"/>
      <c r="M22" s="16">
        <v>0</v>
      </c>
      <c r="N22" s="71"/>
      <c r="O22" s="72"/>
    </row>
    <row r="23" spans="2:19" ht="26.25" hidden="1" x14ac:dyDescent="0.25">
      <c r="B23" s="23">
        <v>20</v>
      </c>
      <c r="C23" s="24" t="s">
        <v>37</v>
      </c>
      <c r="D23" s="25" t="s">
        <v>38</v>
      </c>
      <c r="E23" s="26">
        <v>0</v>
      </c>
      <c r="F23" s="27">
        <v>2380000</v>
      </c>
      <c r="G23" s="27">
        <v>0</v>
      </c>
      <c r="H23" s="30"/>
      <c r="I23" s="17">
        <v>0</v>
      </c>
      <c r="J23" s="31"/>
      <c r="K23" s="14">
        <v>0</v>
      </c>
      <c r="L23" s="32"/>
      <c r="M23" s="16">
        <v>0</v>
      </c>
      <c r="N23" s="71"/>
      <c r="O23" s="72"/>
    </row>
    <row r="24" spans="2:19" ht="26.25" hidden="1" x14ac:dyDescent="0.25">
      <c r="B24" s="23">
        <v>21</v>
      </c>
      <c r="C24" s="24" t="s">
        <v>39</v>
      </c>
      <c r="D24" s="25" t="s">
        <v>38</v>
      </c>
      <c r="E24" s="26">
        <v>0</v>
      </c>
      <c r="F24" s="27">
        <v>4165000</v>
      </c>
      <c r="G24" s="27">
        <v>0</v>
      </c>
      <c r="H24" s="30"/>
      <c r="I24" s="17">
        <v>0</v>
      </c>
      <c r="J24" s="31"/>
      <c r="K24" s="14">
        <v>0</v>
      </c>
      <c r="L24" s="32"/>
      <c r="M24" s="16">
        <v>0</v>
      </c>
      <c r="N24" s="71"/>
      <c r="O24" s="72"/>
    </row>
    <row r="25" spans="2:19" ht="64.5" hidden="1" x14ac:dyDescent="0.25">
      <c r="B25" s="6">
        <v>22</v>
      </c>
      <c r="C25" s="7" t="s">
        <v>40</v>
      </c>
      <c r="D25" s="8" t="s">
        <v>18</v>
      </c>
      <c r="E25" s="9">
        <v>24</v>
      </c>
      <c r="F25" s="19">
        <v>1236700</v>
      </c>
      <c r="G25" s="10">
        <v>29680800</v>
      </c>
      <c r="H25" s="120">
        <v>16.799999999999997</v>
      </c>
      <c r="I25" s="20">
        <v>20776559.999999996</v>
      </c>
      <c r="J25" s="123">
        <v>7.1999999999999993</v>
      </c>
      <c r="K25" s="21">
        <v>8904240</v>
      </c>
      <c r="L25" s="32"/>
      <c r="M25" s="22">
        <v>0</v>
      </c>
      <c r="N25" s="71" t="s">
        <v>41</v>
      </c>
      <c r="O25" s="72"/>
    </row>
    <row r="26" spans="2:19" ht="26.25" hidden="1" x14ac:dyDescent="0.25">
      <c r="B26" s="6">
        <v>23</v>
      </c>
      <c r="C26" s="7" t="s">
        <v>42</v>
      </c>
      <c r="D26" s="8" t="s">
        <v>24</v>
      </c>
      <c r="E26" s="9">
        <v>50</v>
      </c>
      <c r="F26" s="29">
        <v>48580</v>
      </c>
      <c r="G26" s="10">
        <v>2429000</v>
      </c>
      <c r="H26" s="11">
        <v>50</v>
      </c>
      <c r="I26" s="17">
        <v>2429000</v>
      </c>
      <c r="J26" s="13"/>
      <c r="K26" s="14">
        <v>0</v>
      </c>
      <c r="L26" s="15"/>
      <c r="M26" s="16">
        <v>0</v>
      </c>
      <c r="N26" s="71"/>
      <c r="O26" s="72"/>
    </row>
    <row r="27" spans="2:19" ht="26.25" hidden="1" x14ac:dyDescent="0.25">
      <c r="B27" s="6">
        <v>24</v>
      </c>
      <c r="C27" s="7" t="s">
        <v>43</v>
      </c>
      <c r="D27" s="8" t="s">
        <v>24</v>
      </c>
      <c r="E27" s="9">
        <v>23</v>
      </c>
      <c r="F27" s="29">
        <v>93406</v>
      </c>
      <c r="G27" s="10">
        <v>2148338</v>
      </c>
      <c r="H27" s="11">
        <v>23</v>
      </c>
      <c r="I27" s="17">
        <v>2148338</v>
      </c>
      <c r="J27" s="13"/>
      <c r="K27" s="14">
        <v>0</v>
      </c>
      <c r="L27" s="15"/>
      <c r="M27" s="16">
        <v>0</v>
      </c>
      <c r="N27" s="71"/>
      <c r="O27" s="72"/>
    </row>
    <row r="28" spans="2:19" hidden="1" x14ac:dyDescent="0.25">
      <c r="B28" s="18">
        <v>25</v>
      </c>
      <c r="C28" s="7" t="s">
        <v>44</v>
      </c>
      <c r="D28" s="8" t="s">
        <v>3</v>
      </c>
      <c r="E28" s="9">
        <v>10</v>
      </c>
      <c r="F28" s="29">
        <v>576571</v>
      </c>
      <c r="G28" s="10">
        <v>5765710</v>
      </c>
      <c r="H28" s="11"/>
      <c r="I28" s="17">
        <v>0</v>
      </c>
      <c r="J28" s="13">
        <v>10</v>
      </c>
      <c r="K28" s="14">
        <v>5765710</v>
      </c>
      <c r="L28" s="15"/>
      <c r="M28" s="16">
        <v>0</v>
      </c>
      <c r="N28" s="71"/>
      <c r="O28" s="72"/>
    </row>
    <row r="29" spans="2:19" hidden="1" x14ac:dyDescent="0.25">
      <c r="B29" s="23">
        <v>26</v>
      </c>
      <c r="C29" s="24" t="s">
        <v>45</v>
      </c>
      <c r="D29" s="25" t="s">
        <v>38</v>
      </c>
      <c r="E29" s="26">
        <v>0</v>
      </c>
      <c r="F29" s="27">
        <v>3500000</v>
      </c>
      <c r="G29" s="27">
        <v>0</v>
      </c>
      <c r="H29" s="11">
        <v>0</v>
      </c>
      <c r="I29" s="17">
        <v>0</v>
      </c>
      <c r="J29" s="13"/>
      <c r="K29" s="14">
        <v>0</v>
      </c>
      <c r="L29" s="15"/>
      <c r="M29" s="16">
        <v>0</v>
      </c>
      <c r="N29" s="71"/>
      <c r="O29" s="72"/>
    </row>
    <row r="30" spans="2:19" hidden="1" x14ac:dyDescent="0.25">
      <c r="B30" s="18">
        <v>27</v>
      </c>
      <c r="C30" s="7" t="s">
        <v>46</v>
      </c>
      <c r="D30" s="8" t="s">
        <v>18</v>
      </c>
      <c r="E30" s="9">
        <v>2</v>
      </c>
      <c r="F30" s="29">
        <v>800000</v>
      </c>
      <c r="G30" s="10">
        <v>1600000</v>
      </c>
      <c r="H30" s="11">
        <v>1</v>
      </c>
      <c r="I30" s="17">
        <v>800000</v>
      </c>
      <c r="J30" s="13">
        <v>1</v>
      </c>
      <c r="K30" s="14">
        <v>800000</v>
      </c>
      <c r="L30" s="15"/>
      <c r="M30" s="16">
        <v>0</v>
      </c>
      <c r="N30" s="71"/>
      <c r="O30" s="72"/>
    </row>
    <row r="31" spans="2:19" hidden="1" x14ac:dyDescent="0.25">
      <c r="B31" s="18">
        <v>28</v>
      </c>
      <c r="C31" s="7" t="s">
        <v>47</v>
      </c>
      <c r="D31" s="8" t="s">
        <v>29</v>
      </c>
      <c r="E31" s="9">
        <v>20</v>
      </c>
      <c r="F31" s="29">
        <v>90000</v>
      </c>
      <c r="G31" s="10">
        <v>1800000</v>
      </c>
      <c r="H31" s="11">
        <v>20</v>
      </c>
      <c r="I31" s="17">
        <v>1800000</v>
      </c>
      <c r="J31" s="13"/>
      <c r="K31" s="14">
        <v>0</v>
      </c>
      <c r="L31" s="15"/>
      <c r="M31" s="16">
        <v>0</v>
      </c>
      <c r="N31" s="71"/>
      <c r="O31" s="72"/>
    </row>
    <row r="32" spans="2:19" hidden="1" x14ac:dyDescent="0.25">
      <c r="B32" s="18">
        <v>29</v>
      </c>
      <c r="C32" s="7" t="s">
        <v>48</v>
      </c>
      <c r="D32" s="8" t="s">
        <v>18</v>
      </c>
      <c r="E32" s="9">
        <v>10</v>
      </c>
      <c r="F32" s="19">
        <v>54680</v>
      </c>
      <c r="G32" s="10">
        <v>546800</v>
      </c>
      <c r="H32" s="11"/>
      <c r="I32" s="20">
        <v>0</v>
      </c>
      <c r="J32" s="13">
        <v>10</v>
      </c>
      <c r="K32" s="21">
        <v>546800</v>
      </c>
      <c r="L32" s="15"/>
      <c r="M32" s="22">
        <v>0</v>
      </c>
      <c r="N32" s="71"/>
      <c r="O32" s="72"/>
    </row>
    <row r="33" spans="2:15" hidden="1" x14ac:dyDescent="0.25">
      <c r="B33" s="6">
        <v>30</v>
      </c>
      <c r="C33" s="7" t="s">
        <v>49</v>
      </c>
      <c r="D33" s="8" t="s">
        <v>24</v>
      </c>
      <c r="E33" s="9">
        <v>40</v>
      </c>
      <c r="F33" s="29">
        <v>310000</v>
      </c>
      <c r="G33" s="10">
        <v>12400000</v>
      </c>
      <c r="H33" s="11">
        <v>40</v>
      </c>
      <c r="I33" s="17">
        <v>12400000</v>
      </c>
      <c r="J33" s="13"/>
      <c r="K33" s="14">
        <v>0</v>
      </c>
      <c r="L33" s="15"/>
      <c r="M33" s="16">
        <v>0</v>
      </c>
      <c r="N33" s="71"/>
      <c r="O33" s="72"/>
    </row>
    <row r="34" spans="2:15" hidden="1" x14ac:dyDescent="0.25">
      <c r="B34" s="6">
        <v>31</v>
      </c>
      <c r="C34" s="7" t="s">
        <v>50</v>
      </c>
      <c r="D34" s="8" t="s">
        <v>18</v>
      </c>
      <c r="E34" s="9">
        <v>82</v>
      </c>
      <c r="F34" s="29">
        <v>46000</v>
      </c>
      <c r="G34" s="10">
        <v>3772000</v>
      </c>
      <c r="H34" s="11">
        <v>82</v>
      </c>
      <c r="I34" s="17">
        <v>3772000</v>
      </c>
      <c r="J34" s="13"/>
      <c r="K34" s="14">
        <v>0</v>
      </c>
      <c r="L34" s="15"/>
      <c r="M34" s="16">
        <v>0</v>
      </c>
      <c r="N34" s="71"/>
      <c r="O34" s="72"/>
    </row>
    <row r="35" spans="2:15" ht="102.75" hidden="1" x14ac:dyDescent="0.25">
      <c r="B35" s="33">
        <v>32</v>
      </c>
      <c r="C35" s="34" t="s">
        <v>51</v>
      </c>
      <c r="D35" s="35" t="s">
        <v>13</v>
      </c>
      <c r="E35" s="36">
        <v>12021.653</v>
      </c>
      <c r="F35" s="37">
        <v>12644.32</v>
      </c>
      <c r="G35" s="37">
        <v>152005627.46096</v>
      </c>
      <c r="H35" s="11"/>
      <c r="I35" s="38">
        <v>0</v>
      </c>
      <c r="J35" s="13"/>
      <c r="K35" s="39">
        <v>0</v>
      </c>
      <c r="L35" s="121">
        <v>12021.653</v>
      </c>
      <c r="M35" s="45">
        <v>152005627.46096</v>
      </c>
      <c r="N35" s="71" t="s">
        <v>52</v>
      </c>
      <c r="O35" s="72"/>
    </row>
    <row r="36" spans="2:15" ht="102.75" hidden="1" x14ac:dyDescent="0.25">
      <c r="B36" s="33">
        <v>33</v>
      </c>
      <c r="C36" s="34" t="s">
        <v>53</v>
      </c>
      <c r="D36" s="35" t="s">
        <v>13</v>
      </c>
      <c r="E36" s="36">
        <v>5152.1369999999997</v>
      </c>
      <c r="F36" s="37">
        <v>16683.396213681317</v>
      </c>
      <c r="G36" s="37">
        <v>85955142.918167412</v>
      </c>
      <c r="H36" s="11"/>
      <c r="I36" s="38">
        <v>0</v>
      </c>
      <c r="J36" s="13"/>
      <c r="K36" s="39">
        <v>0</v>
      </c>
      <c r="L36" s="121">
        <v>5152.1369999999997</v>
      </c>
      <c r="M36" s="45">
        <v>85955142.918167412</v>
      </c>
      <c r="N36" s="71" t="s">
        <v>52</v>
      </c>
      <c r="O36" s="72"/>
    </row>
    <row r="37" spans="2:15" hidden="1" x14ac:dyDescent="0.25">
      <c r="B37" s="6">
        <v>34</v>
      </c>
      <c r="C37" s="34" t="s">
        <v>54</v>
      </c>
      <c r="D37" s="35" t="s">
        <v>24</v>
      </c>
      <c r="E37" s="41">
        <v>117.5</v>
      </c>
      <c r="F37" s="42">
        <v>415530</v>
      </c>
      <c r="G37" s="37">
        <v>48824775</v>
      </c>
      <c r="H37" s="11">
        <v>117.5</v>
      </c>
      <c r="I37" s="43">
        <v>48824775</v>
      </c>
      <c r="J37" s="13"/>
      <c r="K37" s="44">
        <v>0</v>
      </c>
      <c r="L37" s="15"/>
      <c r="M37" s="45">
        <v>0</v>
      </c>
      <c r="N37" s="71"/>
      <c r="O37" s="72">
        <v>121</v>
      </c>
    </row>
    <row r="38" spans="2:15" hidden="1" x14ac:dyDescent="0.25">
      <c r="B38" s="33">
        <v>35</v>
      </c>
      <c r="C38" s="7" t="s">
        <v>55</v>
      </c>
      <c r="D38" s="8" t="s">
        <v>38</v>
      </c>
      <c r="E38" s="9">
        <v>1</v>
      </c>
      <c r="F38" s="29">
        <v>1700750</v>
      </c>
      <c r="G38" s="29">
        <v>1700750</v>
      </c>
      <c r="H38" s="11"/>
      <c r="I38" s="17">
        <v>0</v>
      </c>
      <c r="J38" s="13"/>
      <c r="K38" s="14">
        <v>0</v>
      </c>
      <c r="L38" s="121">
        <v>1</v>
      </c>
      <c r="M38" s="122">
        <v>1700750</v>
      </c>
      <c r="N38" s="71"/>
      <c r="O38" s="72"/>
    </row>
    <row r="39" spans="2:15" hidden="1" x14ac:dyDescent="0.25">
      <c r="B39" s="23">
        <v>36</v>
      </c>
      <c r="C39" s="24" t="s">
        <v>56</v>
      </c>
      <c r="D39" s="25" t="s">
        <v>13</v>
      </c>
      <c r="E39" s="26">
        <v>0</v>
      </c>
      <c r="F39" s="27">
        <v>84115</v>
      </c>
      <c r="G39" s="27">
        <v>0</v>
      </c>
      <c r="H39" s="11"/>
      <c r="I39" s="17">
        <v>0</v>
      </c>
      <c r="J39" s="13"/>
      <c r="K39" s="14">
        <v>0</v>
      </c>
      <c r="L39" s="121"/>
      <c r="M39" s="122">
        <v>0</v>
      </c>
      <c r="N39" s="71"/>
      <c r="O39" s="72"/>
    </row>
    <row r="40" spans="2:15" ht="25.5" x14ac:dyDescent="0.25">
      <c r="B40" s="33">
        <v>1</v>
      </c>
      <c r="C40" s="34" t="s">
        <v>189</v>
      </c>
      <c r="D40" s="35" t="s">
        <v>13</v>
      </c>
      <c r="E40" s="188">
        <v>60</v>
      </c>
      <c r="F40" s="46">
        <v>7610</v>
      </c>
      <c r="G40" s="37">
        <f>+E40*F40</f>
        <v>456600</v>
      </c>
      <c r="H40" s="11"/>
      <c r="I40" s="38">
        <v>0</v>
      </c>
      <c r="J40" s="13"/>
      <c r="K40" s="39">
        <v>0</v>
      </c>
      <c r="L40" s="121">
        <v>6</v>
      </c>
      <c r="M40" s="45">
        <v>1499220</v>
      </c>
      <c r="N40" s="71"/>
      <c r="O40" s="72"/>
    </row>
    <row r="41" spans="2:15" x14ac:dyDescent="0.25">
      <c r="B41" s="33"/>
      <c r="C41" s="34" t="s">
        <v>203</v>
      </c>
      <c r="D41" s="35" t="s">
        <v>18</v>
      </c>
      <c r="E41" s="188">
        <v>6</v>
      </c>
      <c r="F41" s="46">
        <v>45560</v>
      </c>
      <c r="G41" s="37">
        <f>+E41*F41</f>
        <v>273360</v>
      </c>
      <c r="H41" s="11"/>
      <c r="I41" s="38"/>
      <c r="J41" s="13"/>
      <c r="K41" s="39"/>
      <c r="L41" s="121"/>
      <c r="M41" s="45"/>
      <c r="N41" s="71"/>
      <c r="O41" s="72"/>
    </row>
    <row r="42" spans="2:15" ht="25.5" x14ac:dyDescent="0.25">
      <c r="B42" s="33">
        <v>2</v>
      </c>
      <c r="C42" s="34" t="s">
        <v>190</v>
      </c>
      <c r="D42" s="35" t="s">
        <v>13</v>
      </c>
      <c r="E42" s="35">
        <v>60</v>
      </c>
      <c r="F42" s="46">
        <v>40710</v>
      </c>
      <c r="G42" s="37">
        <f t="shared" ref="G42:G47" si="0">+E42*F42</f>
        <v>2442600</v>
      </c>
      <c r="H42" s="11"/>
      <c r="I42" s="38">
        <v>0</v>
      </c>
      <c r="J42" s="13"/>
      <c r="K42" s="39">
        <v>0</v>
      </c>
      <c r="L42" s="121">
        <v>6</v>
      </c>
      <c r="M42" s="45">
        <v>1858824</v>
      </c>
      <c r="N42" s="71"/>
      <c r="O42" s="72"/>
    </row>
    <row r="43" spans="2:15" x14ac:dyDescent="0.25">
      <c r="B43" s="33">
        <v>3</v>
      </c>
      <c r="C43" s="34" t="s">
        <v>200</v>
      </c>
      <c r="D43" s="35" t="s">
        <v>13</v>
      </c>
      <c r="E43" s="35">
        <v>60</v>
      </c>
      <c r="F43" s="46">
        <v>15000</v>
      </c>
      <c r="G43" s="37">
        <f t="shared" si="0"/>
        <v>900000</v>
      </c>
      <c r="H43" s="11"/>
      <c r="I43" s="38"/>
      <c r="J43" s="13"/>
      <c r="K43" s="39"/>
      <c r="L43" s="121"/>
      <c r="M43" s="45"/>
      <c r="N43" s="71"/>
      <c r="O43" s="72"/>
    </row>
    <row r="44" spans="2:15" x14ac:dyDescent="0.25">
      <c r="B44" s="33">
        <v>4</v>
      </c>
      <c r="C44" s="34" t="s">
        <v>201</v>
      </c>
      <c r="D44" s="35" t="s">
        <v>13</v>
      </c>
      <c r="E44" s="35">
        <v>60</v>
      </c>
      <c r="F44" s="46">
        <v>21000</v>
      </c>
      <c r="G44" s="37">
        <f t="shared" si="0"/>
        <v>1260000</v>
      </c>
      <c r="H44" s="11"/>
      <c r="I44" s="38"/>
      <c r="J44" s="13"/>
      <c r="K44" s="39"/>
      <c r="L44" s="121"/>
      <c r="M44" s="45"/>
      <c r="N44" s="71"/>
      <c r="O44" s="72"/>
    </row>
    <row r="45" spans="2:15" x14ac:dyDescent="0.25">
      <c r="B45" s="33">
        <v>5</v>
      </c>
      <c r="C45" s="34" t="s">
        <v>202</v>
      </c>
      <c r="D45" s="35" t="s">
        <v>24</v>
      </c>
      <c r="E45" s="35">
        <v>20.34</v>
      </c>
      <c r="F45" s="46">
        <v>9500</v>
      </c>
      <c r="G45" s="37">
        <f t="shared" si="0"/>
        <v>193230</v>
      </c>
      <c r="H45" s="11"/>
      <c r="I45" s="38"/>
      <c r="J45" s="13"/>
      <c r="K45" s="39"/>
      <c r="L45" s="121"/>
      <c r="M45" s="45"/>
      <c r="N45" s="71"/>
      <c r="O45" s="72"/>
    </row>
    <row r="46" spans="2:15" x14ac:dyDescent="0.25">
      <c r="B46" s="33"/>
      <c r="C46" s="34" t="s">
        <v>205</v>
      </c>
      <c r="D46" s="35" t="s">
        <v>18</v>
      </c>
      <c r="E46" s="188">
        <v>6</v>
      </c>
      <c r="F46" s="46">
        <v>45560</v>
      </c>
      <c r="G46" s="37">
        <f>+E46*F46</f>
        <v>273360</v>
      </c>
      <c r="H46" s="11"/>
      <c r="I46" s="38"/>
      <c r="J46" s="13"/>
      <c r="K46" s="39"/>
      <c r="L46" s="121"/>
      <c r="M46" s="45"/>
      <c r="N46" s="71"/>
      <c r="O46" s="72"/>
    </row>
    <row r="47" spans="2:15" ht="25.5" x14ac:dyDescent="0.25">
      <c r="B47" s="33">
        <v>6</v>
      </c>
      <c r="C47" s="34" t="s">
        <v>58</v>
      </c>
      <c r="D47" s="35" t="s">
        <v>24</v>
      </c>
      <c r="E47" s="41">
        <v>34</v>
      </c>
      <c r="F47" s="46">
        <v>111676</v>
      </c>
      <c r="G47" s="37">
        <f t="shared" si="0"/>
        <v>3796984</v>
      </c>
      <c r="H47" s="11"/>
      <c r="I47" s="38">
        <v>0</v>
      </c>
      <c r="J47" s="13"/>
      <c r="K47" s="39">
        <v>0</v>
      </c>
      <c r="L47" s="121">
        <v>15</v>
      </c>
      <c r="M47" s="45">
        <v>1675140</v>
      </c>
      <c r="N47" s="71"/>
      <c r="O47" s="72"/>
    </row>
    <row r="48" spans="2:15" x14ac:dyDescent="0.25">
      <c r="B48" s="47"/>
      <c r="C48" s="193"/>
      <c r="D48" s="47"/>
      <c r="E48" s="47"/>
      <c r="F48" s="49"/>
      <c r="G48" s="49"/>
      <c r="H48" s="49"/>
      <c r="I48" s="49"/>
      <c r="J48" s="49"/>
      <c r="K48" s="49"/>
      <c r="L48" s="49"/>
      <c r="M48" s="49"/>
      <c r="N48" s="73"/>
      <c r="O48" s="73"/>
    </row>
    <row r="49" spans="2:15" x14ac:dyDescent="0.25">
      <c r="B49" s="47"/>
      <c r="C49" s="48"/>
      <c r="D49" s="47"/>
      <c r="E49" s="47"/>
      <c r="F49" s="49"/>
      <c r="G49" s="49"/>
      <c r="H49" s="49"/>
      <c r="I49" s="49"/>
      <c r="J49" s="49"/>
      <c r="K49" s="49"/>
      <c r="L49" s="49"/>
      <c r="M49" s="49"/>
      <c r="N49" s="73"/>
      <c r="O49" s="73"/>
    </row>
    <row r="50" spans="2:15" hidden="1" x14ac:dyDescent="0.25">
      <c r="B50" s="47"/>
      <c r="C50" s="50" t="s">
        <v>59</v>
      </c>
      <c r="D50" s="51"/>
      <c r="E50" s="52"/>
      <c r="F50" s="53"/>
      <c r="G50" s="54">
        <v>959562063.90912747</v>
      </c>
      <c r="H50" s="55"/>
      <c r="I50" s="56">
        <v>472345236.02999997</v>
      </c>
      <c r="J50" s="55"/>
      <c r="K50" s="56">
        <v>242522123.5</v>
      </c>
      <c r="L50" s="55"/>
      <c r="M50" s="56">
        <v>244694704.37912741</v>
      </c>
      <c r="N50" s="73"/>
      <c r="O50" s="73"/>
    </row>
    <row r="51" spans="2:15" hidden="1" x14ac:dyDescent="0.25">
      <c r="B51" s="73"/>
      <c r="C51" s="57" t="s">
        <v>60</v>
      </c>
      <c r="D51" s="58"/>
      <c r="E51" s="59"/>
      <c r="F51" s="60"/>
      <c r="G51" s="61">
        <v>251597173</v>
      </c>
      <c r="H51" s="55"/>
      <c r="I51" s="62">
        <v>123848921</v>
      </c>
      <c r="J51" s="55"/>
      <c r="K51" s="62">
        <v>63589301</v>
      </c>
      <c r="L51" s="55"/>
      <c r="M51" s="62">
        <v>64158951</v>
      </c>
      <c r="N51" s="73"/>
      <c r="O51" s="73"/>
    </row>
    <row r="52" spans="2:15" hidden="1" x14ac:dyDescent="0.25">
      <c r="B52" s="73"/>
      <c r="C52" s="63" t="s">
        <v>61</v>
      </c>
      <c r="D52" s="58"/>
      <c r="E52" s="64">
        <v>0.17269999999999999</v>
      </c>
      <c r="F52" s="60"/>
      <c r="G52" s="61">
        <v>165716368</v>
      </c>
      <c r="H52" s="55"/>
      <c r="I52" s="62">
        <v>81574022</v>
      </c>
      <c r="J52" s="55"/>
      <c r="K52" s="62">
        <v>41883571</v>
      </c>
      <c r="L52" s="55"/>
      <c r="M52" s="62">
        <v>42258775</v>
      </c>
      <c r="N52" s="73"/>
      <c r="O52" s="73"/>
    </row>
    <row r="53" spans="2:15" hidden="1" x14ac:dyDescent="0.25">
      <c r="B53" s="73"/>
      <c r="C53" s="63" t="s">
        <v>62</v>
      </c>
      <c r="D53" s="58"/>
      <c r="E53" s="64">
        <v>0.03</v>
      </c>
      <c r="F53" s="60"/>
      <c r="G53" s="61">
        <v>28786862</v>
      </c>
      <c r="H53" s="55"/>
      <c r="I53" s="62">
        <v>14170357</v>
      </c>
      <c r="J53" s="55"/>
      <c r="K53" s="62">
        <v>7275664</v>
      </c>
      <c r="L53" s="55"/>
      <c r="M53" s="62">
        <v>7340841</v>
      </c>
      <c r="N53" s="73"/>
      <c r="O53" s="73"/>
    </row>
    <row r="54" spans="2:15" hidden="1" x14ac:dyDescent="0.25">
      <c r="B54" s="73"/>
      <c r="C54" s="63" t="s">
        <v>63</v>
      </c>
      <c r="D54" s="58"/>
      <c r="E54" s="64">
        <v>0.05</v>
      </c>
      <c r="F54" s="60"/>
      <c r="G54" s="61">
        <v>47978103</v>
      </c>
      <c r="H54" s="55"/>
      <c r="I54" s="62">
        <v>23617262</v>
      </c>
      <c r="J54" s="55"/>
      <c r="K54" s="62">
        <v>12126106</v>
      </c>
      <c r="L54" s="55"/>
      <c r="M54" s="62">
        <v>12234735</v>
      </c>
      <c r="N54" s="73"/>
      <c r="O54" s="73"/>
    </row>
    <row r="55" spans="2:15" hidden="1" x14ac:dyDescent="0.25">
      <c r="B55" s="73"/>
      <c r="C55" s="65" t="s">
        <v>64</v>
      </c>
      <c r="D55" s="66"/>
      <c r="E55" s="67">
        <v>0.19</v>
      </c>
      <c r="F55" s="68"/>
      <c r="G55" s="69">
        <v>9115840</v>
      </c>
      <c r="H55" s="55"/>
      <c r="I55" s="70">
        <v>4487280</v>
      </c>
      <c r="J55" s="55"/>
      <c r="K55" s="70">
        <v>2303960</v>
      </c>
      <c r="L55" s="55"/>
      <c r="M55" s="70">
        <v>2324600</v>
      </c>
      <c r="N55" s="73"/>
      <c r="O55" s="73"/>
    </row>
    <row r="56" spans="2:15" x14ac:dyDescent="0.25"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</row>
    <row r="57" spans="2:15" x14ac:dyDescent="0.25">
      <c r="B57" s="73"/>
      <c r="C57" s="73"/>
      <c r="D57" s="73"/>
      <c r="E57" s="73"/>
      <c r="F57" s="74"/>
      <c r="G57" s="75">
        <f>SUM(G40:O47)</f>
        <v>14629345</v>
      </c>
      <c r="H57" s="76"/>
      <c r="I57" s="77">
        <v>596194157.02999997</v>
      </c>
      <c r="J57" s="76"/>
      <c r="K57" s="78">
        <v>306111424.5</v>
      </c>
      <c r="L57" s="76"/>
      <c r="M57" s="79">
        <v>308853655.37912738</v>
      </c>
      <c r="N57" s="73"/>
      <c r="O57" s="73"/>
    </row>
    <row r="58" spans="2:15" x14ac:dyDescent="0.25">
      <c r="B58" s="73"/>
      <c r="C58" s="73"/>
      <c r="D58" s="73"/>
      <c r="E58" s="73"/>
      <c r="F58" s="73"/>
      <c r="G58" s="73"/>
      <c r="H58" s="80" t="s">
        <v>107</v>
      </c>
      <c r="I58" s="119">
        <v>1548</v>
      </c>
      <c r="J58" s="73"/>
      <c r="K58" s="119">
        <v>2017</v>
      </c>
      <c r="L58" s="73"/>
      <c r="M58" s="119">
        <v>1</v>
      </c>
      <c r="N58" s="73"/>
      <c r="O58" s="73"/>
    </row>
    <row r="59" spans="2:15" x14ac:dyDescent="0.25">
      <c r="B59" s="73"/>
      <c r="C59" s="73"/>
      <c r="D59" s="73"/>
      <c r="E59" s="73"/>
      <c r="F59" s="73"/>
      <c r="G59" s="73"/>
      <c r="H59" s="80" t="s">
        <v>65</v>
      </c>
      <c r="I59" s="81">
        <v>385138.344334625</v>
      </c>
      <c r="J59" s="73"/>
      <c r="K59" s="81">
        <v>151765.70376797224</v>
      </c>
      <c r="L59" s="73"/>
      <c r="M59" s="81">
        <v>308853655.37912738</v>
      </c>
      <c r="N59" s="73"/>
      <c r="O59" s="73"/>
    </row>
  </sheetData>
  <protectedRanges>
    <protectedRange sqref="E52:E54" name="Rango3_2_1_3"/>
  </protectedRanges>
  <mergeCells count="1">
    <mergeCell ref="B2:O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/>
  <dimension ref="B2:O54"/>
  <sheetViews>
    <sheetView topLeftCell="B37" zoomScale="90" zoomScaleNormal="90" workbookViewId="0">
      <selection activeCell="G45" sqref="G45"/>
    </sheetView>
  </sheetViews>
  <sheetFormatPr baseColWidth="10" defaultRowHeight="15" x14ac:dyDescent="0.25"/>
  <cols>
    <col min="1" max="1" width="5" customWidth="1"/>
    <col min="3" max="3" width="34.28515625" customWidth="1"/>
    <col min="6" max="6" width="16.28515625" customWidth="1"/>
    <col min="7" max="7" width="19.140625" customWidth="1"/>
    <col min="8" max="8" width="15.140625" customWidth="1"/>
    <col min="9" max="9" width="21" customWidth="1"/>
    <col min="10" max="10" width="15.7109375" customWidth="1"/>
    <col min="11" max="11" width="18.140625" customWidth="1"/>
    <col min="12" max="12" width="15.5703125" customWidth="1"/>
    <col min="13" max="13" width="18" customWidth="1"/>
    <col min="14" max="14" width="16.7109375" customWidth="1"/>
    <col min="15" max="15" width="15.85546875" customWidth="1"/>
  </cols>
  <sheetData>
    <row r="2" spans="2:15" x14ac:dyDescent="0.25">
      <c r="B2" s="339" t="s">
        <v>0</v>
      </c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1"/>
    </row>
    <row r="3" spans="2:15" ht="25.5" x14ac:dyDescent="0.25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16" t="s">
        <v>7</v>
      </c>
      <c r="I3" s="116" t="s">
        <v>6</v>
      </c>
      <c r="J3" s="117" t="s">
        <v>8</v>
      </c>
      <c r="K3" s="2" t="s">
        <v>6</v>
      </c>
      <c r="L3" s="118" t="s">
        <v>9</v>
      </c>
      <c r="M3" s="3" t="s">
        <v>6</v>
      </c>
      <c r="N3" s="4" t="s">
        <v>10</v>
      </c>
      <c r="O3" s="5" t="s">
        <v>11</v>
      </c>
    </row>
    <row r="4" spans="2:15" ht="64.5" x14ac:dyDescent="0.25">
      <c r="B4" s="6">
        <v>1</v>
      </c>
      <c r="C4" s="7" t="s">
        <v>12</v>
      </c>
      <c r="D4" s="8" t="s">
        <v>13</v>
      </c>
      <c r="E4" s="9">
        <v>525</v>
      </c>
      <c r="F4" s="10">
        <v>84115</v>
      </c>
      <c r="G4" s="10">
        <v>44160375</v>
      </c>
      <c r="H4" s="11">
        <v>525</v>
      </c>
      <c r="I4" s="12">
        <v>44160375</v>
      </c>
      <c r="J4" s="13"/>
      <c r="K4" s="14">
        <v>0</v>
      </c>
      <c r="L4" s="15"/>
      <c r="M4" s="16">
        <v>0</v>
      </c>
      <c r="N4" s="71" t="s">
        <v>14</v>
      </c>
      <c r="O4" s="72"/>
    </row>
    <row r="5" spans="2:15" ht="26.25" x14ac:dyDescent="0.25">
      <c r="B5" s="6">
        <v>2</v>
      </c>
      <c r="C5" s="7" t="s">
        <v>15</v>
      </c>
      <c r="D5" s="8" t="s">
        <v>13</v>
      </c>
      <c r="E5" s="9">
        <v>960</v>
      </c>
      <c r="F5" s="10">
        <v>95140</v>
      </c>
      <c r="G5" s="10">
        <v>91334400</v>
      </c>
      <c r="H5" s="11">
        <v>960</v>
      </c>
      <c r="I5" s="17">
        <v>91334400</v>
      </c>
      <c r="J5" s="13"/>
      <c r="K5" s="14">
        <v>0</v>
      </c>
      <c r="L5" s="15"/>
      <c r="M5" s="16">
        <v>0</v>
      </c>
      <c r="N5" s="71"/>
      <c r="O5" s="72"/>
    </row>
    <row r="6" spans="2:15" ht="26.25" x14ac:dyDescent="0.25">
      <c r="B6" s="18">
        <v>3</v>
      </c>
      <c r="C6" s="7" t="s">
        <v>16</v>
      </c>
      <c r="D6" s="8" t="s">
        <v>13</v>
      </c>
      <c r="E6" s="9">
        <v>1722</v>
      </c>
      <c r="F6" s="10">
        <v>96200</v>
      </c>
      <c r="G6" s="10">
        <v>165656400</v>
      </c>
      <c r="H6" s="11"/>
      <c r="I6" s="17">
        <v>0</v>
      </c>
      <c r="J6" s="13">
        <v>1722</v>
      </c>
      <c r="K6" s="14">
        <v>165656400</v>
      </c>
      <c r="L6" s="15"/>
      <c r="M6" s="16">
        <v>0</v>
      </c>
      <c r="N6" s="71"/>
      <c r="O6" s="72"/>
    </row>
    <row r="7" spans="2:15" x14ac:dyDescent="0.25">
      <c r="B7" s="6">
        <v>4</v>
      </c>
      <c r="C7" s="7" t="s">
        <v>17</v>
      </c>
      <c r="D7" s="8" t="s">
        <v>18</v>
      </c>
      <c r="E7" s="9">
        <v>2</v>
      </c>
      <c r="F7" s="19">
        <v>5471416.75</v>
      </c>
      <c r="G7" s="10">
        <v>10942833.5</v>
      </c>
      <c r="H7" s="11">
        <v>2</v>
      </c>
      <c r="I7" s="20">
        <v>10942833.5</v>
      </c>
      <c r="J7" s="13"/>
      <c r="K7" s="21">
        <v>0</v>
      </c>
      <c r="L7" s="15"/>
      <c r="M7" s="22">
        <v>0</v>
      </c>
      <c r="N7" s="71"/>
      <c r="O7" s="72"/>
    </row>
    <row r="8" spans="2:15" x14ac:dyDescent="0.25">
      <c r="B8" s="18">
        <v>5</v>
      </c>
      <c r="C8" s="7" t="s">
        <v>19</v>
      </c>
      <c r="D8" s="8" t="s">
        <v>18</v>
      </c>
      <c r="E8" s="9">
        <v>1</v>
      </c>
      <c r="F8" s="19">
        <v>5471416.75</v>
      </c>
      <c r="G8" s="10">
        <v>5471416.75</v>
      </c>
      <c r="H8" s="11"/>
      <c r="I8" s="20">
        <v>0</v>
      </c>
      <c r="J8" s="13">
        <v>1</v>
      </c>
      <c r="K8" s="21">
        <v>5471416.75</v>
      </c>
      <c r="L8" s="15"/>
      <c r="M8" s="22">
        <v>0</v>
      </c>
      <c r="N8" s="71"/>
      <c r="O8" s="72"/>
    </row>
    <row r="9" spans="2:15" ht="26.25" x14ac:dyDescent="0.25">
      <c r="B9" s="23">
        <v>6</v>
      </c>
      <c r="C9" s="24" t="s">
        <v>20</v>
      </c>
      <c r="D9" s="25" t="s">
        <v>18</v>
      </c>
      <c r="E9" s="26">
        <v>0</v>
      </c>
      <c r="F9" s="27">
        <v>2430250</v>
      </c>
      <c r="G9" s="27">
        <v>0</v>
      </c>
      <c r="H9" s="11"/>
      <c r="I9" s="17">
        <v>0</v>
      </c>
      <c r="J9" s="13"/>
      <c r="K9" s="14">
        <v>0</v>
      </c>
      <c r="L9" s="15"/>
      <c r="M9" s="16">
        <v>0</v>
      </c>
      <c r="N9" s="71"/>
      <c r="O9" s="72"/>
    </row>
    <row r="10" spans="2:15" ht="26.25" x14ac:dyDescent="0.25">
      <c r="B10" s="23">
        <v>7</v>
      </c>
      <c r="C10" s="24" t="s">
        <v>21</v>
      </c>
      <c r="D10" s="25" t="s">
        <v>13</v>
      </c>
      <c r="E10" s="26">
        <v>0</v>
      </c>
      <c r="F10" s="27">
        <v>356908</v>
      </c>
      <c r="G10" s="27">
        <v>0</v>
      </c>
      <c r="H10" s="11"/>
      <c r="I10" s="17">
        <v>0</v>
      </c>
      <c r="J10" s="13"/>
      <c r="K10" s="14">
        <v>0</v>
      </c>
      <c r="L10" s="15"/>
      <c r="M10" s="16">
        <v>0</v>
      </c>
      <c r="N10" s="71"/>
      <c r="O10" s="72"/>
    </row>
    <row r="11" spans="2:15" ht="26.25" x14ac:dyDescent="0.25">
      <c r="B11" s="23">
        <v>8</v>
      </c>
      <c r="C11" s="24" t="s">
        <v>22</v>
      </c>
      <c r="D11" s="25" t="s">
        <v>18</v>
      </c>
      <c r="E11" s="26">
        <v>0</v>
      </c>
      <c r="F11" s="27">
        <v>47000</v>
      </c>
      <c r="G11" s="27">
        <v>0</v>
      </c>
      <c r="H11" s="11"/>
      <c r="I11" s="17">
        <v>0</v>
      </c>
      <c r="J11" s="13"/>
      <c r="K11" s="14">
        <v>0</v>
      </c>
      <c r="L11" s="15"/>
      <c r="M11" s="16">
        <v>0</v>
      </c>
      <c r="N11" s="71"/>
      <c r="O11" s="72"/>
    </row>
    <row r="12" spans="2:15" ht="26.25" x14ac:dyDescent="0.25">
      <c r="B12" s="23">
        <v>9</v>
      </c>
      <c r="C12" s="24" t="s">
        <v>23</v>
      </c>
      <c r="D12" s="25" t="s">
        <v>24</v>
      </c>
      <c r="E12" s="26">
        <v>0</v>
      </c>
      <c r="F12" s="27">
        <v>111676</v>
      </c>
      <c r="G12" s="27">
        <v>0</v>
      </c>
      <c r="H12" s="11"/>
      <c r="I12" s="17">
        <v>0</v>
      </c>
      <c r="J12" s="13"/>
      <c r="K12" s="14">
        <v>0</v>
      </c>
      <c r="L12" s="15"/>
      <c r="M12" s="16">
        <v>0</v>
      </c>
      <c r="N12" s="71"/>
      <c r="O12" s="72"/>
    </row>
    <row r="13" spans="2:15" ht="26.25" x14ac:dyDescent="0.25">
      <c r="B13" s="23">
        <v>10</v>
      </c>
      <c r="C13" s="24" t="s">
        <v>25</v>
      </c>
      <c r="D13" s="25" t="s">
        <v>13</v>
      </c>
      <c r="E13" s="26">
        <v>0</v>
      </c>
      <c r="F13" s="27">
        <v>420012</v>
      </c>
      <c r="G13" s="27">
        <v>0</v>
      </c>
      <c r="H13" s="11"/>
      <c r="I13" s="17">
        <v>0</v>
      </c>
      <c r="J13" s="13"/>
      <c r="K13" s="14">
        <v>0</v>
      </c>
      <c r="L13" s="15"/>
      <c r="M13" s="16">
        <v>0</v>
      </c>
      <c r="N13" s="71"/>
      <c r="O13" s="72"/>
    </row>
    <row r="14" spans="2:15" x14ac:dyDescent="0.25">
      <c r="B14" s="6">
        <v>11</v>
      </c>
      <c r="C14" s="7" t="s">
        <v>26</v>
      </c>
      <c r="D14" s="8" t="s">
        <v>24</v>
      </c>
      <c r="E14" s="28">
        <v>211</v>
      </c>
      <c r="F14" s="29">
        <v>120000</v>
      </c>
      <c r="G14" s="10">
        <v>25320000</v>
      </c>
      <c r="H14" s="11">
        <v>211</v>
      </c>
      <c r="I14" s="17">
        <v>25320000</v>
      </c>
      <c r="J14" s="13"/>
      <c r="K14" s="14">
        <v>0</v>
      </c>
      <c r="L14" s="15"/>
      <c r="M14" s="16">
        <v>0</v>
      </c>
      <c r="N14" s="71"/>
      <c r="O14" s="72"/>
    </row>
    <row r="15" spans="2:15" ht="64.5" x14ac:dyDescent="0.25">
      <c r="B15" s="6">
        <v>12</v>
      </c>
      <c r="C15" s="7" t="s">
        <v>27</v>
      </c>
      <c r="D15" s="8" t="s">
        <v>13</v>
      </c>
      <c r="E15" s="9">
        <v>525</v>
      </c>
      <c r="F15" s="29">
        <v>11230</v>
      </c>
      <c r="G15" s="10">
        <v>5895750</v>
      </c>
      <c r="H15" s="11">
        <v>525</v>
      </c>
      <c r="I15" s="17">
        <v>5895750</v>
      </c>
      <c r="J15" s="13"/>
      <c r="K15" s="14">
        <v>0</v>
      </c>
      <c r="L15" s="15"/>
      <c r="M15" s="16">
        <v>0</v>
      </c>
      <c r="N15" s="71" t="s">
        <v>14</v>
      </c>
      <c r="O15" s="72"/>
    </row>
    <row r="16" spans="2:15" ht="26.25" x14ac:dyDescent="0.25">
      <c r="B16" s="6">
        <v>13</v>
      </c>
      <c r="C16" s="7" t="s">
        <v>28</v>
      </c>
      <c r="D16" s="8" t="s">
        <v>29</v>
      </c>
      <c r="E16" s="9">
        <v>1398.75</v>
      </c>
      <c r="F16" s="29">
        <v>50227</v>
      </c>
      <c r="G16" s="10">
        <v>70255016.25</v>
      </c>
      <c r="H16" s="11">
        <v>1398.75</v>
      </c>
      <c r="I16" s="17">
        <v>70255016.25</v>
      </c>
      <c r="J16" s="13"/>
      <c r="K16" s="14">
        <v>0</v>
      </c>
      <c r="L16" s="15"/>
      <c r="M16" s="16">
        <v>0</v>
      </c>
      <c r="N16" s="71"/>
      <c r="O16" s="72"/>
    </row>
    <row r="17" spans="2:15" ht="26.25" x14ac:dyDescent="0.25">
      <c r="B17" s="6">
        <v>14</v>
      </c>
      <c r="C17" s="7" t="s">
        <v>30</v>
      </c>
      <c r="D17" s="8" t="s">
        <v>29</v>
      </c>
      <c r="E17" s="9">
        <v>979.13</v>
      </c>
      <c r="F17" s="29">
        <v>84981</v>
      </c>
      <c r="G17" s="10">
        <v>83207446.530000001</v>
      </c>
      <c r="H17" s="11">
        <v>979.13</v>
      </c>
      <c r="I17" s="17">
        <v>83207446.530000001</v>
      </c>
      <c r="J17" s="13"/>
      <c r="K17" s="14">
        <v>0</v>
      </c>
      <c r="L17" s="15"/>
      <c r="M17" s="16">
        <v>0</v>
      </c>
      <c r="N17" s="71"/>
      <c r="O17" s="72"/>
    </row>
    <row r="18" spans="2:15" ht="26.25" x14ac:dyDescent="0.25">
      <c r="B18" s="6">
        <v>15</v>
      </c>
      <c r="C18" s="7" t="s">
        <v>31</v>
      </c>
      <c r="D18" s="8" t="s">
        <v>13</v>
      </c>
      <c r="E18" s="9">
        <v>3047.5</v>
      </c>
      <c r="F18" s="29">
        <v>7695</v>
      </c>
      <c r="G18" s="10">
        <v>23450512.5</v>
      </c>
      <c r="H18" s="11">
        <v>1401.85</v>
      </c>
      <c r="I18" s="17">
        <v>10787235.75</v>
      </c>
      <c r="J18" s="13">
        <v>1645.65</v>
      </c>
      <c r="K18" s="14">
        <v>12663276.75</v>
      </c>
      <c r="L18" s="15"/>
      <c r="M18" s="16">
        <v>0</v>
      </c>
      <c r="N18" s="71"/>
      <c r="O18" s="72" t="s">
        <v>32</v>
      </c>
    </row>
    <row r="19" spans="2:15" x14ac:dyDescent="0.25">
      <c r="B19" s="6">
        <v>16</v>
      </c>
      <c r="C19" s="7" t="s">
        <v>33</v>
      </c>
      <c r="D19" s="8" t="s">
        <v>24</v>
      </c>
      <c r="E19" s="9">
        <v>334</v>
      </c>
      <c r="F19" s="29">
        <v>46331</v>
      </c>
      <c r="G19" s="10">
        <v>15474554</v>
      </c>
      <c r="H19" s="11">
        <v>334</v>
      </c>
      <c r="I19" s="17">
        <v>15474554</v>
      </c>
      <c r="J19" s="13"/>
      <c r="K19" s="14">
        <v>0</v>
      </c>
      <c r="L19" s="15"/>
      <c r="M19" s="16">
        <v>0</v>
      </c>
      <c r="N19" s="71"/>
      <c r="O19" s="72"/>
    </row>
    <row r="20" spans="2:15" ht="26.25" x14ac:dyDescent="0.25">
      <c r="B20" s="18">
        <v>17</v>
      </c>
      <c r="C20" s="7" t="s">
        <v>34</v>
      </c>
      <c r="D20" s="8" t="s">
        <v>24</v>
      </c>
      <c r="E20" s="9">
        <v>1147</v>
      </c>
      <c r="F20" s="29">
        <v>37240</v>
      </c>
      <c r="G20" s="10">
        <v>42714280</v>
      </c>
      <c r="H20" s="11"/>
      <c r="I20" s="17">
        <v>0</v>
      </c>
      <c r="J20" s="13">
        <v>1147</v>
      </c>
      <c r="K20" s="14">
        <v>42714280</v>
      </c>
      <c r="L20" s="15"/>
      <c r="M20" s="16">
        <v>0</v>
      </c>
      <c r="N20" s="71"/>
      <c r="O20" s="72"/>
    </row>
    <row r="21" spans="2:15" ht="26.25" x14ac:dyDescent="0.25">
      <c r="B21" s="18">
        <v>18</v>
      </c>
      <c r="C21" s="7" t="s">
        <v>35</v>
      </c>
      <c r="D21" s="8" t="s">
        <v>13</v>
      </c>
      <c r="E21" s="9">
        <v>126</v>
      </c>
      <c r="F21" s="29">
        <v>136676</v>
      </c>
      <c r="G21" s="10">
        <v>17221176</v>
      </c>
      <c r="H21" s="11">
        <v>126</v>
      </c>
      <c r="I21" s="17">
        <v>17221176</v>
      </c>
      <c r="J21" s="13"/>
      <c r="K21" s="14">
        <v>0</v>
      </c>
      <c r="L21" s="15"/>
      <c r="M21" s="16">
        <v>0</v>
      </c>
      <c r="N21" s="71"/>
      <c r="O21" s="72"/>
    </row>
    <row r="22" spans="2:15" ht="26.25" x14ac:dyDescent="0.25">
      <c r="B22" s="6">
        <v>19</v>
      </c>
      <c r="C22" s="7" t="s">
        <v>36</v>
      </c>
      <c r="D22" s="8" t="s">
        <v>13</v>
      </c>
      <c r="E22" s="9">
        <v>32</v>
      </c>
      <c r="F22" s="29">
        <v>149868</v>
      </c>
      <c r="G22" s="10">
        <v>4795776</v>
      </c>
      <c r="H22" s="11">
        <v>32</v>
      </c>
      <c r="I22" s="17">
        <v>4795776</v>
      </c>
      <c r="J22" s="13"/>
      <c r="K22" s="14">
        <v>0</v>
      </c>
      <c r="L22" s="15"/>
      <c r="M22" s="16">
        <v>0</v>
      </c>
      <c r="N22" s="71"/>
      <c r="O22" s="72"/>
    </row>
    <row r="23" spans="2:15" ht="26.25" x14ac:dyDescent="0.25">
      <c r="B23" s="23">
        <v>20</v>
      </c>
      <c r="C23" s="24" t="s">
        <v>37</v>
      </c>
      <c r="D23" s="25" t="s">
        <v>38</v>
      </c>
      <c r="E23" s="26">
        <v>0</v>
      </c>
      <c r="F23" s="27">
        <v>2380000</v>
      </c>
      <c r="G23" s="27">
        <v>0</v>
      </c>
      <c r="H23" s="30"/>
      <c r="I23" s="17">
        <v>0</v>
      </c>
      <c r="J23" s="31"/>
      <c r="K23" s="14">
        <v>0</v>
      </c>
      <c r="L23" s="32"/>
      <c r="M23" s="16">
        <v>0</v>
      </c>
      <c r="N23" s="71"/>
      <c r="O23" s="72"/>
    </row>
    <row r="24" spans="2:15" ht="26.25" x14ac:dyDescent="0.25">
      <c r="B24" s="23">
        <v>21</v>
      </c>
      <c r="C24" s="24" t="s">
        <v>39</v>
      </c>
      <c r="D24" s="25" t="s">
        <v>38</v>
      </c>
      <c r="E24" s="26">
        <v>0</v>
      </c>
      <c r="F24" s="27">
        <v>4165000</v>
      </c>
      <c r="G24" s="27">
        <v>0</v>
      </c>
      <c r="H24" s="30"/>
      <c r="I24" s="17">
        <v>0</v>
      </c>
      <c r="J24" s="31"/>
      <c r="K24" s="14">
        <v>0</v>
      </c>
      <c r="L24" s="32"/>
      <c r="M24" s="16">
        <v>0</v>
      </c>
      <c r="N24" s="71"/>
      <c r="O24" s="72"/>
    </row>
    <row r="25" spans="2:15" ht="64.5" x14ac:dyDescent="0.25">
      <c r="B25" s="6">
        <v>22</v>
      </c>
      <c r="C25" s="7" t="s">
        <v>40</v>
      </c>
      <c r="D25" s="8" t="s">
        <v>18</v>
      </c>
      <c r="E25" s="9">
        <v>24</v>
      </c>
      <c r="F25" s="19">
        <v>1236700</v>
      </c>
      <c r="G25" s="10">
        <v>29680800</v>
      </c>
      <c r="H25" s="30">
        <v>16.799999999999997</v>
      </c>
      <c r="I25" s="20">
        <v>20776559.999999996</v>
      </c>
      <c r="J25" s="31">
        <v>7.1999999999999993</v>
      </c>
      <c r="K25" s="21">
        <v>8904240</v>
      </c>
      <c r="L25" s="32"/>
      <c r="M25" s="22">
        <v>0</v>
      </c>
      <c r="N25" s="71" t="s">
        <v>41</v>
      </c>
      <c r="O25" s="72"/>
    </row>
    <row r="26" spans="2:15" ht="26.25" x14ac:dyDescent="0.25">
      <c r="B26" s="6">
        <v>23</v>
      </c>
      <c r="C26" s="7" t="s">
        <v>42</v>
      </c>
      <c r="D26" s="8" t="s">
        <v>24</v>
      </c>
      <c r="E26" s="9">
        <v>50</v>
      </c>
      <c r="F26" s="29">
        <v>48580</v>
      </c>
      <c r="G26" s="10">
        <v>2429000</v>
      </c>
      <c r="H26" s="11">
        <v>50</v>
      </c>
      <c r="I26" s="17">
        <v>2429000</v>
      </c>
      <c r="J26" s="13"/>
      <c r="K26" s="14">
        <v>0</v>
      </c>
      <c r="L26" s="15"/>
      <c r="M26" s="16">
        <v>0</v>
      </c>
      <c r="N26" s="71"/>
      <c r="O26" s="72"/>
    </row>
    <row r="27" spans="2:15" ht="26.25" x14ac:dyDescent="0.25">
      <c r="B27" s="6">
        <v>24</v>
      </c>
      <c r="C27" s="7" t="s">
        <v>43</v>
      </c>
      <c r="D27" s="8" t="s">
        <v>24</v>
      </c>
      <c r="E27" s="9">
        <v>23</v>
      </c>
      <c r="F27" s="29">
        <v>93406</v>
      </c>
      <c r="G27" s="10">
        <v>2148338</v>
      </c>
      <c r="H27" s="11">
        <v>23</v>
      </c>
      <c r="I27" s="17">
        <v>2148338</v>
      </c>
      <c r="J27" s="13"/>
      <c r="K27" s="14">
        <v>0</v>
      </c>
      <c r="L27" s="15"/>
      <c r="M27" s="16">
        <v>0</v>
      </c>
      <c r="N27" s="71"/>
      <c r="O27" s="72"/>
    </row>
    <row r="28" spans="2:15" x14ac:dyDescent="0.25">
      <c r="B28" s="18">
        <v>25</v>
      </c>
      <c r="C28" s="7" t="s">
        <v>44</v>
      </c>
      <c r="D28" s="8" t="s">
        <v>3</v>
      </c>
      <c r="E28" s="9">
        <v>10</v>
      </c>
      <c r="F28" s="29">
        <v>576571</v>
      </c>
      <c r="G28" s="10">
        <v>5765710</v>
      </c>
      <c r="H28" s="11"/>
      <c r="I28" s="17">
        <v>0</v>
      </c>
      <c r="J28" s="13">
        <v>10</v>
      </c>
      <c r="K28" s="14">
        <v>5765710</v>
      </c>
      <c r="L28" s="15"/>
      <c r="M28" s="16">
        <v>0</v>
      </c>
      <c r="N28" s="71"/>
      <c r="O28" s="72"/>
    </row>
    <row r="29" spans="2:15" x14ac:dyDescent="0.25">
      <c r="B29" s="23">
        <v>26</v>
      </c>
      <c r="C29" s="24" t="s">
        <v>45</v>
      </c>
      <c r="D29" s="25" t="s">
        <v>38</v>
      </c>
      <c r="E29" s="26">
        <v>0</v>
      </c>
      <c r="F29" s="27">
        <v>3500000</v>
      </c>
      <c r="G29" s="27">
        <v>0</v>
      </c>
      <c r="H29" s="11">
        <v>0</v>
      </c>
      <c r="I29" s="17">
        <v>0</v>
      </c>
      <c r="J29" s="13"/>
      <c r="K29" s="14">
        <v>0</v>
      </c>
      <c r="L29" s="15"/>
      <c r="M29" s="16">
        <v>0</v>
      </c>
      <c r="N29" s="71"/>
      <c r="O29" s="72"/>
    </row>
    <row r="30" spans="2:15" x14ac:dyDescent="0.25">
      <c r="B30" s="18">
        <v>27</v>
      </c>
      <c r="C30" s="7" t="s">
        <v>46</v>
      </c>
      <c r="D30" s="8" t="s">
        <v>18</v>
      </c>
      <c r="E30" s="9">
        <v>2</v>
      </c>
      <c r="F30" s="29">
        <v>800000</v>
      </c>
      <c r="G30" s="10">
        <v>1600000</v>
      </c>
      <c r="H30" s="11">
        <v>1</v>
      </c>
      <c r="I30" s="17">
        <v>800000</v>
      </c>
      <c r="J30" s="13">
        <v>1</v>
      </c>
      <c r="K30" s="14">
        <v>800000</v>
      </c>
      <c r="L30" s="15"/>
      <c r="M30" s="16">
        <v>0</v>
      </c>
      <c r="N30" s="71"/>
      <c r="O30" s="72"/>
    </row>
    <row r="31" spans="2:15" x14ac:dyDescent="0.25">
      <c r="B31" s="18">
        <v>28</v>
      </c>
      <c r="C31" s="7" t="s">
        <v>47</v>
      </c>
      <c r="D31" s="8" t="s">
        <v>29</v>
      </c>
      <c r="E31" s="9">
        <v>20</v>
      </c>
      <c r="F31" s="29">
        <v>90000</v>
      </c>
      <c r="G31" s="10">
        <v>1800000</v>
      </c>
      <c r="H31" s="11">
        <v>20</v>
      </c>
      <c r="I31" s="17">
        <v>1800000</v>
      </c>
      <c r="J31" s="13"/>
      <c r="K31" s="14">
        <v>0</v>
      </c>
      <c r="L31" s="15"/>
      <c r="M31" s="16">
        <v>0</v>
      </c>
      <c r="N31" s="71"/>
      <c r="O31" s="72"/>
    </row>
    <row r="32" spans="2:15" x14ac:dyDescent="0.25">
      <c r="B32" s="18">
        <v>29</v>
      </c>
      <c r="C32" s="7" t="s">
        <v>48</v>
      </c>
      <c r="D32" s="8" t="s">
        <v>18</v>
      </c>
      <c r="E32" s="9">
        <v>10</v>
      </c>
      <c r="F32" s="19">
        <v>54680</v>
      </c>
      <c r="G32" s="10">
        <v>546800</v>
      </c>
      <c r="H32" s="11"/>
      <c r="I32" s="20">
        <v>0</v>
      </c>
      <c r="J32" s="13">
        <v>10</v>
      </c>
      <c r="K32" s="21">
        <v>546800</v>
      </c>
      <c r="L32" s="15"/>
      <c r="M32" s="22">
        <v>0</v>
      </c>
      <c r="N32" s="71"/>
      <c r="O32" s="72"/>
    </row>
    <row r="33" spans="2:15" x14ac:dyDescent="0.25">
      <c r="B33" s="6">
        <v>30</v>
      </c>
      <c r="C33" s="7" t="s">
        <v>49</v>
      </c>
      <c r="D33" s="8" t="s">
        <v>24</v>
      </c>
      <c r="E33" s="9">
        <v>40</v>
      </c>
      <c r="F33" s="29">
        <v>310000</v>
      </c>
      <c r="G33" s="10">
        <v>12400000</v>
      </c>
      <c r="H33" s="11">
        <v>40</v>
      </c>
      <c r="I33" s="17">
        <v>12400000</v>
      </c>
      <c r="J33" s="13"/>
      <c r="K33" s="14">
        <v>0</v>
      </c>
      <c r="L33" s="15"/>
      <c r="M33" s="16">
        <v>0</v>
      </c>
      <c r="N33" s="71"/>
      <c r="O33" s="72"/>
    </row>
    <row r="34" spans="2:15" x14ac:dyDescent="0.25">
      <c r="B34" s="6">
        <v>31</v>
      </c>
      <c r="C34" s="7" t="s">
        <v>50</v>
      </c>
      <c r="D34" s="8" t="s">
        <v>18</v>
      </c>
      <c r="E34" s="9">
        <v>82</v>
      </c>
      <c r="F34" s="29">
        <v>46000</v>
      </c>
      <c r="G34" s="10">
        <v>3772000</v>
      </c>
      <c r="H34" s="11">
        <v>82</v>
      </c>
      <c r="I34" s="17">
        <v>3772000</v>
      </c>
      <c r="J34" s="13"/>
      <c r="K34" s="14">
        <v>0</v>
      </c>
      <c r="L34" s="15"/>
      <c r="M34" s="16">
        <v>0</v>
      </c>
      <c r="N34" s="71"/>
      <c r="O34" s="72"/>
    </row>
    <row r="35" spans="2:15" ht="102.75" x14ac:dyDescent="0.25">
      <c r="B35" s="33">
        <v>32</v>
      </c>
      <c r="C35" s="34" t="s">
        <v>51</v>
      </c>
      <c r="D35" s="35" t="s">
        <v>13</v>
      </c>
      <c r="E35" s="36">
        <v>12021.653</v>
      </c>
      <c r="F35" s="37">
        <v>12644.32</v>
      </c>
      <c r="G35" s="37">
        <v>152005627.46096</v>
      </c>
      <c r="H35" s="11"/>
      <c r="I35" s="38">
        <v>0</v>
      </c>
      <c r="J35" s="13"/>
      <c r="K35" s="39">
        <v>0</v>
      </c>
      <c r="L35" s="15">
        <v>12021.653</v>
      </c>
      <c r="M35" s="40">
        <v>152005627.46096</v>
      </c>
      <c r="N35" s="71" t="s">
        <v>52</v>
      </c>
      <c r="O35" s="72"/>
    </row>
    <row r="36" spans="2:15" ht="102.75" x14ac:dyDescent="0.25">
      <c r="B36" s="33">
        <v>33</v>
      </c>
      <c r="C36" s="34" t="s">
        <v>53</v>
      </c>
      <c r="D36" s="35" t="s">
        <v>13</v>
      </c>
      <c r="E36" s="36">
        <v>5152.1369999999997</v>
      </c>
      <c r="F36" s="37">
        <v>16683.396213681317</v>
      </c>
      <c r="G36" s="37">
        <v>85955142.918167412</v>
      </c>
      <c r="H36" s="11"/>
      <c r="I36" s="38">
        <v>0</v>
      </c>
      <c r="J36" s="13"/>
      <c r="K36" s="39">
        <v>0</v>
      </c>
      <c r="L36" s="15">
        <v>5152.1369999999997</v>
      </c>
      <c r="M36" s="40">
        <v>85955142.918167412</v>
      </c>
      <c r="N36" s="71" t="s">
        <v>52</v>
      </c>
      <c r="O36" s="72"/>
    </row>
    <row r="37" spans="2:15" x14ac:dyDescent="0.25">
      <c r="B37" s="6">
        <v>34</v>
      </c>
      <c r="C37" s="34" t="s">
        <v>54</v>
      </c>
      <c r="D37" s="35" t="s">
        <v>24</v>
      </c>
      <c r="E37" s="41">
        <v>117.5</v>
      </c>
      <c r="F37" s="42">
        <v>415530</v>
      </c>
      <c r="G37" s="37">
        <v>48824775</v>
      </c>
      <c r="H37" s="11">
        <v>117.5</v>
      </c>
      <c r="I37" s="43">
        <v>48824775</v>
      </c>
      <c r="J37" s="13"/>
      <c r="K37" s="44">
        <v>0</v>
      </c>
      <c r="L37" s="15"/>
      <c r="M37" s="45">
        <v>0</v>
      </c>
      <c r="N37" s="71"/>
      <c r="O37" s="72">
        <v>121</v>
      </c>
    </row>
    <row r="38" spans="2:15" x14ac:dyDescent="0.25">
      <c r="B38" s="33">
        <v>35</v>
      </c>
      <c r="C38" s="182" t="s">
        <v>55</v>
      </c>
      <c r="D38" s="8" t="s">
        <v>38</v>
      </c>
      <c r="E38" s="9">
        <v>1</v>
      </c>
      <c r="F38" s="29">
        <v>1700750</v>
      </c>
      <c r="G38" s="29">
        <v>1700750</v>
      </c>
      <c r="H38" s="11"/>
      <c r="I38" s="17">
        <v>0</v>
      </c>
      <c r="J38" s="13"/>
      <c r="K38" s="14">
        <v>0</v>
      </c>
      <c r="L38" s="15">
        <v>1</v>
      </c>
      <c r="M38" s="16">
        <v>1700750</v>
      </c>
      <c r="N38" s="71"/>
      <c r="O38" s="72"/>
    </row>
    <row r="39" spans="2:15" x14ac:dyDescent="0.25">
      <c r="B39" s="23">
        <v>36</v>
      </c>
      <c r="C39" s="24" t="s">
        <v>56</v>
      </c>
      <c r="D39" s="25" t="s">
        <v>13</v>
      </c>
      <c r="E39" s="26">
        <v>0</v>
      </c>
      <c r="F39" s="27">
        <v>84115</v>
      </c>
      <c r="G39" s="27">
        <v>0</v>
      </c>
      <c r="H39" s="11"/>
      <c r="I39" s="17">
        <v>0</v>
      </c>
      <c r="J39" s="13"/>
      <c r="K39" s="14">
        <v>0</v>
      </c>
      <c r="L39" s="15"/>
      <c r="M39" s="16">
        <v>0</v>
      </c>
      <c r="N39" s="71"/>
      <c r="O39" s="72"/>
    </row>
    <row r="40" spans="2:15" ht="38.25" x14ac:dyDescent="0.25">
      <c r="B40" s="33">
        <v>37</v>
      </c>
      <c r="C40" s="186" t="s">
        <v>57</v>
      </c>
      <c r="D40" s="35" t="s">
        <v>18</v>
      </c>
      <c r="E40" s="35">
        <v>6</v>
      </c>
      <c r="F40" s="46">
        <v>249870</v>
      </c>
      <c r="G40" s="37">
        <v>1499220</v>
      </c>
      <c r="H40" s="11"/>
      <c r="I40" s="38">
        <v>0</v>
      </c>
      <c r="J40" s="13"/>
      <c r="K40" s="39">
        <v>0</v>
      </c>
      <c r="L40" s="15">
        <v>6</v>
      </c>
      <c r="M40" s="40">
        <v>1499220</v>
      </c>
      <c r="N40" s="71"/>
      <c r="O40" s="72"/>
    </row>
    <row r="41" spans="2:15" ht="25.5" x14ac:dyDescent="0.25">
      <c r="B41" s="33">
        <v>38</v>
      </c>
      <c r="C41" s="186" t="s">
        <v>186</v>
      </c>
      <c r="D41" s="35" t="s">
        <v>18</v>
      </c>
      <c r="E41" s="35">
        <v>6</v>
      </c>
      <c r="F41" s="46">
        <v>309804</v>
      </c>
      <c r="G41" s="37">
        <v>1858824</v>
      </c>
      <c r="H41" s="11"/>
      <c r="I41" s="38">
        <v>0</v>
      </c>
      <c r="J41" s="13"/>
      <c r="K41" s="39">
        <v>0</v>
      </c>
      <c r="L41" s="15">
        <v>6</v>
      </c>
      <c r="M41" s="40">
        <v>1858824</v>
      </c>
      <c r="N41" s="71"/>
      <c r="O41" s="72"/>
    </row>
    <row r="42" spans="2:15" ht="25.5" x14ac:dyDescent="0.25">
      <c r="B42" s="33">
        <v>39</v>
      </c>
      <c r="C42" s="186" t="s">
        <v>58</v>
      </c>
      <c r="D42" s="35" t="s">
        <v>24</v>
      </c>
      <c r="E42" s="41">
        <v>15</v>
      </c>
      <c r="F42" s="46">
        <v>111676</v>
      </c>
      <c r="G42" s="37">
        <v>1675140</v>
      </c>
      <c r="H42" s="11"/>
      <c r="I42" s="38">
        <v>0</v>
      </c>
      <c r="J42" s="13"/>
      <c r="K42" s="39">
        <v>0</v>
      </c>
      <c r="L42" s="15">
        <v>15</v>
      </c>
      <c r="M42" s="40">
        <v>1675140</v>
      </c>
      <c r="N42" s="71"/>
      <c r="O42" s="72"/>
    </row>
    <row r="43" spans="2:15" x14ac:dyDescent="0.25">
      <c r="B43" s="47"/>
      <c r="C43" s="48"/>
      <c r="D43" s="47"/>
      <c r="E43" s="47"/>
      <c r="F43" s="49"/>
      <c r="G43" s="49"/>
      <c r="H43" s="49"/>
      <c r="I43" s="49"/>
      <c r="J43" s="49"/>
      <c r="K43" s="49"/>
      <c r="L43" s="49"/>
      <c r="M43" s="49"/>
      <c r="N43" s="73"/>
      <c r="O43" s="73"/>
    </row>
    <row r="44" spans="2:15" x14ac:dyDescent="0.25">
      <c r="B44" s="47"/>
      <c r="C44" s="48"/>
      <c r="D44" s="47"/>
      <c r="E44" s="47"/>
      <c r="F44" s="49"/>
      <c r="G44" s="49">
        <f>+G40+G41</f>
        <v>3358044</v>
      </c>
      <c r="H44" s="49"/>
      <c r="I44" s="49"/>
      <c r="J44" s="49"/>
      <c r="K44" s="49"/>
      <c r="L44" s="49"/>
      <c r="M44" s="49"/>
      <c r="N44" s="73"/>
      <c r="O44" s="73"/>
    </row>
    <row r="45" spans="2:15" x14ac:dyDescent="0.25">
      <c r="B45" s="47"/>
      <c r="C45" s="50" t="s">
        <v>59</v>
      </c>
      <c r="D45" s="51"/>
      <c r="E45" s="52"/>
      <c r="F45" s="53"/>
      <c r="G45" s="54">
        <v>959562063.90912747</v>
      </c>
      <c r="H45" s="55"/>
      <c r="I45" s="56">
        <v>472345236.02999997</v>
      </c>
      <c r="J45" s="55"/>
      <c r="K45" s="56">
        <v>242522123.5</v>
      </c>
      <c r="L45" s="55"/>
      <c r="M45" s="56">
        <v>244694704.37912741</v>
      </c>
      <c r="N45" s="73"/>
      <c r="O45" s="73"/>
    </row>
    <row r="46" spans="2:15" x14ac:dyDescent="0.25">
      <c r="B46" s="73"/>
      <c r="C46" s="57" t="s">
        <v>60</v>
      </c>
      <c r="D46" s="58"/>
      <c r="E46" s="59"/>
      <c r="F46" s="60"/>
      <c r="G46" s="61">
        <v>251597173</v>
      </c>
      <c r="H46" s="55"/>
      <c r="I46" s="62">
        <v>123848921</v>
      </c>
      <c r="J46" s="55"/>
      <c r="K46" s="62">
        <v>63589301</v>
      </c>
      <c r="L46" s="55"/>
      <c r="M46" s="62">
        <v>64158951</v>
      </c>
      <c r="N46" s="73"/>
      <c r="O46" s="73"/>
    </row>
    <row r="47" spans="2:15" x14ac:dyDescent="0.25">
      <c r="B47" s="73"/>
      <c r="C47" s="63" t="s">
        <v>61</v>
      </c>
      <c r="D47" s="58"/>
      <c r="E47" s="64">
        <v>0.17269999999999999</v>
      </c>
      <c r="F47" s="60"/>
      <c r="G47" s="61">
        <v>165716368</v>
      </c>
      <c r="H47" s="55"/>
      <c r="I47" s="62">
        <v>81574022</v>
      </c>
      <c r="J47" s="55"/>
      <c r="K47" s="62">
        <v>41883571</v>
      </c>
      <c r="L47" s="55"/>
      <c r="M47" s="62">
        <v>42258775</v>
      </c>
      <c r="N47" s="73"/>
      <c r="O47" s="73"/>
    </row>
    <row r="48" spans="2:15" x14ac:dyDescent="0.25">
      <c r="B48" s="73"/>
      <c r="C48" s="63" t="s">
        <v>62</v>
      </c>
      <c r="D48" s="58"/>
      <c r="E48" s="64">
        <v>0.03</v>
      </c>
      <c r="F48" s="60"/>
      <c r="G48" s="61">
        <v>28786862</v>
      </c>
      <c r="H48" s="55"/>
      <c r="I48" s="62">
        <v>14170357</v>
      </c>
      <c r="J48" s="55"/>
      <c r="K48" s="62">
        <v>7275664</v>
      </c>
      <c r="L48" s="55"/>
      <c r="M48" s="62">
        <v>7340841</v>
      </c>
      <c r="N48" s="73"/>
      <c r="O48" s="73"/>
    </row>
    <row r="49" spans="2:15" x14ac:dyDescent="0.25">
      <c r="B49" s="73"/>
      <c r="C49" s="63" t="s">
        <v>63</v>
      </c>
      <c r="D49" s="58"/>
      <c r="E49" s="64">
        <v>0.05</v>
      </c>
      <c r="F49" s="60"/>
      <c r="G49" s="61">
        <v>47978103</v>
      </c>
      <c r="H49" s="55"/>
      <c r="I49" s="62">
        <v>23617262</v>
      </c>
      <c r="J49" s="55"/>
      <c r="K49" s="62">
        <v>12126106</v>
      </c>
      <c r="L49" s="55"/>
      <c r="M49" s="62">
        <v>12234735</v>
      </c>
      <c r="N49" s="73"/>
      <c r="O49" s="73"/>
    </row>
    <row r="50" spans="2:15" x14ac:dyDescent="0.25">
      <c r="B50" s="73"/>
      <c r="C50" s="65" t="s">
        <v>64</v>
      </c>
      <c r="D50" s="66"/>
      <c r="E50" s="67">
        <v>0.19</v>
      </c>
      <c r="F50" s="68"/>
      <c r="G50" s="69">
        <v>9115840</v>
      </c>
      <c r="H50" s="55"/>
      <c r="I50" s="70">
        <v>4487280</v>
      </c>
      <c r="J50" s="55"/>
      <c r="K50" s="70">
        <v>2303960</v>
      </c>
      <c r="L50" s="55"/>
      <c r="M50" s="70">
        <v>2324600</v>
      </c>
      <c r="N50" s="73"/>
      <c r="O50" s="73"/>
    </row>
    <row r="51" spans="2:15" x14ac:dyDescent="0.25"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</row>
    <row r="52" spans="2:15" x14ac:dyDescent="0.25">
      <c r="B52" s="73"/>
      <c r="C52" s="73"/>
      <c r="D52" s="73"/>
      <c r="E52" s="73"/>
      <c r="F52" s="74"/>
      <c r="G52" s="75">
        <v>1211159236.9091275</v>
      </c>
      <c r="H52" s="76"/>
      <c r="I52" s="77">
        <v>596194157.02999997</v>
      </c>
      <c r="J52" s="76"/>
      <c r="K52" s="78">
        <v>306111424.5</v>
      </c>
      <c r="L52" s="76"/>
      <c r="M52" s="79">
        <v>308853655.37912738</v>
      </c>
      <c r="N52" s="73"/>
      <c r="O52" s="73"/>
    </row>
    <row r="53" spans="2:15" x14ac:dyDescent="0.25">
      <c r="B53" s="73"/>
      <c r="C53" s="73"/>
      <c r="D53" s="73"/>
      <c r="E53" s="73"/>
      <c r="F53" s="73"/>
      <c r="G53" s="73"/>
      <c r="H53" s="80" t="s">
        <v>107</v>
      </c>
      <c r="I53" s="119">
        <v>1548</v>
      </c>
      <c r="J53" s="73"/>
      <c r="K53" s="119">
        <v>2017</v>
      </c>
      <c r="L53" s="73"/>
      <c r="M53" s="119">
        <v>1</v>
      </c>
      <c r="N53" s="73"/>
      <c r="O53" s="73"/>
    </row>
    <row r="54" spans="2:15" x14ac:dyDescent="0.25">
      <c r="B54" s="73"/>
      <c r="C54" s="73"/>
      <c r="D54" s="73"/>
      <c r="E54" s="73"/>
      <c r="F54" s="73"/>
      <c r="G54" s="73"/>
      <c r="H54" s="80" t="s">
        <v>65</v>
      </c>
      <c r="I54" s="81">
        <v>385138.344334625</v>
      </c>
      <c r="J54" s="73"/>
      <c r="K54" s="81">
        <v>151765.70376797224</v>
      </c>
      <c r="L54" s="73"/>
      <c r="M54" s="81">
        <v>308853655.37912738</v>
      </c>
      <c r="N54" s="73"/>
      <c r="O54" s="73"/>
    </row>
  </sheetData>
  <protectedRanges>
    <protectedRange sqref="E47:E49" name="Rango3_2_1_3"/>
  </protectedRanges>
  <mergeCells count="1">
    <mergeCell ref="B2:O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/>
  <dimension ref="B1:M31"/>
  <sheetViews>
    <sheetView view="pageBreakPreview" topLeftCell="C1" zoomScaleNormal="100" zoomScaleSheetLayoutView="100" workbookViewId="0">
      <selection activeCell="G3" sqref="G3"/>
    </sheetView>
  </sheetViews>
  <sheetFormatPr baseColWidth="10" defaultRowHeight="15" x14ac:dyDescent="0.25"/>
  <cols>
    <col min="1" max="1" width="2.7109375" customWidth="1"/>
    <col min="2" max="2" width="9.28515625" customWidth="1"/>
    <col min="3" max="3" width="30.28515625" customWidth="1"/>
    <col min="6" max="6" width="17.28515625" customWidth="1"/>
    <col min="7" max="7" width="20.140625" customWidth="1"/>
    <col min="8" max="8" width="2.5703125" customWidth="1"/>
    <col min="9" max="9" width="3.7109375" customWidth="1"/>
    <col min="10" max="10" width="19.28515625" customWidth="1"/>
    <col min="11" max="11" width="4.85546875" customWidth="1"/>
    <col min="12" max="12" width="24.5703125" customWidth="1"/>
    <col min="13" max="13" width="20.7109375" customWidth="1"/>
  </cols>
  <sheetData>
    <row r="1" spans="2:8" ht="19.5" customHeight="1" x14ac:dyDescent="0.25">
      <c r="B1" s="358" t="s">
        <v>66</v>
      </c>
      <c r="C1" s="358"/>
      <c r="D1" s="358"/>
      <c r="E1" s="358"/>
      <c r="F1" s="358"/>
      <c r="G1" s="358"/>
    </row>
    <row r="2" spans="2:8" ht="29.25" customHeight="1" x14ac:dyDescent="0.25">
      <c r="B2" s="358"/>
      <c r="C2" s="358"/>
      <c r="D2" s="358"/>
      <c r="E2" s="358"/>
      <c r="F2" s="358"/>
      <c r="G2" s="358"/>
    </row>
    <row r="3" spans="2:8" ht="38.25" x14ac:dyDescent="0.25">
      <c r="B3" s="82" t="s">
        <v>1</v>
      </c>
      <c r="C3" s="83" t="s">
        <v>67</v>
      </c>
      <c r="D3" s="83" t="s">
        <v>68</v>
      </c>
      <c r="E3" s="83" t="s">
        <v>4</v>
      </c>
      <c r="F3" s="83"/>
      <c r="G3" s="83" t="s">
        <v>6</v>
      </c>
    </row>
    <row r="4" spans="2:8" x14ac:dyDescent="0.25">
      <c r="B4" s="84" t="s">
        <v>69</v>
      </c>
      <c r="C4" s="359" t="s">
        <v>70</v>
      </c>
      <c r="D4" s="359"/>
      <c r="E4" s="359"/>
      <c r="F4" s="359"/>
      <c r="G4" s="85"/>
    </row>
    <row r="5" spans="2:8" ht="38.25" x14ac:dyDescent="0.25">
      <c r="B5" s="86">
        <v>1</v>
      </c>
      <c r="C5" s="87" t="s">
        <v>71</v>
      </c>
      <c r="D5" s="88" t="s">
        <v>38</v>
      </c>
      <c r="E5" s="89">
        <v>1</v>
      </c>
      <c r="F5" s="90"/>
      <c r="G5" s="91">
        <v>39955380</v>
      </c>
    </row>
    <row r="7" spans="2:8" x14ac:dyDescent="0.25">
      <c r="B7" s="358" t="s">
        <v>72</v>
      </c>
      <c r="C7" s="358"/>
      <c r="D7" s="358"/>
      <c r="E7" s="358"/>
      <c r="F7" s="358"/>
      <c r="G7" s="358"/>
      <c r="H7" s="92"/>
    </row>
    <row r="8" spans="2:8" ht="28.5" customHeight="1" x14ac:dyDescent="0.25">
      <c r="B8" s="358"/>
      <c r="C8" s="358"/>
      <c r="D8" s="358"/>
      <c r="E8" s="358"/>
      <c r="F8" s="358"/>
      <c r="G8" s="358"/>
      <c r="H8" s="92"/>
    </row>
    <row r="9" spans="2:8" ht="25.5" x14ac:dyDescent="0.25">
      <c r="B9" s="93" t="s">
        <v>1</v>
      </c>
      <c r="C9" s="93" t="s">
        <v>2</v>
      </c>
      <c r="D9" s="93" t="s">
        <v>3</v>
      </c>
      <c r="E9" s="93" t="s">
        <v>4</v>
      </c>
      <c r="F9" s="93" t="s">
        <v>73</v>
      </c>
      <c r="G9" s="93" t="s">
        <v>74</v>
      </c>
      <c r="H9" s="92"/>
    </row>
    <row r="10" spans="2:8" x14ac:dyDescent="0.25">
      <c r="B10" s="84" t="s">
        <v>69</v>
      </c>
      <c r="C10" s="359" t="s">
        <v>75</v>
      </c>
      <c r="D10" s="359"/>
      <c r="E10" s="359"/>
      <c r="F10" s="359"/>
      <c r="G10" s="85">
        <f>SUM(G11:G13)</f>
        <v>959562063.90912735</v>
      </c>
      <c r="H10" s="92"/>
    </row>
    <row r="11" spans="2:8" ht="38.25" x14ac:dyDescent="0.25">
      <c r="B11" s="94">
        <v>1</v>
      </c>
      <c r="C11" s="95" t="s">
        <v>76</v>
      </c>
      <c r="D11" s="94" t="s">
        <v>77</v>
      </c>
      <c r="E11" s="96">
        <v>2017</v>
      </c>
      <c r="F11" s="97">
        <f>'Hoja1 luz'!K45/'Hoja1 luz'!K53</f>
        <v>120239.02999504215</v>
      </c>
      <c r="G11" s="98">
        <f>E11*F11</f>
        <v>242522123.5</v>
      </c>
      <c r="H11" s="92"/>
    </row>
    <row r="12" spans="2:8" ht="51.75" customHeight="1" x14ac:dyDescent="0.25">
      <c r="B12" s="94">
        <v>2</v>
      </c>
      <c r="C12" s="95" t="s">
        <v>78</v>
      </c>
      <c r="D12" s="94" t="s">
        <v>77</v>
      </c>
      <c r="E12" s="96">
        <v>1548</v>
      </c>
      <c r="F12" s="97">
        <f>'Hoja1 luz'!I45/'Hoja1 luz'!I53</f>
        <v>305132.58141472866</v>
      </c>
      <c r="G12" s="98">
        <f t="shared" ref="G12:G13" si="0">E12*F12</f>
        <v>472345236.02999997</v>
      </c>
      <c r="H12" s="92"/>
    </row>
    <row r="13" spans="2:8" ht="44.25" customHeight="1" x14ac:dyDescent="0.25">
      <c r="B13" s="94">
        <v>3</v>
      </c>
      <c r="C13" s="95" t="s">
        <v>79</v>
      </c>
      <c r="D13" s="94" t="s">
        <v>38</v>
      </c>
      <c r="E13" s="96">
        <v>1</v>
      </c>
      <c r="F13" s="97">
        <f>'Hoja1 luz'!M45</f>
        <v>244694704.37912741</v>
      </c>
      <c r="G13" s="98">
        <f t="shared" si="0"/>
        <v>244694704.37912741</v>
      </c>
      <c r="H13" s="92"/>
    </row>
    <row r="14" spans="2:8" x14ac:dyDescent="0.25">
      <c r="B14" s="94"/>
      <c r="C14" s="95"/>
      <c r="D14" s="94"/>
      <c r="E14" s="96"/>
      <c r="F14" s="97"/>
      <c r="G14" s="98"/>
      <c r="H14" s="92"/>
    </row>
    <row r="15" spans="2:8" x14ac:dyDescent="0.25">
      <c r="B15" s="84" t="s">
        <v>80</v>
      </c>
      <c r="C15" s="359" t="s">
        <v>81</v>
      </c>
      <c r="D15" s="359"/>
      <c r="E15" s="359"/>
      <c r="F15" s="359"/>
      <c r="G15" s="99">
        <f>SUM(G16:G19)</f>
        <v>351618170.10566616</v>
      </c>
      <c r="H15" s="92"/>
    </row>
    <row r="16" spans="2:8" x14ac:dyDescent="0.25">
      <c r="B16" s="94"/>
      <c r="C16" s="100" t="s">
        <v>82</v>
      </c>
      <c r="D16" s="101">
        <v>0.27693608926474311</v>
      </c>
      <c r="E16" s="351"/>
      <c r="F16" s="351"/>
      <c r="G16" s="102">
        <f>$G$10*D16</f>
        <v>265737365.38579923</v>
      </c>
      <c r="H16" s="92"/>
    </row>
    <row r="17" spans="2:13" x14ac:dyDescent="0.25">
      <c r="B17" s="94"/>
      <c r="C17" s="100" t="s">
        <v>83</v>
      </c>
      <c r="D17" s="103">
        <v>0.03</v>
      </c>
      <c r="E17" s="351"/>
      <c r="F17" s="351"/>
      <c r="G17" s="102">
        <f>$G$10*D17</f>
        <v>28786861.917273819</v>
      </c>
      <c r="H17" s="92"/>
    </row>
    <row r="18" spans="2:13" x14ac:dyDescent="0.25">
      <c r="B18" s="94"/>
      <c r="C18" s="100" t="s">
        <v>84</v>
      </c>
      <c r="D18" s="103">
        <v>0.05</v>
      </c>
      <c r="E18" s="351"/>
      <c r="F18" s="351"/>
      <c r="G18" s="102">
        <f>$G$10*D18</f>
        <v>47978103.195456371</v>
      </c>
      <c r="H18" s="92"/>
    </row>
    <row r="19" spans="2:13" x14ac:dyDescent="0.25">
      <c r="B19" s="94"/>
      <c r="C19" s="100" t="s">
        <v>85</v>
      </c>
      <c r="D19" s="103">
        <v>0.19</v>
      </c>
      <c r="E19" s="351"/>
      <c r="F19" s="351"/>
      <c r="G19" s="102">
        <f>G18*D19</f>
        <v>9115839.6071367096</v>
      </c>
      <c r="H19" s="92"/>
    </row>
    <row r="20" spans="2:13" x14ac:dyDescent="0.25">
      <c r="B20" s="352" t="s">
        <v>86</v>
      </c>
      <c r="C20" s="352"/>
      <c r="D20" s="352"/>
      <c r="E20" s="352"/>
      <c r="F20" s="352"/>
      <c r="G20" s="104">
        <f>G10+G15</f>
        <v>1311180234.0147934</v>
      </c>
      <c r="H20" s="92"/>
    </row>
    <row r="22" spans="2:13" ht="32.25" customHeight="1" x14ac:dyDescent="0.25">
      <c r="B22" s="346" t="s">
        <v>87</v>
      </c>
      <c r="C22" s="346"/>
      <c r="D22" s="105" t="s">
        <v>88</v>
      </c>
      <c r="E22" s="346" t="s">
        <v>89</v>
      </c>
      <c r="F22" s="346"/>
      <c r="G22" s="105" t="s">
        <v>90</v>
      </c>
      <c r="J22" s="105" t="s">
        <v>91</v>
      </c>
      <c r="L22" s="106" t="s">
        <v>92</v>
      </c>
      <c r="M22" s="106" t="s">
        <v>93</v>
      </c>
    </row>
    <row r="23" spans="2:13" ht="50.25" customHeight="1" x14ac:dyDescent="0.25">
      <c r="B23" s="353" t="s">
        <v>94</v>
      </c>
      <c r="C23" s="354"/>
      <c r="D23" s="107">
        <v>1</v>
      </c>
      <c r="E23" s="357" t="s">
        <v>95</v>
      </c>
      <c r="F23" s="357"/>
      <c r="G23" s="108">
        <f>G5</f>
        <v>39955380</v>
      </c>
      <c r="J23" s="109">
        <v>35818410</v>
      </c>
      <c r="L23" s="37">
        <v>893893675.20000005</v>
      </c>
      <c r="M23" s="37">
        <v>0</v>
      </c>
    </row>
    <row r="24" spans="2:13" ht="45.75" customHeight="1" x14ac:dyDescent="0.25">
      <c r="B24" s="355"/>
      <c r="C24" s="356"/>
      <c r="D24" s="107">
        <v>2</v>
      </c>
      <c r="E24" s="357" t="s">
        <v>96</v>
      </c>
      <c r="F24" s="357"/>
      <c r="G24" s="110">
        <v>1311180234</v>
      </c>
      <c r="J24" s="109">
        <v>177984850</v>
      </c>
      <c r="L24" s="37">
        <f>865245621-240226876</f>
        <v>625018745</v>
      </c>
      <c r="M24" s="37">
        <v>234694428</v>
      </c>
    </row>
    <row r="25" spans="2:13" ht="24.75" customHeight="1" x14ac:dyDescent="0.25">
      <c r="B25" s="346" t="s">
        <v>97</v>
      </c>
      <c r="C25" s="346"/>
      <c r="D25" s="105">
        <v>3</v>
      </c>
      <c r="E25" s="346" t="s">
        <v>98</v>
      </c>
      <c r="F25" s="346"/>
      <c r="G25" s="111">
        <f>SUM(G23:G24)</f>
        <v>1351135614</v>
      </c>
      <c r="J25" s="112">
        <f>SUM(J23:J24)</f>
        <v>213803260</v>
      </c>
      <c r="L25" s="73"/>
      <c r="M25" s="73"/>
    </row>
    <row r="26" spans="2:13" x14ac:dyDescent="0.25">
      <c r="J26" s="113">
        <f>J25/G25</f>
        <v>0.15823967467413674</v>
      </c>
      <c r="K26" s="114"/>
      <c r="L26" s="37">
        <f>SUM(L23:L25)</f>
        <v>1518912420.2</v>
      </c>
      <c r="M26" s="37">
        <f>SUM(M23:M25)</f>
        <v>234694428</v>
      </c>
    </row>
    <row r="27" spans="2:13" ht="25.5" x14ac:dyDescent="0.25">
      <c r="B27" s="346" t="s">
        <v>89</v>
      </c>
      <c r="C27" s="346"/>
      <c r="D27" s="346" t="s">
        <v>99</v>
      </c>
      <c r="E27" s="346"/>
      <c r="F27" s="346" t="s">
        <v>100</v>
      </c>
      <c r="G27" s="346"/>
      <c r="J27" s="105" t="s">
        <v>101</v>
      </c>
    </row>
    <row r="28" spans="2:13" ht="32.25" customHeight="1" x14ac:dyDescent="0.25">
      <c r="B28" s="348" t="s">
        <v>102</v>
      </c>
      <c r="C28" s="348"/>
      <c r="D28" s="349">
        <f>ROUND(G23*0.9,0)</f>
        <v>35959842</v>
      </c>
      <c r="E28" s="349"/>
      <c r="F28" s="350" t="s">
        <v>103</v>
      </c>
      <c r="G28" s="350"/>
      <c r="J28" s="109">
        <f>G25+J25</f>
        <v>1564938874</v>
      </c>
      <c r="L28" s="115">
        <f>L26-J28</f>
        <v>-46026453.799999952</v>
      </c>
    </row>
    <row r="29" spans="2:13" ht="32.25" customHeight="1" x14ac:dyDescent="0.25">
      <c r="B29" s="348" t="s">
        <v>104</v>
      </c>
      <c r="C29" s="348"/>
      <c r="D29" s="349">
        <f>ROUND(G24*0.9,0)</f>
        <v>1180062211</v>
      </c>
      <c r="E29" s="349"/>
      <c r="F29" s="350" t="s">
        <v>108</v>
      </c>
      <c r="G29" s="350"/>
    </row>
    <row r="30" spans="2:13" x14ac:dyDescent="0.25">
      <c r="B30" s="346" t="s">
        <v>105</v>
      </c>
      <c r="C30" s="346"/>
      <c r="D30" s="347">
        <f>SUM(D28:E29)</f>
        <v>1216022053</v>
      </c>
      <c r="E30" s="347"/>
      <c r="F30" s="346" t="s">
        <v>109</v>
      </c>
      <c r="G30" s="346"/>
    </row>
    <row r="31" spans="2:13" x14ac:dyDescent="0.25">
      <c r="B31" s="346" t="s">
        <v>106</v>
      </c>
      <c r="C31" s="346"/>
      <c r="D31" s="347"/>
      <c r="E31" s="347"/>
      <c r="F31" s="346"/>
      <c r="G31" s="346"/>
    </row>
  </sheetData>
  <mergeCells count="30">
    <mergeCell ref="E16:F16"/>
    <mergeCell ref="B1:G2"/>
    <mergeCell ref="C4:F4"/>
    <mergeCell ref="B7:G8"/>
    <mergeCell ref="C10:F10"/>
    <mergeCell ref="C15:F15"/>
    <mergeCell ref="B27:C27"/>
    <mergeCell ref="D27:E27"/>
    <mergeCell ref="F27:G27"/>
    <mergeCell ref="E17:F17"/>
    <mergeCell ref="E18:F18"/>
    <mergeCell ref="E19:F19"/>
    <mergeCell ref="B20:F20"/>
    <mergeCell ref="B22:C22"/>
    <mergeCell ref="E22:F22"/>
    <mergeCell ref="B23:C24"/>
    <mergeCell ref="E23:F23"/>
    <mergeCell ref="E24:F24"/>
    <mergeCell ref="B25:C25"/>
    <mergeCell ref="E25:F25"/>
    <mergeCell ref="B30:C30"/>
    <mergeCell ref="D30:E31"/>
    <mergeCell ref="F30:G31"/>
    <mergeCell ref="B31:C31"/>
    <mergeCell ref="B28:C28"/>
    <mergeCell ref="D28:E28"/>
    <mergeCell ref="F28:G28"/>
    <mergeCell ref="B29:C29"/>
    <mergeCell ref="D29:E29"/>
    <mergeCell ref="F29:G29"/>
  </mergeCells>
  <pageMargins left="0.7" right="0.7" top="0.75" bottom="0.75" header="0.3" footer="0.3"/>
  <pageSetup scale="88" orientation="portrait" r:id="rId1"/>
  <colBreaks count="1" manualBreakCount="1">
    <brk id="7" max="3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2:M373"/>
  <sheetViews>
    <sheetView tabSelected="1" topLeftCell="A327" zoomScale="85" zoomScaleNormal="85" zoomScaleSheetLayoutView="85" workbookViewId="0">
      <selection activeCell="H20" sqref="H20"/>
    </sheetView>
  </sheetViews>
  <sheetFormatPr baseColWidth="10" defaultColWidth="11.42578125" defaultRowHeight="12.75" x14ac:dyDescent="0.25"/>
  <cols>
    <col min="1" max="1" width="5.42578125" style="196" customWidth="1"/>
    <col min="2" max="2" width="10.140625" style="196" customWidth="1"/>
    <col min="3" max="3" width="34.140625" style="196" customWidth="1"/>
    <col min="4" max="4" width="8.7109375" style="196" customWidth="1"/>
    <col min="5" max="5" width="11.140625" style="196" customWidth="1"/>
    <col min="6" max="6" width="13.7109375" style="196" customWidth="1"/>
    <col min="7" max="7" width="18.5703125" style="196" customWidth="1"/>
    <col min="8" max="8" width="17.42578125" style="195" customWidth="1"/>
    <col min="9" max="9" width="13.42578125" style="196" customWidth="1"/>
    <col min="10" max="10" width="11.85546875" style="196" customWidth="1"/>
    <col min="11" max="11" width="11.42578125" style="196" customWidth="1"/>
    <col min="12" max="12" width="13.28515625" style="196" customWidth="1"/>
    <col min="13" max="13" width="10.42578125" style="196" customWidth="1"/>
    <col min="14" max="14" width="8.42578125" style="196" customWidth="1"/>
    <col min="15" max="15" width="15.5703125" style="196" customWidth="1"/>
    <col min="16" max="16" width="20.7109375" style="196" customWidth="1"/>
    <col min="17" max="17" width="23" style="196" customWidth="1"/>
    <col min="18" max="16384" width="11.42578125" style="196"/>
  </cols>
  <sheetData>
    <row r="2" spans="2:7" x14ac:dyDescent="0.25">
      <c r="B2" s="360" t="s">
        <v>245</v>
      </c>
      <c r="C2" s="360"/>
      <c r="D2" s="360"/>
      <c r="E2" s="360"/>
      <c r="F2" s="360"/>
      <c r="G2" s="360"/>
    </row>
    <row r="3" spans="2:7" x14ac:dyDescent="0.25">
      <c r="B3" s="360"/>
      <c r="C3" s="360"/>
      <c r="D3" s="360"/>
      <c r="E3" s="360"/>
      <c r="F3" s="360"/>
      <c r="G3" s="360"/>
    </row>
    <row r="4" spans="2:7" s="195" customFormat="1" ht="13.5" x14ac:dyDescent="0.25">
      <c r="B4" s="228"/>
      <c r="C4" s="229"/>
      <c r="D4" s="229"/>
      <c r="E4" s="229"/>
      <c r="F4" s="229"/>
      <c r="G4" s="230"/>
    </row>
    <row r="5" spans="2:7" s="195" customFormat="1" ht="13.5" x14ac:dyDescent="0.25">
      <c r="B5" s="376" t="s">
        <v>245</v>
      </c>
      <c r="C5" s="377"/>
      <c r="D5" s="377"/>
      <c r="E5" s="377"/>
      <c r="F5" s="377"/>
      <c r="G5" s="378"/>
    </row>
    <row r="6" spans="2:7" x14ac:dyDescent="0.25">
      <c r="B6" s="361" t="s">
        <v>241</v>
      </c>
      <c r="C6" s="362"/>
      <c r="D6" s="362"/>
      <c r="E6" s="362"/>
      <c r="F6" s="362"/>
      <c r="G6" s="363"/>
    </row>
    <row r="7" spans="2:7" x14ac:dyDescent="0.25">
      <c r="B7" s="364"/>
      <c r="C7" s="365"/>
      <c r="D7" s="365"/>
      <c r="E7" s="365"/>
      <c r="F7" s="365"/>
      <c r="G7" s="366"/>
    </row>
    <row r="8" spans="2:7" ht="13.5" x14ac:dyDescent="0.25">
      <c r="B8" s="367" t="s">
        <v>2</v>
      </c>
      <c r="C8" s="368"/>
      <c r="D8" s="368"/>
      <c r="E8" s="368"/>
      <c r="F8" s="369"/>
      <c r="G8" s="197" t="s">
        <v>74</v>
      </c>
    </row>
    <row r="9" spans="2:7" ht="13.5" x14ac:dyDescent="0.25">
      <c r="B9" s="370" t="s">
        <v>242</v>
      </c>
      <c r="C9" s="371"/>
      <c r="D9" s="371"/>
      <c r="E9" s="371"/>
      <c r="F9" s="372"/>
      <c r="G9" s="199"/>
    </row>
    <row r="10" spans="2:7" ht="13.5" x14ac:dyDescent="0.25">
      <c r="B10" s="373" t="s">
        <v>233</v>
      </c>
      <c r="C10" s="374"/>
      <c r="D10" s="374"/>
      <c r="E10" s="374"/>
      <c r="F10" s="375"/>
      <c r="G10" s="199"/>
    </row>
    <row r="11" spans="2:7" ht="13.5" x14ac:dyDescent="0.25">
      <c r="B11" s="198" t="s">
        <v>69</v>
      </c>
      <c r="C11" s="387" t="s">
        <v>243</v>
      </c>
      <c r="D11" s="388"/>
      <c r="E11" s="388"/>
      <c r="F11" s="389"/>
      <c r="G11" s="226"/>
    </row>
    <row r="12" spans="2:7" x14ac:dyDescent="0.25">
      <c r="B12" s="390" t="s">
        <v>240</v>
      </c>
      <c r="C12" s="390"/>
      <c r="D12" s="390"/>
      <c r="E12" s="390"/>
      <c r="F12" s="390"/>
      <c r="G12" s="390"/>
    </row>
    <row r="13" spans="2:7" x14ac:dyDescent="0.25">
      <c r="B13" s="390"/>
      <c r="C13" s="390"/>
      <c r="D13" s="390"/>
      <c r="E13" s="390"/>
      <c r="F13" s="390"/>
      <c r="G13" s="390"/>
    </row>
    <row r="14" spans="2:7" ht="27.75" thickBot="1" x14ac:dyDescent="0.3">
      <c r="B14" s="227" t="s">
        <v>1</v>
      </c>
      <c r="C14" s="227" t="s">
        <v>2</v>
      </c>
      <c r="D14" s="227" t="s">
        <v>3</v>
      </c>
      <c r="E14" s="227" t="s">
        <v>4</v>
      </c>
      <c r="F14" s="227" t="s">
        <v>73</v>
      </c>
      <c r="G14" s="227" t="s">
        <v>74</v>
      </c>
    </row>
    <row r="15" spans="2:7" ht="15.75" thickBot="1" x14ac:dyDescent="0.3">
      <c r="B15" s="315">
        <v>1</v>
      </c>
      <c r="C15" s="231" t="s">
        <v>244</v>
      </c>
      <c r="D15" s="231"/>
      <c r="E15" s="231"/>
      <c r="F15" s="231"/>
      <c r="G15" s="245"/>
    </row>
    <row r="16" spans="2:7" ht="30" x14ac:dyDescent="0.25">
      <c r="B16" s="254" t="s">
        <v>246</v>
      </c>
      <c r="C16" s="255" t="s">
        <v>247</v>
      </c>
      <c r="D16" s="256" t="s">
        <v>13</v>
      </c>
      <c r="E16" s="257">
        <v>750</v>
      </c>
      <c r="F16" s="232"/>
      <c r="G16" s="319"/>
    </row>
    <row r="17" spans="2:7" ht="38.25" x14ac:dyDescent="0.25">
      <c r="B17" s="254" t="s">
        <v>248</v>
      </c>
      <c r="C17" s="258" t="s">
        <v>249</v>
      </c>
      <c r="D17" s="256" t="s">
        <v>13</v>
      </c>
      <c r="E17" s="257">
        <v>150</v>
      </c>
      <c r="F17" s="233"/>
      <c r="G17" s="320"/>
    </row>
    <row r="18" spans="2:7" ht="76.5" x14ac:dyDescent="0.25">
      <c r="B18" s="254" t="s">
        <v>250</v>
      </c>
      <c r="C18" s="258" t="s">
        <v>251</v>
      </c>
      <c r="D18" s="259" t="s">
        <v>13</v>
      </c>
      <c r="E18" s="257">
        <v>260</v>
      </c>
      <c r="F18" s="232"/>
      <c r="G18" s="320"/>
    </row>
    <row r="19" spans="2:7" ht="38.25" x14ac:dyDescent="0.25">
      <c r="B19" s="254" t="s">
        <v>252</v>
      </c>
      <c r="C19" s="258" t="s">
        <v>253</v>
      </c>
      <c r="D19" s="259" t="s">
        <v>13</v>
      </c>
      <c r="E19" s="257">
        <v>588</v>
      </c>
      <c r="F19" s="233"/>
      <c r="G19" s="320"/>
    </row>
    <row r="20" spans="2:7" ht="51" x14ac:dyDescent="0.25">
      <c r="B20" s="254" t="s">
        <v>254</v>
      </c>
      <c r="C20" s="258" t="s">
        <v>255</v>
      </c>
      <c r="D20" s="259" t="s">
        <v>13</v>
      </c>
      <c r="E20" s="257">
        <v>50</v>
      </c>
      <c r="F20" s="233"/>
      <c r="G20" s="320"/>
    </row>
    <row r="21" spans="2:7" ht="51" x14ac:dyDescent="0.25">
      <c r="B21" s="254" t="s">
        <v>256</v>
      </c>
      <c r="C21" s="258" t="s">
        <v>257</v>
      </c>
      <c r="D21" s="260" t="s">
        <v>3</v>
      </c>
      <c r="E21" s="257">
        <v>3</v>
      </c>
      <c r="F21" s="233"/>
      <c r="G21" s="320"/>
    </row>
    <row r="22" spans="2:7" ht="51" x14ac:dyDescent="0.25">
      <c r="B22" s="254" t="s">
        <v>258</v>
      </c>
      <c r="C22" s="258" t="s">
        <v>259</v>
      </c>
      <c r="D22" s="261" t="s">
        <v>3</v>
      </c>
      <c r="E22" s="257">
        <v>5</v>
      </c>
      <c r="F22" s="233"/>
      <c r="G22" s="320"/>
    </row>
    <row r="23" spans="2:7" ht="51" x14ac:dyDescent="0.25">
      <c r="B23" s="254" t="s">
        <v>260</v>
      </c>
      <c r="C23" s="258" t="s">
        <v>261</v>
      </c>
      <c r="D23" s="260" t="s">
        <v>3</v>
      </c>
      <c r="E23" s="257">
        <v>3</v>
      </c>
      <c r="F23" s="233"/>
      <c r="G23" s="320"/>
    </row>
    <row r="24" spans="2:7" ht="51" x14ac:dyDescent="0.25">
      <c r="B24" s="254" t="s">
        <v>262</v>
      </c>
      <c r="C24" s="258" t="s">
        <v>263</v>
      </c>
      <c r="D24" s="260" t="s">
        <v>3</v>
      </c>
      <c r="E24" s="257">
        <v>1</v>
      </c>
      <c r="F24" s="236"/>
      <c r="G24" s="320"/>
    </row>
    <row r="25" spans="2:7" ht="30" x14ac:dyDescent="0.25">
      <c r="B25" s="254" t="s">
        <v>264</v>
      </c>
      <c r="C25" s="262" t="s">
        <v>265</v>
      </c>
      <c r="D25" s="263" t="s">
        <v>24</v>
      </c>
      <c r="E25" s="257">
        <v>50</v>
      </c>
      <c r="F25" s="233"/>
      <c r="G25" s="320"/>
    </row>
    <row r="26" spans="2:7" ht="51" x14ac:dyDescent="0.25">
      <c r="B26" s="254" t="s">
        <v>266</v>
      </c>
      <c r="C26" s="258" t="s">
        <v>267</v>
      </c>
      <c r="D26" s="260" t="s">
        <v>24</v>
      </c>
      <c r="E26" s="257">
        <v>300</v>
      </c>
      <c r="F26" s="233"/>
      <c r="G26" s="320"/>
    </row>
    <row r="27" spans="2:7" ht="63.75" x14ac:dyDescent="0.25">
      <c r="B27" s="254" t="s">
        <v>268</v>
      </c>
      <c r="C27" s="258" t="s">
        <v>269</v>
      </c>
      <c r="D27" s="259" t="s">
        <v>13</v>
      </c>
      <c r="E27" s="257">
        <v>143</v>
      </c>
      <c r="F27" s="233"/>
      <c r="G27" s="320"/>
    </row>
    <row r="28" spans="2:7" ht="38.25" x14ac:dyDescent="0.25">
      <c r="B28" s="264" t="s">
        <v>270</v>
      </c>
      <c r="C28" s="258" t="s">
        <v>271</v>
      </c>
      <c r="D28" s="259" t="s">
        <v>3</v>
      </c>
      <c r="E28" s="265">
        <v>50</v>
      </c>
      <c r="F28" s="233"/>
      <c r="G28" s="320"/>
    </row>
    <row r="29" spans="2:7" ht="51" x14ac:dyDescent="0.25">
      <c r="B29" s="254" t="s">
        <v>272</v>
      </c>
      <c r="C29" s="266" t="s">
        <v>273</v>
      </c>
      <c r="D29" s="263" t="s">
        <v>3</v>
      </c>
      <c r="E29" s="267">
        <v>6</v>
      </c>
      <c r="F29" s="233"/>
      <c r="G29" s="320"/>
    </row>
    <row r="30" spans="2:7" ht="38.25" x14ac:dyDescent="0.25">
      <c r="B30" s="254" t="s">
        <v>274</v>
      </c>
      <c r="C30" s="258" t="s">
        <v>275</v>
      </c>
      <c r="D30" s="261" t="s">
        <v>24</v>
      </c>
      <c r="E30" s="268">
        <v>15</v>
      </c>
      <c r="F30" s="233"/>
      <c r="G30" s="320"/>
    </row>
    <row r="31" spans="2:7" ht="25.5" x14ac:dyDescent="0.25">
      <c r="B31" s="254" t="s">
        <v>276</v>
      </c>
      <c r="C31" s="258" t="s">
        <v>277</v>
      </c>
      <c r="D31" s="261" t="s">
        <v>13</v>
      </c>
      <c r="E31" s="268">
        <v>15</v>
      </c>
      <c r="F31" s="232"/>
      <c r="G31" s="321"/>
    </row>
    <row r="32" spans="2:7" ht="25.5" x14ac:dyDescent="0.25">
      <c r="B32" s="254" t="s">
        <v>278</v>
      </c>
      <c r="C32" s="258" t="s">
        <v>279</v>
      </c>
      <c r="D32" s="261" t="s">
        <v>24</v>
      </c>
      <c r="E32" s="268">
        <v>10</v>
      </c>
      <c r="F32" s="232"/>
      <c r="G32" s="321"/>
    </row>
    <row r="33" spans="2:7" ht="38.25" x14ac:dyDescent="0.25">
      <c r="B33" s="254" t="s">
        <v>280</v>
      </c>
      <c r="C33" s="258" t="s">
        <v>281</v>
      </c>
      <c r="D33" s="261" t="s">
        <v>13</v>
      </c>
      <c r="E33" s="268">
        <v>6</v>
      </c>
      <c r="F33" s="232"/>
      <c r="G33" s="321"/>
    </row>
    <row r="34" spans="2:7" ht="63.75" x14ac:dyDescent="0.25">
      <c r="B34" s="254" t="s">
        <v>282</v>
      </c>
      <c r="C34" s="258" t="s">
        <v>283</v>
      </c>
      <c r="D34" s="261" t="s">
        <v>13</v>
      </c>
      <c r="E34" s="268">
        <v>10</v>
      </c>
      <c r="F34" s="232"/>
      <c r="G34" s="321"/>
    </row>
    <row r="35" spans="2:7" ht="76.5" x14ac:dyDescent="0.25">
      <c r="B35" s="264" t="s">
        <v>284</v>
      </c>
      <c r="C35" s="258" t="s">
        <v>285</v>
      </c>
      <c r="D35" s="261" t="s">
        <v>13</v>
      </c>
      <c r="E35" s="265">
        <v>83</v>
      </c>
      <c r="F35" s="232"/>
      <c r="G35" s="321"/>
    </row>
    <row r="36" spans="2:7" ht="89.25" x14ac:dyDescent="0.25">
      <c r="B36" s="254" t="s">
        <v>286</v>
      </c>
      <c r="C36" s="258" t="s">
        <v>287</v>
      </c>
      <c r="D36" s="261" t="s">
        <v>29</v>
      </c>
      <c r="E36" s="257">
        <v>19</v>
      </c>
      <c r="F36" s="233"/>
      <c r="G36" s="320"/>
    </row>
    <row r="37" spans="2:7" ht="38.25" x14ac:dyDescent="0.25">
      <c r="B37" s="254" t="s">
        <v>288</v>
      </c>
      <c r="C37" s="258" t="s">
        <v>289</v>
      </c>
      <c r="D37" s="261" t="s">
        <v>24</v>
      </c>
      <c r="E37" s="257">
        <v>100</v>
      </c>
      <c r="F37" s="237"/>
      <c r="G37" s="319"/>
    </row>
    <row r="38" spans="2:7" ht="15" x14ac:dyDescent="0.25">
      <c r="B38" s="254" t="s">
        <v>290</v>
      </c>
      <c r="C38" s="258" t="s">
        <v>291</v>
      </c>
      <c r="D38" s="261" t="s">
        <v>24</v>
      </c>
      <c r="E38" s="257">
        <v>150</v>
      </c>
      <c r="F38" s="232"/>
      <c r="G38" s="321"/>
    </row>
    <row r="39" spans="2:7" ht="63.75" x14ac:dyDescent="0.25">
      <c r="B39" s="254" t="s">
        <v>292</v>
      </c>
      <c r="C39" s="258" t="s">
        <v>293</v>
      </c>
      <c r="D39" s="261" t="s">
        <v>13</v>
      </c>
      <c r="E39" s="257">
        <v>472</v>
      </c>
      <c r="F39" s="232"/>
      <c r="G39" s="321"/>
    </row>
    <row r="40" spans="2:7" ht="38.25" x14ac:dyDescent="0.25">
      <c r="B40" s="254" t="s">
        <v>294</v>
      </c>
      <c r="C40" s="258" t="s">
        <v>295</v>
      </c>
      <c r="D40" s="259" t="s">
        <v>3</v>
      </c>
      <c r="E40" s="257">
        <v>35</v>
      </c>
      <c r="F40" s="232"/>
      <c r="G40" s="321"/>
    </row>
    <row r="41" spans="2:7" ht="38.25" x14ac:dyDescent="0.25">
      <c r="B41" s="254" t="s">
        <v>296</v>
      </c>
      <c r="C41" s="258" t="s">
        <v>297</v>
      </c>
      <c r="D41" s="259" t="s">
        <v>24</v>
      </c>
      <c r="E41" s="257">
        <v>100</v>
      </c>
      <c r="F41" s="232"/>
      <c r="G41" s="321"/>
    </row>
    <row r="42" spans="2:7" ht="25.5" x14ac:dyDescent="0.25">
      <c r="B42" s="254" t="s">
        <v>298</v>
      </c>
      <c r="C42" s="266" t="s">
        <v>299</v>
      </c>
      <c r="D42" s="269" t="s">
        <v>3</v>
      </c>
      <c r="E42" s="267">
        <v>2</v>
      </c>
      <c r="F42" s="232"/>
      <c r="G42" s="321"/>
    </row>
    <row r="43" spans="2:7" ht="51" x14ac:dyDescent="0.25">
      <c r="B43" s="254" t="s">
        <v>300</v>
      </c>
      <c r="C43" s="266" t="s">
        <v>301</v>
      </c>
      <c r="D43" s="269" t="s">
        <v>13</v>
      </c>
      <c r="E43" s="267">
        <v>100</v>
      </c>
      <c r="F43" s="232"/>
      <c r="G43" s="321"/>
    </row>
    <row r="44" spans="2:7" ht="38.25" x14ac:dyDescent="0.25">
      <c r="B44" s="254" t="s">
        <v>302</v>
      </c>
      <c r="C44" s="266" t="s">
        <v>303</v>
      </c>
      <c r="D44" s="269" t="s">
        <v>304</v>
      </c>
      <c r="E44" s="267">
        <v>6</v>
      </c>
      <c r="F44" s="232"/>
      <c r="G44" s="321"/>
    </row>
    <row r="45" spans="2:7" ht="38.25" x14ac:dyDescent="0.25">
      <c r="B45" s="254" t="s">
        <v>305</v>
      </c>
      <c r="C45" s="258" t="s">
        <v>306</v>
      </c>
      <c r="D45" s="259" t="s">
        <v>304</v>
      </c>
      <c r="E45" s="268">
        <v>6</v>
      </c>
      <c r="F45" s="232"/>
      <c r="G45" s="321"/>
    </row>
    <row r="46" spans="2:7" ht="25.5" x14ac:dyDescent="0.25">
      <c r="B46" s="254" t="s">
        <v>307</v>
      </c>
      <c r="C46" s="258" t="s">
        <v>308</v>
      </c>
      <c r="D46" s="259" t="s">
        <v>304</v>
      </c>
      <c r="E46" s="268">
        <v>1</v>
      </c>
      <c r="F46" s="232"/>
      <c r="G46" s="321"/>
    </row>
    <row r="47" spans="2:7" ht="25.5" x14ac:dyDescent="0.25">
      <c r="B47" s="254" t="s">
        <v>309</v>
      </c>
      <c r="C47" s="266" t="s">
        <v>310</v>
      </c>
      <c r="D47" s="269" t="s">
        <v>13</v>
      </c>
      <c r="E47" s="267">
        <v>110</v>
      </c>
      <c r="F47" s="232"/>
      <c r="G47" s="321"/>
    </row>
    <row r="48" spans="2:7" ht="38.25" x14ac:dyDescent="0.25">
      <c r="B48" s="254" t="s">
        <v>311</v>
      </c>
      <c r="C48" s="266" t="s">
        <v>312</v>
      </c>
      <c r="D48" s="269" t="s">
        <v>13</v>
      </c>
      <c r="E48" s="267">
        <v>474</v>
      </c>
      <c r="F48" s="232"/>
      <c r="G48" s="321"/>
    </row>
    <row r="49" spans="1:7" ht="30" x14ac:dyDescent="0.25">
      <c r="A49" s="246"/>
      <c r="B49" s="254" t="s">
        <v>313</v>
      </c>
      <c r="C49" s="255" t="s">
        <v>314</v>
      </c>
      <c r="D49" s="256" t="s">
        <v>304</v>
      </c>
      <c r="E49" s="268">
        <v>3</v>
      </c>
      <c r="F49" s="232"/>
      <c r="G49" s="321"/>
    </row>
    <row r="50" spans="1:7" ht="15" thickBot="1" x14ac:dyDescent="0.3">
      <c r="A50" s="247"/>
      <c r="B50" s="264"/>
      <c r="C50" s="258"/>
      <c r="D50" s="259"/>
      <c r="E50" s="268"/>
      <c r="F50" s="239"/>
      <c r="G50" s="320"/>
    </row>
    <row r="51" spans="1:7" ht="15.75" thickBot="1" x14ac:dyDescent="0.3">
      <c r="A51" s="248"/>
      <c r="B51" s="315">
        <v>2</v>
      </c>
      <c r="C51" s="231" t="s">
        <v>315</v>
      </c>
      <c r="D51" s="231"/>
      <c r="E51" s="231"/>
      <c r="F51" s="231"/>
      <c r="G51" s="245"/>
    </row>
    <row r="52" spans="1:7" ht="319.5" thickBot="1" x14ac:dyDescent="0.3">
      <c r="A52" s="248"/>
      <c r="B52" s="264" t="s">
        <v>316</v>
      </c>
      <c r="C52" s="258" t="s">
        <v>317</v>
      </c>
      <c r="D52" s="259" t="s">
        <v>18</v>
      </c>
      <c r="E52" s="268">
        <v>1</v>
      </c>
      <c r="F52" s="239"/>
      <c r="G52" s="320"/>
    </row>
    <row r="53" spans="1:7" ht="15.75" thickBot="1" x14ac:dyDescent="0.3">
      <c r="A53" s="248"/>
      <c r="B53" s="315">
        <v>3</v>
      </c>
      <c r="C53" s="231" t="s">
        <v>318</v>
      </c>
      <c r="D53" s="231"/>
      <c r="E53" s="231"/>
      <c r="F53" s="231"/>
      <c r="G53" s="324"/>
    </row>
    <row r="54" spans="1:7" ht="38.25" x14ac:dyDescent="0.25">
      <c r="A54" s="247"/>
      <c r="B54" s="264" t="s">
        <v>319</v>
      </c>
      <c r="C54" s="270" t="s">
        <v>320</v>
      </c>
      <c r="D54" s="271" t="s">
        <v>29</v>
      </c>
      <c r="E54" s="272">
        <v>17</v>
      </c>
      <c r="F54" s="243"/>
      <c r="G54" s="320"/>
    </row>
    <row r="55" spans="1:7" ht="38.25" x14ac:dyDescent="0.25">
      <c r="A55" s="248"/>
      <c r="B55" s="264" t="s">
        <v>321</v>
      </c>
      <c r="C55" s="270" t="s">
        <v>322</v>
      </c>
      <c r="D55" s="271" t="s">
        <v>13</v>
      </c>
      <c r="E55" s="272">
        <v>100</v>
      </c>
      <c r="F55" s="239"/>
      <c r="G55" s="320"/>
    </row>
    <row r="56" spans="1:7" ht="38.25" x14ac:dyDescent="0.25">
      <c r="A56" s="248"/>
      <c r="B56" s="264" t="s">
        <v>323</v>
      </c>
      <c r="C56" s="270" t="s">
        <v>324</v>
      </c>
      <c r="D56" s="271" t="s">
        <v>13</v>
      </c>
      <c r="E56" s="272">
        <v>350</v>
      </c>
      <c r="F56" s="239"/>
      <c r="G56" s="320"/>
    </row>
    <row r="57" spans="1:7" ht="51" x14ac:dyDescent="0.25">
      <c r="A57" s="246"/>
      <c r="B57" s="264" t="s">
        <v>325</v>
      </c>
      <c r="C57" s="270" t="s">
        <v>326</v>
      </c>
      <c r="D57" s="271" t="s">
        <v>24</v>
      </c>
      <c r="E57" s="272">
        <v>180</v>
      </c>
      <c r="F57" s="239"/>
      <c r="G57" s="322"/>
    </row>
    <row r="58" spans="1:7" ht="51" x14ac:dyDescent="0.25">
      <c r="A58" s="249"/>
      <c r="B58" s="264" t="s">
        <v>327</v>
      </c>
      <c r="C58" s="270" t="s">
        <v>328</v>
      </c>
      <c r="D58" s="271" t="s">
        <v>24</v>
      </c>
      <c r="E58" s="272">
        <v>200</v>
      </c>
      <c r="F58" s="242"/>
      <c r="G58" s="320"/>
    </row>
    <row r="59" spans="1:7" ht="15" thickBot="1" x14ac:dyDescent="0.3">
      <c r="A59" s="248"/>
      <c r="B59" s="264"/>
      <c r="C59" s="270"/>
      <c r="D59" s="271"/>
      <c r="E59" s="272"/>
      <c r="F59" s="235"/>
      <c r="G59" s="320"/>
    </row>
    <row r="60" spans="1:7" ht="15.75" thickBot="1" x14ac:dyDescent="0.3">
      <c r="B60" s="315">
        <v>4</v>
      </c>
      <c r="C60" s="231" t="s">
        <v>329</v>
      </c>
      <c r="D60" s="231"/>
      <c r="E60" s="231"/>
      <c r="F60" s="231"/>
      <c r="G60" s="245"/>
    </row>
    <row r="61" spans="1:7" ht="76.5" x14ac:dyDescent="0.25">
      <c r="B61" s="254" t="s">
        <v>330</v>
      </c>
      <c r="C61" s="270" t="s">
        <v>331</v>
      </c>
      <c r="D61" s="271" t="s">
        <v>24</v>
      </c>
      <c r="E61" s="272">
        <v>6</v>
      </c>
      <c r="F61" s="236"/>
      <c r="G61" s="320"/>
    </row>
    <row r="62" spans="1:7" ht="76.5" x14ac:dyDescent="0.25">
      <c r="B62" s="273">
        <v>42</v>
      </c>
      <c r="C62" s="266" t="s">
        <v>332</v>
      </c>
      <c r="D62" s="263" t="s">
        <v>304</v>
      </c>
      <c r="E62" s="274">
        <v>6</v>
      </c>
      <c r="F62" s="233"/>
      <c r="G62" s="323"/>
    </row>
    <row r="63" spans="1:7" ht="64.5" thickBot="1" x14ac:dyDescent="0.3">
      <c r="B63" s="254" t="s">
        <v>333</v>
      </c>
      <c r="C63" s="270" t="s">
        <v>334</v>
      </c>
      <c r="D63" s="271" t="s">
        <v>29</v>
      </c>
      <c r="E63" s="272">
        <v>11</v>
      </c>
      <c r="F63" s="233"/>
      <c r="G63" s="320"/>
    </row>
    <row r="64" spans="1:7" ht="15.75" thickBot="1" x14ac:dyDescent="0.3">
      <c r="B64" s="324">
        <v>5</v>
      </c>
      <c r="C64" s="391" t="s">
        <v>335</v>
      </c>
      <c r="D64" s="392"/>
      <c r="E64" s="392"/>
      <c r="F64" s="392"/>
      <c r="G64" s="393"/>
    </row>
    <row r="65" spans="2:7" ht="63.75" x14ac:dyDescent="0.25">
      <c r="B65" s="275" t="s">
        <v>336</v>
      </c>
      <c r="C65" s="270" t="s">
        <v>337</v>
      </c>
      <c r="D65" s="271" t="s">
        <v>24</v>
      </c>
      <c r="E65" s="272">
        <v>197</v>
      </c>
      <c r="F65" s="233"/>
      <c r="G65" s="320"/>
    </row>
    <row r="66" spans="2:7" ht="38.25" x14ac:dyDescent="0.25">
      <c r="B66" s="275" t="s">
        <v>338</v>
      </c>
      <c r="C66" s="270" t="s">
        <v>339</v>
      </c>
      <c r="D66" s="271" t="s">
        <v>29</v>
      </c>
      <c r="E66" s="272">
        <v>130</v>
      </c>
      <c r="F66" s="237"/>
      <c r="G66" s="319"/>
    </row>
    <row r="67" spans="2:7" ht="63.75" x14ac:dyDescent="0.25">
      <c r="B67" s="275" t="s">
        <v>340</v>
      </c>
      <c r="C67" s="270" t="s">
        <v>341</v>
      </c>
      <c r="D67" s="271" t="s">
        <v>29</v>
      </c>
      <c r="E67" s="272">
        <v>6</v>
      </c>
      <c r="F67" s="233"/>
      <c r="G67" s="323"/>
    </row>
    <row r="68" spans="2:7" ht="15" thickBot="1" x14ac:dyDescent="0.3">
      <c r="B68" s="275"/>
      <c r="C68" s="276"/>
      <c r="D68" s="277"/>
      <c r="E68" s="272"/>
      <c r="F68" s="233"/>
      <c r="G68" s="323"/>
    </row>
    <row r="69" spans="2:7" ht="15.75" thickBot="1" x14ac:dyDescent="0.3">
      <c r="B69" s="315">
        <v>6</v>
      </c>
      <c r="C69" s="231" t="s">
        <v>342</v>
      </c>
      <c r="D69" s="231"/>
      <c r="E69" s="231"/>
      <c r="F69" s="231"/>
      <c r="G69" s="231"/>
    </row>
    <row r="70" spans="2:7" ht="140.25" x14ac:dyDescent="0.25">
      <c r="B70" s="275">
        <v>6.1</v>
      </c>
      <c r="C70" s="276" t="s">
        <v>343</v>
      </c>
      <c r="D70" s="278" t="s">
        <v>13</v>
      </c>
      <c r="E70" s="279">
        <v>109</v>
      </c>
      <c r="F70" s="233"/>
      <c r="G70" s="323"/>
    </row>
    <row r="71" spans="2:7" ht="140.25" x14ac:dyDescent="0.25">
      <c r="B71" s="275">
        <v>6.2</v>
      </c>
      <c r="C71" s="276" t="s">
        <v>344</v>
      </c>
      <c r="D71" s="278" t="s">
        <v>13</v>
      </c>
      <c r="E71" s="280">
        <v>265</v>
      </c>
      <c r="F71" s="242"/>
      <c r="G71" s="323"/>
    </row>
    <row r="72" spans="2:7" ht="140.25" x14ac:dyDescent="0.25">
      <c r="B72" s="275">
        <v>6.3</v>
      </c>
      <c r="C72" s="276" t="s">
        <v>345</v>
      </c>
      <c r="D72" s="278" t="s">
        <v>13</v>
      </c>
      <c r="E72" s="279">
        <v>112</v>
      </c>
      <c r="F72" s="236"/>
      <c r="G72" s="320"/>
    </row>
    <row r="73" spans="2:7" ht="140.25" x14ac:dyDescent="0.25">
      <c r="B73" s="275">
        <v>6.4</v>
      </c>
      <c r="C73" s="276" t="s">
        <v>346</v>
      </c>
      <c r="D73" s="278" t="s">
        <v>77</v>
      </c>
      <c r="E73" s="272">
        <v>112</v>
      </c>
      <c r="F73" s="233"/>
      <c r="G73" s="320"/>
    </row>
    <row r="74" spans="2:7" ht="15" thickBot="1" x14ac:dyDescent="0.3">
      <c r="B74" s="275"/>
      <c r="C74" s="276"/>
      <c r="D74" s="278"/>
      <c r="E74" s="272"/>
      <c r="F74" s="233"/>
      <c r="G74" s="320"/>
    </row>
    <row r="75" spans="2:7" ht="15.75" thickBot="1" x14ac:dyDescent="0.3">
      <c r="B75" s="315">
        <v>7</v>
      </c>
      <c r="C75" s="231" t="s">
        <v>347</v>
      </c>
      <c r="D75" s="231"/>
      <c r="E75" s="231"/>
      <c r="F75" s="231"/>
      <c r="G75" s="231"/>
    </row>
    <row r="76" spans="2:7" ht="38.25" x14ac:dyDescent="0.25">
      <c r="B76" s="275" t="s">
        <v>348</v>
      </c>
      <c r="C76" s="281" t="s">
        <v>349</v>
      </c>
      <c r="D76" s="278" t="s">
        <v>13</v>
      </c>
      <c r="E76" s="282">
        <v>25</v>
      </c>
      <c r="F76" s="233"/>
      <c r="G76" s="323"/>
    </row>
    <row r="77" spans="2:7" ht="51" x14ac:dyDescent="0.25">
      <c r="B77" s="275" t="s">
        <v>350</v>
      </c>
      <c r="C77" s="281" t="s">
        <v>351</v>
      </c>
      <c r="D77" s="278" t="s">
        <v>13</v>
      </c>
      <c r="E77" s="282">
        <v>1200</v>
      </c>
      <c r="F77" s="233"/>
      <c r="G77" s="320"/>
    </row>
    <row r="78" spans="2:7" ht="25.5" x14ac:dyDescent="0.25">
      <c r="B78" s="275" t="s">
        <v>352</v>
      </c>
      <c r="C78" s="281" t="s">
        <v>353</v>
      </c>
      <c r="D78" s="278" t="s">
        <v>13</v>
      </c>
      <c r="E78" s="282">
        <v>900</v>
      </c>
      <c r="F78" s="233"/>
      <c r="G78" s="320"/>
    </row>
    <row r="79" spans="2:7" ht="51" x14ac:dyDescent="0.25">
      <c r="B79" s="275" t="s">
        <v>354</v>
      </c>
      <c r="C79" s="281" t="s">
        <v>355</v>
      </c>
      <c r="D79" s="278" t="s">
        <v>13</v>
      </c>
      <c r="E79" s="282">
        <v>350</v>
      </c>
      <c r="F79" s="237"/>
      <c r="G79" s="320"/>
    </row>
    <row r="80" spans="2:7" ht="25.5" x14ac:dyDescent="0.25">
      <c r="B80" s="275" t="s">
        <v>356</v>
      </c>
      <c r="C80" s="270" t="s">
        <v>357</v>
      </c>
      <c r="D80" s="271" t="s">
        <v>24</v>
      </c>
      <c r="E80" s="282">
        <v>160</v>
      </c>
      <c r="F80" s="233"/>
      <c r="G80" s="320"/>
    </row>
    <row r="81" spans="2:7" ht="25.5" x14ac:dyDescent="0.25">
      <c r="B81" s="275" t="s">
        <v>358</v>
      </c>
      <c r="C81" s="270" t="s">
        <v>359</v>
      </c>
      <c r="D81" s="271" t="s">
        <v>24</v>
      </c>
      <c r="E81" s="282">
        <v>100</v>
      </c>
      <c r="F81" s="233"/>
      <c r="G81" s="320"/>
    </row>
    <row r="82" spans="2:7" ht="25.5" x14ac:dyDescent="0.25">
      <c r="B82" s="275" t="s">
        <v>360</v>
      </c>
      <c r="C82" s="270" t="s">
        <v>361</v>
      </c>
      <c r="D82" s="271" t="s">
        <v>13</v>
      </c>
      <c r="E82" s="279">
        <v>40</v>
      </c>
      <c r="F82" s="233"/>
      <c r="G82" s="320"/>
    </row>
    <row r="83" spans="2:7" ht="38.25" x14ac:dyDescent="0.25">
      <c r="B83" s="275" t="s">
        <v>362</v>
      </c>
      <c r="C83" s="281" t="s">
        <v>363</v>
      </c>
      <c r="D83" s="278" t="s">
        <v>24</v>
      </c>
      <c r="E83" s="279">
        <v>21</v>
      </c>
      <c r="F83" s="233"/>
      <c r="G83" s="320"/>
    </row>
    <row r="84" spans="2:7" ht="63.75" x14ac:dyDescent="0.25">
      <c r="B84" s="275" t="s">
        <v>364</v>
      </c>
      <c r="C84" s="281" t="s">
        <v>365</v>
      </c>
      <c r="D84" s="278" t="s">
        <v>366</v>
      </c>
      <c r="E84" s="279">
        <v>21</v>
      </c>
      <c r="F84" s="233"/>
      <c r="G84" s="325"/>
    </row>
    <row r="85" spans="2:7" ht="15" thickBot="1" x14ac:dyDescent="0.3">
      <c r="B85" s="264"/>
      <c r="C85" s="283"/>
      <c r="D85" s="284"/>
      <c r="E85" s="282"/>
      <c r="F85" s="240"/>
      <c r="G85" s="320"/>
    </row>
    <row r="86" spans="2:7" ht="15.75" thickBot="1" x14ac:dyDescent="0.3">
      <c r="B86" s="315">
        <v>8</v>
      </c>
      <c r="C86" s="231" t="s">
        <v>367</v>
      </c>
      <c r="D86" s="231"/>
      <c r="E86" s="231"/>
      <c r="F86" s="231"/>
      <c r="G86" s="231"/>
    </row>
    <row r="87" spans="2:7" ht="102" x14ac:dyDescent="0.25">
      <c r="B87" s="275" t="s">
        <v>368</v>
      </c>
      <c r="C87" s="281" t="s">
        <v>369</v>
      </c>
      <c r="D87" s="278" t="s">
        <v>13</v>
      </c>
      <c r="E87" s="282">
        <v>244</v>
      </c>
      <c r="F87" s="241"/>
      <c r="G87" s="319"/>
    </row>
    <row r="88" spans="2:7" ht="76.5" x14ac:dyDescent="0.25">
      <c r="B88" s="275" t="s">
        <v>370</v>
      </c>
      <c r="C88" s="281" t="s">
        <v>371</v>
      </c>
      <c r="D88" s="278" t="s">
        <v>13</v>
      </c>
      <c r="E88" s="282">
        <v>65</v>
      </c>
      <c r="F88" s="238"/>
      <c r="G88" s="320"/>
    </row>
    <row r="89" spans="2:7" ht="89.25" x14ac:dyDescent="0.25">
      <c r="B89" s="275" t="s">
        <v>372</v>
      </c>
      <c r="C89" s="281" t="s">
        <v>373</v>
      </c>
      <c r="D89" s="278" t="s">
        <v>13</v>
      </c>
      <c r="E89" s="282">
        <v>156</v>
      </c>
      <c r="F89" s="234"/>
      <c r="G89" s="319"/>
    </row>
    <row r="90" spans="2:7" ht="15" thickBot="1" x14ac:dyDescent="0.3">
      <c r="B90" s="275"/>
      <c r="C90" s="281"/>
      <c r="D90" s="278"/>
      <c r="E90" s="279"/>
      <c r="F90" s="236"/>
      <c r="G90" s="320"/>
    </row>
    <row r="91" spans="2:7" ht="15.75" thickBot="1" x14ac:dyDescent="0.3">
      <c r="B91" s="315">
        <v>9</v>
      </c>
      <c r="C91" s="231" t="s">
        <v>374</v>
      </c>
      <c r="D91" s="231"/>
      <c r="E91" s="231"/>
      <c r="F91" s="231"/>
      <c r="G91" s="231"/>
    </row>
    <row r="92" spans="2:7" ht="51" x14ac:dyDescent="0.25">
      <c r="B92" s="275" t="s">
        <v>375</v>
      </c>
      <c r="C92" s="281" t="s">
        <v>376</v>
      </c>
      <c r="D92" s="278" t="s">
        <v>13</v>
      </c>
      <c r="E92" s="285">
        <v>732</v>
      </c>
      <c r="F92" s="237"/>
      <c r="G92" s="319"/>
    </row>
    <row r="93" spans="2:7" ht="102" x14ac:dyDescent="0.25">
      <c r="B93" s="275" t="s">
        <v>377</v>
      </c>
      <c r="C93" s="281" t="s">
        <v>378</v>
      </c>
      <c r="D93" s="278" t="s">
        <v>13</v>
      </c>
      <c r="E93" s="285">
        <v>732</v>
      </c>
      <c r="F93" s="233"/>
      <c r="G93" s="320"/>
    </row>
    <row r="94" spans="2:7" ht="76.5" x14ac:dyDescent="0.25">
      <c r="B94" s="275" t="s">
        <v>379</v>
      </c>
      <c r="C94" s="281" t="s">
        <v>380</v>
      </c>
      <c r="D94" s="260" t="s">
        <v>24</v>
      </c>
      <c r="E94" s="285">
        <v>95</v>
      </c>
      <c r="F94" s="233"/>
      <c r="G94" s="320"/>
    </row>
    <row r="95" spans="2:7" ht="63.75" x14ac:dyDescent="0.25">
      <c r="B95" s="275" t="s">
        <v>381</v>
      </c>
      <c r="C95" s="281" t="s">
        <v>382</v>
      </c>
      <c r="D95" s="278" t="s">
        <v>24</v>
      </c>
      <c r="E95" s="285">
        <v>482</v>
      </c>
      <c r="F95" s="233"/>
      <c r="G95" s="320"/>
    </row>
    <row r="96" spans="2:7" ht="15" thickBot="1" x14ac:dyDescent="0.3">
      <c r="B96" s="275"/>
      <c r="C96" s="281"/>
      <c r="D96" s="278"/>
      <c r="E96" s="286"/>
      <c r="F96" s="233"/>
      <c r="G96" s="320"/>
    </row>
    <row r="97" spans="2:7" ht="15.75" thickBot="1" x14ac:dyDescent="0.3">
      <c r="B97" s="315">
        <v>10</v>
      </c>
      <c r="C97" s="231" t="s">
        <v>383</v>
      </c>
      <c r="D97" s="231"/>
      <c r="E97" s="231"/>
      <c r="F97" s="231"/>
      <c r="G97" s="231"/>
    </row>
    <row r="98" spans="2:7" ht="89.25" x14ac:dyDescent="0.25">
      <c r="B98" s="287" t="s">
        <v>384</v>
      </c>
      <c r="C98" s="258" t="s">
        <v>385</v>
      </c>
      <c r="D98" s="260" t="s">
        <v>3</v>
      </c>
      <c r="E98" s="288">
        <v>6</v>
      </c>
      <c r="F98" s="233"/>
      <c r="G98" s="325"/>
    </row>
    <row r="99" spans="2:7" ht="114.75" x14ac:dyDescent="0.25">
      <c r="B99" s="287" t="s">
        <v>386</v>
      </c>
      <c r="C99" s="270" t="s">
        <v>387</v>
      </c>
      <c r="D99" s="271" t="s">
        <v>13</v>
      </c>
      <c r="E99" s="289">
        <v>133</v>
      </c>
      <c r="F99" s="236"/>
      <c r="G99" s="320"/>
    </row>
    <row r="100" spans="2:7" ht="15.75" thickBot="1" x14ac:dyDescent="0.3">
      <c r="B100" s="287"/>
      <c r="C100" s="258"/>
      <c r="D100" s="260"/>
      <c r="E100" s="288"/>
      <c r="F100" s="233"/>
      <c r="G100" s="320"/>
    </row>
    <row r="101" spans="2:7" ht="15.75" thickBot="1" x14ac:dyDescent="0.3">
      <c r="B101" s="315">
        <v>11</v>
      </c>
      <c r="C101" s="231" t="s">
        <v>388</v>
      </c>
      <c r="D101" s="231"/>
      <c r="E101" s="231"/>
      <c r="F101" s="231"/>
      <c r="G101" s="231"/>
    </row>
    <row r="102" spans="2:7" ht="89.25" x14ac:dyDescent="0.25">
      <c r="B102" s="290" t="s">
        <v>389</v>
      </c>
      <c r="C102" s="270" t="s">
        <v>390</v>
      </c>
      <c r="D102" s="271" t="s">
        <v>24</v>
      </c>
      <c r="E102" s="291">
        <v>50</v>
      </c>
      <c r="F102" s="233"/>
      <c r="G102" s="320"/>
    </row>
    <row r="103" spans="2:7" ht="51" x14ac:dyDescent="0.25">
      <c r="B103" s="290" t="s">
        <v>391</v>
      </c>
      <c r="C103" s="270" t="s">
        <v>392</v>
      </c>
      <c r="D103" s="271" t="s">
        <v>13</v>
      </c>
      <c r="E103" s="274">
        <v>210</v>
      </c>
      <c r="F103" s="233"/>
      <c r="G103" s="320"/>
    </row>
    <row r="104" spans="2:7" ht="38.25" x14ac:dyDescent="0.25">
      <c r="B104" s="290" t="s">
        <v>393</v>
      </c>
      <c r="C104" s="270" t="s">
        <v>394</v>
      </c>
      <c r="D104" s="271" t="s">
        <v>395</v>
      </c>
      <c r="E104" s="274">
        <v>3150</v>
      </c>
      <c r="F104" s="233"/>
      <c r="G104" s="320"/>
    </row>
    <row r="105" spans="2:7" ht="25.5" x14ac:dyDescent="0.25">
      <c r="B105" s="290" t="s">
        <v>396</v>
      </c>
      <c r="C105" s="270" t="s">
        <v>397</v>
      </c>
      <c r="D105" s="271" t="s">
        <v>3</v>
      </c>
      <c r="E105" s="291"/>
      <c r="F105" s="233"/>
      <c r="G105" s="320"/>
    </row>
    <row r="106" spans="2:7" ht="51" x14ac:dyDescent="0.25">
      <c r="B106" s="290" t="s">
        <v>398</v>
      </c>
      <c r="C106" s="326" t="s">
        <v>399</v>
      </c>
      <c r="D106" s="292" t="s">
        <v>24</v>
      </c>
      <c r="E106" s="291">
        <v>55</v>
      </c>
      <c r="F106" s="237"/>
      <c r="G106" s="319"/>
    </row>
    <row r="107" spans="2:7" ht="15" thickBot="1" x14ac:dyDescent="0.3">
      <c r="B107" s="290"/>
      <c r="C107" s="293"/>
      <c r="D107" s="292"/>
      <c r="E107" s="291"/>
      <c r="F107" s="233"/>
      <c r="G107" s="323"/>
    </row>
    <row r="108" spans="2:7" ht="15.75" thickBot="1" x14ac:dyDescent="0.3">
      <c r="B108" s="315">
        <v>12</v>
      </c>
      <c r="C108" s="231" t="s">
        <v>400</v>
      </c>
      <c r="D108" s="231"/>
      <c r="E108" s="231"/>
      <c r="F108" s="231"/>
      <c r="G108" s="231"/>
    </row>
    <row r="109" spans="2:7" ht="51" x14ac:dyDescent="0.25">
      <c r="B109" s="264" t="s">
        <v>401</v>
      </c>
      <c r="C109" s="258" t="s">
        <v>402</v>
      </c>
      <c r="D109" s="261" t="s">
        <v>3</v>
      </c>
      <c r="E109" s="291">
        <v>18</v>
      </c>
      <c r="F109" s="233"/>
      <c r="G109" s="323"/>
    </row>
    <row r="110" spans="2:7" ht="25.5" x14ac:dyDescent="0.25">
      <c r="B110" s="254" t="s">
        <v>403</v>
      </c>
      <c r="C110" s="294" t="s">
        <v>404</v>
      </c>
      <c r="D110" s="292" t="s">
        <v>3</v>
      </c>
      <c r="E110" s="291">
        <v>3</v>
      </c>
      <c r="F110" s="233"/>
      <c r="G110" s="323"/>
    </row>
    <row r="111" spans="2:7" ht="38.25" x14ac:dyDescent="0.25">
      <c r="B111" s="264" t="s">
        <v>405</v>
      </c>
      <c r="C111" s="294" t="s">
        <v>406</v>
      </c>
      <c r="D111" s="292" t="s">
        <v>3</v>
      </c>
      <c r="E111" s="291">
        <v>11</v>
      </c>
      <c r="F111" s="233"/>
      <c r="G111" s="320"/>
    </row>
    <row r="112" spans="2:7" ht="38.25" x14ac:dyDescent="0.25">
      <c r="B112" s="254" t="s">
        <v>407</v>
      </c>
      <c r="C112" s="294" t="s">
        <v>408</v>
      </c>
      <c r="D112" s="292" t="s">
        <v>3</v>
      </c>
      <c r="E112" s="291">
        <v>18</v>
      </c>
      <c r="F112" s="233"/>
      <c r="G112" s="323"/>
    </row>
    <row r="113" spans="2:7" ht="51" x14ac:dyDescent="0.25">
      <c r="B113" s="264" t="s">
        <v>409</v>
      </c>
      <c r="C113" s="258" t="s">
        <v>410</v>
      </c>
      <c r="D113" s="292" t="s">
        <v>24</v>
      </c>
      <c r="E113" s="291">
        <v>5</v>
      </c>
      <c r="F113" s="235"/>
      <c r="G113" s="320"/>
    </row>
    <row r="114" spans="2:7" ht="25.5" x14ac:dyDescent="0.25">
      <c r="B114" s="254" t="s">
        <v>411</v>
      </c>
      <c r="C114" s="258" t="s">
        <v>412</v>
      </c>
      <c r="D114" s="260" t="s">
        <v>3</v>
      </c>
      <c r="E114" s="289">
        <v>5</v>
      </c>
      <c r="F114" s="235"/>
      <c r="G114" s="320"/>
    </row>
    <row r="115" spans="2:7" ht="25.5" x14ac:dyDescent="0.25">
      <c r="B115" s="264" t="s">
        <v>413</v>
      </c>
      <c r="C115" s="258" t="s">
        <v>414</v>
      </c>
      <c r="D115" s="260" t="s">
        <v>3</v>
      </c>
      <c r="E115" s="289">
        <v>1</v>
      </c>
      <c r="F115" s="235"/>
      <c r="G115" s="320"/>
    </row>
    <row r="116" spans="2:7" ht="25.5" x14ac:dyDescent="0.25">
      <c r="B116" s="254" t="s">
        <v>415</v>
      </c>
      <c r="C116" s="258" t="s">
        <v>416</v>
      </c>
      <c r="D116" s="260" t="s">
        <v>3</v>
      </c>
      <c r="E116" s="289">
        <v>6</v>
      </c>
      <c r="F116" s="236"/>
      <c r="G116" s="320"/>
    </row>
    <row r="117" spans="2:7" ht="15" thickBot="1" x14ac:dyDescent="0.3">
      <c r="B117" s="264"/>
      <c r="C117" s="283"/>
      <c r="D117" s="284"/>
      <c r="E117" s="282"/>
      <c r="F117" s="233"/>
      <c r="G117" s="320"/>
    </row>
    <row r="118" spans="2:7" ht="15.75" thickBot="1" x14ac:dyDescent="0.3">
      <c r="B118" s="315">
        <v>13</v>
      </c>
      <c r="C118" s="231" t="s">
        <v>417</v>
      </c>
      <c r="D118" s="231"/>
      <c r="E118" s="231"/>
      <c r="F118" s="231"/>
      <c r="G118" s="231"/>
    </row>
    <row r="119" spans="2:7" ht="38.25" x14ac:dyDescent="0.25">
      <c r="B119" s="275" t="s">
        <v>418</v>
      </c>
      <c r="C119" s="276" t="s">
        <v>419</v>
      </c>
      <c r="D119" s="278" t="s">
        <v>13</v>
      </c>
      <c r="E119" s="282">
        <v>38</v>
      </c>
      <c r="F119" s="233"/>
      <c r="G119" s="320"/>
    </row>
    <row r="120" spans="2:7" ht="51" x14ac:dyDescent="0.25">
      <c r="B120" s="275" t="s">
        <v>420</v>
      </c>
      <c r="C120" s="276" t="s">
        <v>421</v>
      </c>
      <c r="D120" s="278" t="s">
        <v>13</v>
      </c>
      <c r="E120" s="282">
        <v>16</v>
      </c>
      <c r="F120" s="233"/>
      <c r="G120" s="320"/>
    </row>
    <row r="121" spans="2:7" ht="63.75" x14ac:dyDescent="0.25">
      <c r="B121" s="275" t="s">
        <v>422</v>
      </c>
      <c r="C121" s="276" t="s">
        <v>423</v>
      </c>
      <c r="D121" s="278" t="s">
        <v>13</v>
      </c>
      <c r="E121" s="282">
        <v>54</v>
      </c>
      <c r="F121" s="233"/>
      <c r="G121" s="320"/>
    </row>
    <row r="122" spans="2:7" ht="63.75" x14ac:dyDescent="0.25">
      <c r="B122" s="275" t="s">
        <v>424</v>
      </c>
      <c r="C122" s="276" t="s">
        <v>425</v>
      </c>
      <c r="D122" s="260" t="s">
        <v>3</v>
      </c>
      <c r="E122" s="282">
        <v>30</v>
      </c>
      <c r="F122" s="233"/>
      <c r="G122" s="320"/>
    </row>
    <row r="123" spans="2:7" ht="76.5" x14ac:dyDescent="0.25">
      <c r="B123" s="275" t="s">
        <v>426</v>
      </c>
      <c r="C123" s="276" t="s">
        <v>427</v>
      </c>
      <c r="D123" s="260" t="s">
        <v>3</v>
      </c>
      <c r="E123" s="282">
        <v>1</v>
      </c>
      <c r="F123" s="233"/>
      <c r="G123" s="320"/>
    </row>
    <row r="124" spans="2:7" ht="76.5" x14ac:dyDescent="0.25">
      <c r="B124" s="275" t="s">
        <v>428</v>
      </c>
      <c r="C124" s="295" t="s">
        <v>429</v>
      </c>
      <c r="D124" s="263" t="s">
        <v>3</v>
      </c>
      <c r="E124" s="282">
        <v>3</v>
      </c>
      <c r="F124" s="233"/>
      <c r="G124" s="320"/>
    </row>
    <row r="125" spans="2:7" ht="76.5" x14ac:dyDescent="0.25">
      <c r="B125" s="275" t="s">
        <v>430</v>
      </c>
      <c r="C125" s="295" t="s">
        <v>431</v>
      </c>
      <c r="D125" s="263" t="s">
        <v>3</v>
      </c>
      <c r="E125" s="282">
        <v>1</v>
      </c>
      <c r="F125" s="233"/>
      <c r="G125" s="320"/>
    </row>
    <row r="126" spans="2:7" ht="76.5" x14ac:dyDescent="0.25">
      <c r="B126" s="275" t="s">
        <v>432</v>
      </c>
      <c r="C126" s="295" t="s">
        <v>433</v>
      </c>
      <c r="D126" s="263" t="s">
        <v>3</v>
      </c>
      <c r="E126" s="282">
        <v>1</v>
      </c>
      <c r="F126" s="233"/>
      <c r="G126" s="320"/>
    </row>
    <row r="127" spans="2:7" ht="38.25" x14ac:dyDescent="0.25">
      <c r="B127" s="275" t="s">
        <v>434</v>
      </c>
      <c r="C127" s="295" t="s">
        <v>435</v>
      </c>
      <c r="D127" s="263" t="s">
        <v>3</v>
      </c>
      <c r="E127" s="282">
        <v>4</v>
      </c>
      <c r="F127" s="233"/>
      <c r="G127" s="320"/>
    </row>
    <row r="128" spans="2:7" ht="38.25" x14ac:dyDescent="0.25">
      <c r="B128" s="275" t="s">
        <v>436</v>
      </c>
      <c r="C128" s="276" t="s">
        <v>437</v>
      </c>
      <c r="D128" s="278" t="s">
        <v>13</v>
      </c>
      <c r="E128" s="282">
        <v>14</v>
      </c>
      <c r="F128" s="233"/>
      <c r="G128" s="320"/>
    </row>
    <row r="129" spans="2:7" ht="51" x14ac:dyDescent="0.25">
      <c r="B129" s="275" t="s">
        <v>438</v>
      </c>
      <c r="C129" s="258" t="s">
        <v>439</v>
      </c>
      <c r="D129" s="261" t="s">
        <v>3</v>
      </c>
      <c r="E129" s="282">
        <v>2</v>
      </c>
      <c r="F129" s="237"/>
      <c r="G129" s="319"/>
    </row>
    <row r="130" spans="2:7" ht="38.25" x14ac:dyDescent="0.25">
      <c r="B130" s="275" t="s">
        <v>440</v>
      </c>
      <c r="C130" s="258" t="s">
        <v>441</v>
      </c>
      <c r="D130" s="261" t="s">
        <v>3</v>
      </c>
      <c r="E130" s="282">
        <v>1</v>
      </c>
      <c r="F130" s="233"/>
      <c r="G130" s="320"/>
    </row>
    <row r="131" spans="2:7" ht="150" x14ac:dyDescent="0.25">
      <c r="B131" s="264" t="s">
        <v>442</v>
      </c>
      <c r="C131" s="296" t="s">
        <v>443</v>
      </c>
      <c r="D131" s="261" t="s">
        <v>13</v>
      </c>
      <c r="E131" s="279">
        <v>42</v>
      </c>
      <c r="F131" s="233"/>
      <c r="G131" s="320"/>
    </row>
    <row r="132" spans="2:7" ht="38.25" x14ac:dyDescent="0.25">
      <c r="B132" s="275" t="s">
        <v>444</v>
      </c>
      <c r="C132" s="276" t="s">
        <v>445</v>
      </c>
      <c r="D132" s="260" t="s">
        <v>24</v>
      </c>
      <c r="E132" s="282">
        <v>20</v>
      </c>
      <c r="F132" s="233"/>
      <c r="G132" s="320"/>
    </row>
    <row r="133" spans="2:7" ht="51" x14ac:dyDescent="0.25">
      <c r="B133" s="275" t="s">
        <v>446</v>
      </c>
      <c r="C133" s="283" t="s">
        <v>447</v>
      </c>
      <c r="D133" s="284" t="s">
        <v>3</v>
      </c>
      <c r="E133" s="282">
        <v>2</v>
      </c>
      <c r="F133" s="233"/>
      <c r="G133" s="320"/>
    </row>
    <row r="134" spans="2:7" ht="76.5" x14ac:dyDescent="0.25">
      <c r="B134" s="275" t="s">
        <v>448</v>
      </c>
      <c r="C134" s="283" t="s">
        <v>449</v>
      </c>
      <c r="D134" s="284" t="s">
        <v>13</v>
      </c>
      <c r="E134" s="297">
        <v>2</v>
      </c>
      <c r="F134" s="233"/>
      <c r="G134" s="320"/>
    </row>
    <row r="135" spans="2:7" ht="76.5" x14ac:dyDescent="0.25">
      <c r="B135" s="275" t="s">
        <v>450</v>
      </c>
      <c r="C135" s="283" t="s">
        <v>451</v>
      </c>
      <c r="D135" s="284" t="s">
        <v>13</v>
      </c>
      <c r="E135" s="282">
        <v>18</v>
      </c>
      <c r="F135" s="233"/>
      <c r="G135" s="320"/>
    </row>
    <row r="136" spans="2:7" ht="64.5" thickBot="1" x14ac:dyDescent="0.3">
      <c r="B136" s="275" t="s">
        <v>452</v>
      </c>
      <c r="C136" s="295" t="s">
        <v>453</v>
      </c>
      <c r="D136" s="284" t="s">
        <v>3</v>
      </c>
      <c r="E136" s="282">
        <v>2</v>
      </c>
      <c r="F136" s="233"/>
      <c r="G136" s="320"/>
    </row>
    <row r="137" spans="2:7" ht="15.75" thickBot="1" x14ac:dyDescent="0.3">
      <c r="B137" s="315">
        <v>14</v>
      </c>
      <c r="C137" s="231" t="s">
        <v>454</v>
      </c>
      <c r="D137" s="231"/>
      <c r="E137" s="231"/>
      <c r="F137" s="231"/>
      <c r="G137" s="245"/>
    </row>
    <row r="138" spans="2:7" ht="89.25" x14ac:dyDescent="0.25">
      <c r="B138" s="273" t="s">
        <v>455</v>
      </c>
      <c r="C138" s="270" t="s">
        <v>456</v>
      </c>
      <c r="D138" s="284" t="s">
        <v>395</v>
      </c>
      <c r="E138" s="282">
        <v>550</v>
      </c>
      <c r="F138" s="233"/>
      <c r="G138" s="320"/>
    </row>
    <row r="139" spans="2:7" ht="77.25" thickBot="1" x14ac:dyDescent="0.3">
      <c r="B139" s="273" t="s">
        <v>457</v>
      </c>
      <c r="C139" s="270" t="s">
        <v>458</v>
      </c>
      <c r="D139" s="284" t="s">
        <v>395</v>
      </c>
      <c r="E139" s="282">
        <v>500</v>
      </c>
      <c r="F139" s="237"/>
      <c r="G139" s="319"/>
    </row>
    <row r="140" spans="2:7" ht="15.75" thickBot="1" x14ac:dyDescent="0.3">
      <c r="B140" s="315">
        <v>15</v>
      </c>
      <c r="C140" s="231" t="s">
        <v>459</v>
      </c>
      <c r="D140" s="231"/>
      <c r="E140" s="231"/>
      <c r="F140" s="231"/>
      <c r="G140" s="245"/>
    </row>
    <row r="141" spans="2:7" ht="15.75" thickBot="1" x14ac:dyDescent="0.3">
      <c r="B141" s="315" t="s">
        <v>460</v>
      </c>
      <c r="C141" s="231" t="s">
        <v>461</v>
      </c>
      <c r="D141" s="231"/>
      <c r="E141" s="231"/>
      <c r="F141" s="231"/>
      <c r="G141" s="245"/>
    </row>
    <row r="142" spans="2:7" ht="25.5" x14ac:dyDescent="0.2">
      <c r="B142" s="264" t="s">
        <v>462</v>
      </c>
      <c r="C142" s="298" t="s">
        <v>463</v>
      </c>
      <c r="D142" s="299" t="s">
        <v>464</v>
      </c>
      <c r="E142" s="300">
        <v>58</v>
      </c>
      <c r="F142" s="236"/>
      <c r="G142" s="320"/>
    </row>
    <row r="143" spans="2:7" ht="25.5" x14ac:dyDescent="0.2">
      <c r="B143" s="287" t="s">
        <v>465</v>
      </c>
      <c r="C143" s="301" t="s">
        <v>466</v>
      </c>
      <c r="D143" s="302" t="s">
        <v>464</v>
      </c>
      <c r="E143" s="303">
        <v>27</v>
      </c>
      <c r="F143" s="233"/>
      <c r="G143" s="320"/>
    </row>
    <row r="144" spans="2:7" ht="25.5" x14ac:dyDescent="0.2">
      <c r="B144" s="287" t="s">
        <v>467</v>
      </c>
      <c r="C144" s="301" t="s">
        <v>468</v>
      </c>
      <c r="D144" s="302" t="s">
        <v>464</v>
      </c>
      <c r="E144" s="303">
        <v>56</v>
      </c>
      <c r="F144" s="237"/>
      <c r="G144" s="319"/>
    </row>
    <row r="145" spans="2:7" ht="25.5" x14ac:dyDescent="0.2">
      <c r="B145" s="287" t="s">
        <v>469</v>
      </c>
      <c r="C145" s="301" t="s">
        <v>470</v>
      </c>
      <c r="D145" s="302" t="s">
        <v>464</v>
      </c>
      <c r="E145" s="303">
        <v>36</v>
      </c>
      <c r="F145" s="235"/>
      <c r="G145" s="320"/>
    </row>
    <row r="146" spans="2:7" ht="25.5" x14ac:dyDescent="0.2">
      <c r="B146" s="287" t="s">
        <v>471</v>
      </c>
      <c r="C146" s="301" t="s">
        <v>472</v>
      </c>
      <c r="D146" s="302" t="s">
        <v>464</v>
      </c>
      <c r="E146" s="304">
        <v>6</v>
      </c>
      <c r="F146" s="235"/>
      <c r="G146" s="320"/>
    </row>
    <row r="147" spans="2:7" ht="25.5" x14ac:dyDescent="0.2">
      <c r="B147" s="287" t="s">
        <v>473</v>
      </c>
      <c r="C147" s="301" t="s">
        <v>474</v>
      </c>
      <c r="D147" s="302" t="s">
        <v>464</v>
      </c>
      <c r="E147" s="304">
        <v>15</v>
      </c>
      <c r="F147" s="235"/>
      <c r="G147" s="320"/>
    </row>
    <row r="148" spans="2:7" ht="25.5" x14ac:dyDescent="0.2">
      <c r="B148" s="287" t="s">
        <v>475</v>
      </c>
      <c r="C148" s="301" t="s">
        <v>476</v>
      </c>
      <c r="D148" s="302" t="s">
        <v>464</v>
      </c>
      <c r="E148" s="304">
        <v>17</v>
      </c>
      <c r="F148" s="235"/>
      <c r="G148" s="320"/>
    </row>
    <row r="149" spans="2:7" ht="25.5" x14ac:dyDescent="0.2">
      <c r="B149" s="287" t="s">
        <v>477</v>
      </c>
      <c r="C149" s="301" t="s">
        <v>478</v>
      </c>
      <c r="D149" s="302" t="s">
        <v>464</v>
      </c>
      <c r="E149" s="304">
        <v>10</v>
      </c>
      <c r="F149" s="235"/>
      <c r="G149" s="320"/>
    </row>
    <row r="150" spans="2:7" ht="25.5" x14ac:dyDescent="0.2">
      <c r="B150" s="287" t="s">
        <v>479</v>
      </c>
      <c r="C150" s="301" t="s">
        <v>480</v>
      </c>
      <c r="D150" s="302" t="s">
        <v>464</v>
      </c>
      <c r="E150" s="304">
        <v>24</v>
      </c>
      <c r="F150" s="233"/>
      <c r="G150" s="320"/>
    </row>
    <row r="151" spans="2:7" ht="25.5" x14ac:dyDescent="0.2">
      <c r="B151" s="287" t="s">
        <v>481</v>
      </c>
      <c r="C151" s="301" t="s">
        <v>482</v>
      </c>
      <c r="D151" s="302" t="s">
        <v>464</v>
      </c>
      <c r="E151" s="304">
        <v>9</v>
      </c>
      <c r="F151" s="233"/>
      <c r="G151" s="320"/>
    </row>
    <row r="152" spans="2:7" ht="25.5" x14ac:dyDescent="0.2">
      <c r="B152" s="287" t="s">
        <v>483</v>
      </c>
      <c r="C152" s="301" t="s">
        <v>484</v>
      </c>
      <c r="D152" s="302" t="s">
        <v>464</v>
      </c>
      <c r="E152" s="304">
        <v>3</v>
      </c>
      <c r="F152" s="233"/>
      <c r="G152" s="320"/>
    </row>
    <row r="153" spans="2:7" ht="25.5" x14ac:dyDescent="0.2">
      <c r="B153" s="254" t="s">
        <v>485</v>
      </c>
      <c r="C153" s="301" t="s">
        <v>486</v>
      </c>
      <c r="D153" s="302" t="s">
        <v>464</v>
      </c>
      <c r="E153" s="304">
        <v>5</v>
      </c>
      <c r="F153" s="233"/>
      <c r="G153" s="320"/>
    </row>
    <row r="154" spans="2:7" ht="25.5" x14ac:dyDescent="0.2">
      <c r="B154" s="287" t="s">
        <v>487</v>
      </c>
      <c r="C154" s="301" t="s">
        <v>488</v>
      </c>
      <c r="D154" s="302" t="s">
        <v>464</v>
      </c>
      <c r="E154" s="304">
        <v>17</v>
      </c>
      <c r="F154" s="237"/>
      <c r="G154" s="319"/>
    </row>
    <row r="155" spans="2:7" ht="25.5" x14ac:dyDescent="0.2">
      <c r="B155" s="287" t="s">
        <v>489</v>
      </c>
      <c r="C155" s="301" t="s">
        <v>490</v>
      </c>
      <c r="D155" s="302" t="s">
        <v>491</v>
      </c>
      <c r="E155" s="304">
        <v>119</v>
      </c>
      <c r="F155" s="233"/>
      <c r="G155" s="320"/>
    </row>
    <row r="156" spans="2:7" ht="25.5" x14ac:dyDescent="0.2">
      <c r="B156" s="254" t="s">
        <v>492</v>
      </c>
      <c r="C156" s="301" t="s">
        <v>493</v>
      </c>
      <c r="D156" s="302" t="s">
        <v>464</v>
      </c>
      <c r="E156" s="304">
        <v>20</v>
      </c>
      <c r="F156" s="233"/>
      <c r="G156" s="320"/>
    </row>
    <row r="157" spans="2:7" ht="25.5" x14ac:dyDescent="0.2">
      <c r="B157" s="254" t="s">
        <v>494</v>
      </c>
      <c r="C157" s="301" t="s">
        <v>495</v>
      </c>
      <c r="D157" s="302" t="s">
        <v>491</v>
      </c>
      <c r="E157" s="304">
        <v>50</v>
      </c>
      <c r="F157" s="233"/>
      <c r="G157" s="320"/>
    </row>
    <row r="158" spans="2:7" ht="25.5" x14ac:dyDescent="0.2">
      <c r="B158" s="287" t="s">
        <v>496</v>
      </c>
      <c r="C158" s="301" t="s">
        <v>497</v>
      </c>
      <c r="D158" s="302" t="s">
        <v>464</v>
      </c>
      <c r="E158" s="304">
        <v>9</v>
      </c>
      <c r="F158" s="233"/>
      <c r="G158" s="320"/>
    </row>
    <row r="159" spans="2:7" ht="25.5" x14ac:dyDescent="0.2">
      <c r="B159" s="287" t="s">
        <v>498</v>
      </c>
      <c r="C159" s="301" t="s">
        <v>499</v>
      </c>
      <c r="D159" s="302" t="s">
        <v>491</v>
      </c>
      <c r="E159" s="304">
        <v>76</v>
      </c>
      <c r="F159" s="233"/>
      <c r="G159" s="320"/>
    </row>
    <row r="160" spans="2:7" ht="25.5" x14ac:dyDescent="0.2">
      <c r="B160" s="287" t="s">
        <v>500</v>
      </c>
      <c r="C160" s="301" t="s">
        <v>501</v>
      </c>
      <c r="D160" s="302" t="s">
        <v>464</v>
      </c>
      <c r="E160" s="304">
        <v>13</v>
      </c>
      <c r="F160" s="237"/>
      <c r="G160" s="319"/>
    </row>
    <row r="161" spans="2:7" ht="25.5" x14ac:dyDescent="0.2">
      <c r="B161" s="287" t="s">
        <v>502</v>
      </c>
      <c r="C161" s="301" t="s">
        <v>503</v>
      </c>
      <c r="D161" s="302" t="s">
        <v>491</v>
      </c>
      <c r="E161" s="304">
        <v>50</v>
      </c>
      <c r="F161" s="233"/>
      <c r="G161" s="320"/>
    </row>
    <row r="162" spans="2:7" ht="25.5" x14ac:dyDescent="0.2">
      <c r="B162" s="254" t="s">
        <v>504</v>
      </c>
      <c r="C162" s="301" t="s">
        <v>505</v>
      </c>
      <c r="D162" s="302" t="s">
        <v>464</v>
      </c>
      <c r="E162" s="304">
        <v>9</v>
      </c>
      <c r="F162" s="233"/>
      <c r="G162" s="320"/>
    </row>
    <row r="163" spans="2:7" ht="25.5" x14ac:dyDescent="0.2">
      <c r="B163" s="287" t="s">
        <v>506</v>
      </c>
      <c r="C163" s="301" t="s">
        <v>507</v>
      </c>
      <c r="D163" s="302" t="s">
        <v>464</v>
      </c>
      <c r="E163" s="304">
        <v>14</v>
      </c>
      <c r="F163" s="233"/>
      <c r="G163" s="320"/>
    </row>
    <row r="164" spans="2:7" ht="51" x14ac:dyDescent="0.2">
      <c r="B164" s="287" t="s">
        <v>508</v>
      </c>
      <c r="C164" s="301" t="s">
        <v>509</v>
      </c>
      <c r="D164" s="302" t="s">
        <v>464</v>
      </c>
      <c r="E164" s="304">
        <v>4</v>
      </c>
      <c r="F164" s="233"/>
      <c r="G164" s="320"/>
    </row>
    <row r="165" spans="2:7" ht="63.75" x14ac:dyDescent="0.2">
      <c r="B165" s="287" t="s">
        <v>510</v>
      </c>
      <c r="C165" s="305" t="s">
        <v>511</v>
      </c>
      <c r="D165" s="306" t="s">
        <v>464</v>
      </c>
      <c r="E165" s="307">
        <v>3</v>
      </c>
      <c r="F165" s="233"/>
      <c r="G165" s="325"/>
    </row>
    <row r="166" spans="2:7" ht="38.25" x14ac:dyDescent="0.2">
      <c r="B166" s="287" t="s">
        <v>512</v>
      </c>
      <c r="C166" s="305" t="s">
        <v>513</v>
      </c>
      <c r="D166" s="306" t="s">
        <v>514</v>
      </c>
      <c r="E166" s="307">
        <v>15</v>
      </c>
      <c r="F166" s="236"/>
      <c r="G166" s="320"/>
    </row>
    <row r="167" spans="2:7" ht="89.25" x14ac:dyDescent="0.2">
      <c r="B167" s="287" t="s">
        <v>515</v>
      </c>
      <c r="C167" s="308" t="s">
        <v>516</v>
      </c>
      <c r="D167" s="306" t="s">
        <v>517</v>
      </c>
      <c r="E167" s="307">
        <v>1</v>
      </c>
      <c r="F167" s="233"/>
      <c r="G167" s="320"/>
    </row>
    <row r="168" spans="2:7" ht="15.75" thickBot="1" x14ac:dyDescent="0.3">
      <c r="B168" s="287"/>
      <c r="C168" s="255"/>
      <c r="D168" s="260"/>
      <c r="E168" s="279"/>
      <c r="F168" s="233"/>
      <c r="G168" s="320"/>
    </row>
    <row r="169" spans="2:7" ht="15.75" thickBot="1" x14ac:dyDescent="0.3">
      <c r="B169" s="315" t="s">
        <v>518</v>
      </c>
      <c r="C169" s="231" t="s">
        <v>519</v>
      </c>
      <c r="D169" s="231"/>
      <c r="E169" s="231"/>
      <c r="F169" s="231"/>
      <c r="G169" s="245"/>
    </row>
    <row r="170" spans="2:7" ht="14.25" x14ac:dyDescent="0.2">
      <c r="B170" s="264" t="s">
        <v>520</v>
      </c>
      <c r="C170" s="309" t="s">
        <v>521</v>
      </c>
      <c r="D170" s="299" t="s">
        <v>491</v>
      </c>
      <c r="E170" s="310">
        <v>83</v>
      </c>
      <c r="F170" s="233"/>
      <c r="G170" s="320"/>
    </row>
    <row r="171" spans="2:7" ht="15" x14ac:dyDescent="0.2">
      <c r="B171" s="254" t="s">
        <v>522</v>
      </c>
      <c r="C171" s="311" t="s">
        <v>523</v>
      </c>
      <c r="D171" s="302" t="s">
        <v>464</v>
      </c>
      <c r="E171" s="304">
        <v>14</v>
      </c>
      <c r="F171" s="233"/>
      <c r="G171" s="325"/>
    </row>
    <row r="172" spans="2:7" ht="15" x14ac:dyDescent="0.2">
      <c r="B172" s="254" t="s">
        <v>524</v>
      </c>
      <c r="C172" s="311" t="s">
        <v>525</v>
      </c>
      <c r="D172" s="302" t="s">
        <v>491</v>
      </c>
      <c r="E172" s="304">
        <v>76</v>
      </c>
      <c r="F172" s="233"/>
      <c r="G172" s="325"/>
    </row>
    <row r="173" spans="2:7" ht="15" x14ac:dyDescent="0.2">
      <c r="B173" s="254" t="s">
        <v>526</v>
      </c>
      <c r="C173" s="311" t="s">
        <v>527</v>
      </c>
      <c r="D173" s="302" t="s">
        <v>464</v>
      </c>
      <c r="E173" s="304">
        <v>13</v>
      </c>
      <c r="F173" s="238"/>
      <c r="G173" s="323"/>
    </row>
    <row r="174" spans="2:7" ht="15" x14ac:dyDescent="0.2">
      <c r="B174" s="254" t="s">
        <v>528</v>
      </c>
      <c r="C174" s="311" t="s">
        <v>529</v>
      </c>
      <c r="D174" s="302" t="s">
        <v>491</v>
      </c>
      <c r="E174" s="304">
        <v>34</v>
      </c>
      <c r="F174" s="238"/>
      <c r="G174" s="323"/>
    </row>
    <row r="175" spans="2:7" ht="15" x14ac:dyDescent="0.2">
      <c r="B175" s="254" t="s">
        <v>530</v>
      </c>
      <c r="C175" s="311" t="s">
        <v>531</v>
      </c>
      <c r="D175" s="302" t="s">
        <v>464</v>
      </c>
      <c r="E175" s="304">
        <v>6</v>
      </c>
      <c r="F175" s="238"/>
      <c r="G175" s="327"/>
    </row>
    <row r="176" spans="2:7" ht="15" x14ac:dyDescent="0.2">
      <c r="B176" s="254" t="s">
        <v>532</v>
      </c>
      <c r="C176" s="311" t="s">
        <v>533</v>
      </c>
      <c r="D176" s="302" t="s">
        <v>491</v>
      </c>
      <c r="E176" s="304">
        <v>75</v>
      </c>
      <c r="F176" s="233"/>
      <c r="G176" s="323"/>
    </row>
    <row r="177" spans="2:8" ht="15" x14ac:dyDescent="0.2">
      <c r="B177" s="254" t="s">
        <v>534</v>
      </c>
      <c r="C177" s="311" t="s">
        <v>535</v>
      </c>
      <c r="D177" s="302" t="s">
        <v>464</v>
      </c>
      <c r="E177" s="304">
        <v>13</v>
      </c>
      <c r="F177" s="251"/>
      <c r="G177" s="328"/>
    </row>
    <row r="178" spans="2:8" ht="15" x14ac:dyDescent="0.2">
      <c r="B178" s="254" t="s">
        <v>536</v>
      </c>
      <c r="C178" s="311" t="s">
        <v>537</v>
      </c>
      <c r="D178" s="302" t="s">
        <v>491</v>
      </c>
      <c r="E178" s="304">
        <v>112</v>
      </c>
      <c r="F178" s="251"/>
      <c r="G178" s="328"/>
      <c r="H178" s="252"/>
    </row>
    <row r="179" spans="2:8" ht="15" x14ac:dyDescent="0.2">
      <c r="B179" s="254" t="s">
        <v>538</v>
      </c>
      <c r="C179" s="311" t="s">
        <v>539</v>
      </c>
      <c r="D179" s="302" t="s">
        <v>464</v>
      </c>
      <c r="E179" s="304">
        <v>19</v>
      </c>
      <c r="F179" s="251"/>
      <c r="G179" s="328"/>
      <c r="H179" s="316"/>
    </row>
    <row r="180" spans="2:8" ht="15" x14ac:dyDescent="0.2">
      <c r="B180" s="254" t="s">
        <v>540</v>
      </c>
      <c r="C180" s="311" t="s">
        <v>541</v>
      </c>
      <c r="D180" s="302" t="s">
        <v>464</v>
      </c>
      <c r="E180" s="304">
        <v>14</v>
      </c>
      <c r="F180" s="251"/>
      <c r="G180" s="328"/>
      <c r="H180" s="317"/>
    </row>
    <row r="181" spans="2:8" ht="15" x14ac:dyDescent="0.2">
      <c r="B181" s="254" t="s">
        <v>542</v>
      </c>
      <c r="C181" s="311" t="s">
        <v>543</v>
      </c>
      <c r="D181" s="302" t="s">
        <v>464</v>
      </c>
      <c r="E181" s="304">
        <v>6</v>
      </c>
      <c r="F181" s="251"/>
      <c r="G181" s="328"/>
      <c r="H181" s="317"/>
    </row>
    <row r="182" spans="2:8" ht="15" x14ac:dyDescent="0.2">
      <c r="B182" s="254" t="s">
        <v>544</v>
      </c>
      <c r="C182" s="311" t="s">
        <v>545</v>
      </c>
      <c r="D182" s="302" t="s">
        <v>464</v>
      </c>
      <c r="E182" s="304">
        <v>5</v>
      </c>
      <c r="F182" s="251"/>
      <c r="G182" s="328"/>
      <c r="H182" s="318"/>
    </row>
    <row r="183" spans="2:8" ht="15" x14ac:dyDescent="0.2">
      <c r="B183" s="254" t="s">
        <v>546</v>
      </c>
      <c r="C183" s="311" t="s">
        <v>547</v>
      </c>
      <c r="D183" s="302" t="s">
        <v>464</v>
      </c>
      <c r="E183" s="304">
        <v>7</v>
      </c>
      <c r="F183" s="251"/>
      <c r="G183" s="328"/>
      <c r="H183" s="253"/>
    </row>
    <row r="184" spans="2:8" ht="15" x14ac:dyDescent="0.2">
      <c r="B184" s="254" t="s">
        <v>548</v>
      </c>
      <c r="C184" s="311" t="s">
        <v>549</v>
      </c>
      <c r="D184" s="302" t="s">
        <v>464</v>
      </c>
      <c r="E184" s="304">
        <v>89</v>
      </c>
      <c r="F184" s="251"/>
      <c r="G184" s="328"/>
    </row>
    <row r="185" spans="2:8" ht="15" x14ac:dyDescent="0.2">
      <c r="B185" s="254" t="s">
        <v>550</v>
      </c>
      <c r="C185" s="311" t="s">
        <v>551</v>
      </c>
      <c r="D185" s="302" t="s">
        <v>464</v>
      </c>
      <c r="E185" s="304">
        <v>56</v>
      </c>
      <c r="F185" s="251"/>
      <c r="G185" s="328"/>
    </row>
    <row r="186" spans="2:8" ht="15" x14ac:dyDescent="0.2">
      <c r="B186" s="254" t="s">
        <v>552</v>
      </c>
      <c r="C186" s="311" t="s">
        <v>553</v>
      </c>
      <c r="D186" s="302" t="s">
        <v>464</v>
      </c>
      <c r="E186" s="304">
        <v>5</v>
      </c>
      <c r="F186" s="251"/>
      <c r="G186" s="328"/>
    </row>
    <row r="187" spans="2:8" ht="15" x14ac:dyDescent="0.2">
      <c r="B187" s="254" t="s">
        <v>554</v>
      </c>
      <c r="C187" s="311" t="s">
        <v>555</v>
      </c>
      <c r="D187" s="302" t="s">
        <v>464</v>
      </c>
      <c r="E187" s="304">
        <v>8</v>
      </c>
      <c r="F187" s="251"/>
      <c r="G187" s="328"/>
    </row>
    <row r="188" spans="2:8" ht="15" x14ac:dyDescent="0.2">
      <c r="B188" s="254" t="s">
        <v>556</v>
      </c>
      <c r="C188" s="311" t="s">
        <v>557</v>
      </c>
      <c r="D188" s="302" t="s">
        <v>464</v>
      </c>
      <c r="E188" s="304">
        <v>35</v>
      </c>
      <c r="F188" s="251"/>
      <c r="G188" s="328"/>
    </row>
    <row r="189" spans="2:8" ht="15" x14ac:dyDescent="0.2">
      <c r="B189" s="254" t="s">
        <v>558</v>
      </c>
      <c r="C189" s="311" t="s">
        <v>559</v>
      </c>
      <c r="D189" s="302" t="s">
        <v>464</v>
      </c>
      <c r="E189" s="304">
        <v>51</v>
      </c>
      <c r="F189" s="251"/>
      <c r="G189" s="328"/>
    </row>
    <row r="190" spans="2:8" ht="15" x14ac:dyDescent="0.2">
      <c r="B190" s="254" t="s">
        <v>560</v>
      </c>
      <c r="C190" s="311" t="s">
        <v>561</v>
      </c>
      <c r="D190" s="302" t="s">
        <v>464</v>
      </c>
      <c r="E190" s="304">
        <v>50</v>
      </c>
      <c r="F190" s="251"/>
      <c r="G190" s="328"/>
    </row>
    <row r="191" spans="2:8" ht="15" x14ac:dyDescent="0.2">
      <c r="B191" s="254" t="s">
        <v>562</v>
      </c>
      <c r="C191" s="311" t="s">
        <v>563</v>
      </c>
      <c r="D191" s="302" t="s">
        <v>464</v>
      </c>
      <c r="E191" s="304">
        <v>5</v>
      </c>
      <c r="F191" s="251"/>
      <c r="G191" s="328"/>
    </row>
    <row r="192" spans="2:8" ht="15" x14ac:dyDescent="0.2">
      <c r="B192" s="254" t="s">
        <v>564</v>
      </c>
      <c r="C192" s="311" t="s">
        <v>565</v>
      </c>
      <c r="D192" s="302" t="s">
        <v>464</v>
      </c>
      <c r="E192" s="304">
        <v>48</v>
      </c>
      <c r="F192" s="251"/>
      <c r="G192" s="328"/>
    </row>
    <row r="193" spans="2:7" ht="15.75" thickBot="1" x14ac:dyDescent="0.3">
      <c r="B193" s="254"/>
      <c r="C193" s="262"/>
      <c r="D193" s="263"/>
      <c r="E193" s="280"/>
      <c r="F193" s="251"/>
      <c r="G193" s="328"/>
    </row>
    <row r="194" spans="2:7" ht="15.75" thickBot="1" x14ac:dyDescent="0.3">
      <c r="B194" s="315">
        <v>16</v>
      </c>
      <c r="C194" s="231" t="s">
        <v>566</v>
      </c>
      <c r="D194" s="231"/>
      <c r="E194" s="231"/>
      <c r="F194" s="231"/>
      <c r="G194" s="245"/>
    </row>
    <row r="195" spans="2:7" ht="15.75" thickBot="1" x14ac:dyDescent="0.3">
      <c r="B195" s="315" t="s">
        <v>567</v>
      </c>
      <c r="C195" s="231" t="s">
        <v>568</v>
      </c>
      <c r="D195" s="231"/>
      <c r="E195" s="231"/>
      <c r="F195" s="231"/>
      <c r="G195" s="245"/>
    </row>
    <row r="196" spans="2:7" ht="15.75" thickBot="1" x14ac:dyDescent="0.3">
      <c r="B196" s="315" t="s">
        <v>569</v>
      </c>
      <c r="C196" s="231" t="s">
        <v>570</v>
      </c>
      <c r="D196" s="231"/>
      <c r="E196" s="231"/>
      <c r="F196" s="231"/>
      <c r="G196" s="245"/>
    </row>
    <row r="197" spans="2:7" ht="63.75" x14ac:dyDescent="0.25">
      <c r="B197" s="264" t="s">
        <v>571</v>
      </c>
      <c r="C197" s="258" t="s">
        <v>572</v>
      </c>
      <c r="D197" s="260" t="s">
        <v>3</v>
      </c>
      <c r="E197" s="279">
        <v>1</v>
      </c>
      <c r="F197" s="238"/>
      <c r="G197" s="322"/>
    </row>
    <row r="198" spans="2:7" ht="51" x14ac:dyDescent="0.25">
      <c r="B198" s="264" t="s">
        <v>573</v>
      </c>
      <c r="C198" s="281" t="s">
        <v>574</v>
      </c>
      <c r="D198" s="260" t="s">
        <v>3</v>
      </c>
      <c r="E198" s="279">
        <v>1</v>
      </c>
      <c r="F198" s="238"/>
      <c r="G198" s="322"/>
    </row>
    <row r="199" spans="2:7" ht="38.25" x14ac:dyDescent="0.25">
      <c r="B199" s="264" t="s">
        <v>575</v>
      </c>
      <c r="C199" s="281" t="s">
        <v>576</v>
      </c>
      <c r="D199" s="260" t="s">
        <v>3</v>
      </c>
      <c r="E199" s="279">
        <v>1</v>
      </c>
      <c r="F199" s="241"/>
      <c r="G199" s="329"/>
    </row>
    <row r="200" spans="2:7" ht="25.5" x14ac:dyDescent="0.25">
      <c r="B200" s="264" t="s">
        <v>577</v>
      </c>
      <c r="C200" s="312" t="s">
        <v>578</v>
      </c>
      <c r="D200" s="260" t="s">
        <v>3</v>
      </c>
      <c r="E200" s="279">
        <v>1</v>
      </c>
      <c r="F200" s="238"/>
      <c r="G200" s="322"/>
    </row>
    <row r="201" spans="2:7" ht="89.25" x14ac:dyDescent="0.25">
      <c r="B201" s="264" t="s">
        <v>579</v>
      </c>
      <c r="C201" s="313" t="s">
        <v>580</v>
      </c>
      <c r="D201" s="260" t="s">
        <v>3</v>
      </c>
      <c r="E201" s="279">
        <v>1</v>
      </c>
      <c r="F201" s="238"/>
      <c r="G201" s="322"/>
    </row>
    <row r="202" spans="2:7" ht="63.75" x14ac:dyDescent="0.25">
      <c r="B202" s="264" t="s">
        <v>581</v>
      </c>
      <c r="C202" s="276" t="s">
        <v>582</v>
      </c>
      <c r="D202" s="260" t="s">
        <v>3</v>
      </c>
      <c r="E202" s="279">
        <v>1</v>
      </c>
      <c r="F202" s="238"/>
      <c r="G202" s="322"/>
    </row>
    <row r="203" spans="2:7" ht="38.25" x14ac:dyDescent="0.25">
      <c r="B203" s="264" t="s">
        <v>583</v>
      </c>
      <c r="C203" s="276" t="s">
        <v>584</v>
      </c>
      <c r="D203" s="260" t="s">
        <v>24</v>
      </c>
      <c r="E203" s="279">
        <v>20</v>
      </c>
      <c r="F203" s="238"/>
      <c r="G203" s="322"/>
    </row>
    <row r="204" spans="2:7" ht="89.25" x14ac:dyDescent="0.25">
      <c r="B204" s="264" t="s">
        <v>585</v>
      </c>
      <c r="C204" s="312" t="s">
        <v>586</v>
      </c>
      <c r="D204" s="260" t="s">
        <v>3</v>
      </c>
      <c r="E204" s="279">
        <v>1</v>
      </c>
      <c r="F204" s="244"/>
      <c r="G204" s="330"/>
    </row>
    <row r="205" spans="2:7" ht="114.75" x14ac:dyDescent="0.25">
      <c r="B205" s="264" t="s">
        <v>587</v>
      </c>
      <c r="C205" s="258" t="s">
        <v>588</v>
      </c>
      <c r="D205" s="260" t="s">
        <v>24</v>
      </c>
      <c r="E205" s="282">
        <v>61</v>
      </c>
      <c r="F205" s="238"/>
      <c r="G205" s="322"/>
    </row>
    <row r="206" spans="2:7" ht="135" x14ac:dyDescent="0.25">
      <c r="B206" s="264" t="s">
        <v>589</v>
      </c>
      <c r="C206" s="255" t="s">
        <v>590</v>
      </c>
      <c r="D206" s="260" t="s">
        <v>24</v>
      </c>
      <c r="E206" s="282">
        <v>34</v>
      </c>
      <c r="F206" s="236"/>
      <c r="G206" s="320"/>
    </row>
    <row r="207" spans="2:7" ht="114.75" x14ac:dyDescent="0.25">
      <c r="B207" s="264" t="s">
        <v>591</v>
      </c>
      <c r="C207" s="258" t="s">
        <v>592</v>
      </c>
      <c r="D207" s="260" t="s">
        <v>24</v>
      </c>
      <c r="E207" s="282">
        <v>11</v>
      </c>
      <c r="F207" s="233"/>
      <c r="G207" s="331"/>
    </row>
    <row r="208" spans="2:7" ht="114.75" x14ac:dyDescent="0.25">
      <c r="B208" s="264" t="s">
        <v>593</v>
      </c>
      <c r="C208" s="258" t="s">
        <v>594</v>
      </c>
      <c r="D208" s="260" t="s">
        <v>24</v>
      </c>
      <c r="E208" s="282">
        <v>52</v>
      </c>
      <c r="F208" s="233"/>
      <c r="G208" s="331"/>
    </row>
    <row r="209" spans="2:7" ht="38.25" x14ac:dyDescent="0.25">
      <c r="B209" s="264" t="s">
        <v>595</v>
      </c>
      <c r="C209" s="258" t="s">
        <v>596</v>
      </c>
      <c r="D209" s="260" t="s">
        <v>3</v>
      </c>
      <c r="E209" s="279">
        <v>1</v>
      </c>
      <c r="F209" s="233"/>
      <c r="G209" s="331"/>
    </row>
    <row r="210" spans="2:7" ht="25.5" x14ac:dyDescent="0.25">
      <c r="B210" s="264" t="s">
        <v>597</v>
      </c>
      <c r="C210" s="258" t="s">
        <v>598</v>
      </c>
      <c r="D210" s="260" t="s">
        <v>24</v>
      </c>
      <c r="E210" s="279">
        <v>50</v>
      </c>
      <c r="F210" s="237"/>
      <c r="G210" s="319"/>
    </row>
    <row r="211" spans="2:7" ht="38.25" x14ac:dyDescent="0.25">
      <c r="B211" s="264" t="s">
        <v>599</v>
      </c>
      <c r="C211" s="258" t="s">
        <v>600</v>
      </c>
      <c r="D211" s="260" t="s">
        <v>3</v>
      </c>
      <c r="E211" s="279">
        <v>1</v>
      </c>
      <c r="F211" s="233"/>
      <c r="G211" s="320"/>
    </row>
    <row r="212" spans="2:7" ht="15" x14ac:dyDescent="0.25">
      <c r="B212" s="264" t="s">
        <v>601</v>
      </c>
      <c r="C212" s="255" t="s">
        <v>602</v>
      </c>
      <c r="D212" s="260" t="s">
        <v>3</v>
      </c>
      <c r="E212" s="279">
        <v>6</v>
      </c>
      <c r="F212" s="233"/>
      <c r="G212" s="320"/>
    </row>
    <row r="213" spans="2:7" ht="25.5" x14ac:dyDescent="0.25">
      <c r="B213" s="264" t="s">
        <v>603</v>
      </c>
      <c r="C213" s="276" t="s">
        <v>604</v>
      </c>
      <c r="D213" s="260" t="s">
        <v>3</v>
      </c>
      <c r="E213" s="279">
        <v>4</v>
      </c>
      <c r="F213" s="233"/>
      <c r="G213" s="320"/>
    </row>
    <row r="214" spans="2:7" ht="25.5" x14ac:dyDescent="0.25">
      <c r="B214" s="264" t="s">
        <v>605</v>
      </c>
      <c r="C214" s="276" t="s">
        <v>606</v>
      </c>
      <c r="D214" s="260" t="s">
        <v>3</v>
      </c>
      <c r="E214" s="279">
        <v>4</v>
      </c>
      <c r="F214" s="250"/>
      <c r="G214" s="332"/>
    </row>
    <row r="215" spans="2:7" ht="30" x14ac:dyDescent="0.25">
      <c r="B215" s="264" t="s">
        <v>607</v>
      </c>
      <c r="C215" s="255" t="s">
        <v>608</v>
      </c>
      <c r="D215" s="260" t="s">
        <v>3</v>
      </c>
      <c r="E215" s="279">
        <v>40</v>
      </c>
      <c r="F215" s="233"/>
      <c r="G215" s="320"/>
    </row>
    <row r="216" spans="2:7" ht="30" x14ac:dyDescent="0.25">
      <c r="B216" s="264" t="s">
        <v>609</v>
      </c>
      <c r="C216" s="255" t="s">
        <v>610</v>
      </c>
      <c r="D216" s="260" t="s">
        <v>3</v>
      </c>
      <c r="E216" s="279">
        <v>20</v>
      </c>
      <c r="F216" s="233"/>
      <c r="G216" s="320"/>
    </row>
    <row r="217" spans="2:7" ht="30" x14ac:dyDescent="0.25">
      <c r="B217" s="264" t="s">
        <v>611</v>
      </c>
      <c r="C217" s="255" t="s">
        <v>612</v>
      </c>
      <c r="D217" s="260" t="s">
        <v>3</v>
      </c>
      <c r="E217" s="279">
        <v>10</v>
      </c>
      <c r="F217" s="236"/>
      <c r="G217" s="320"/>
    </row>
    <row r="218" spans="2:7" ht="30" x14ac:dyDescent="0.25">
      <c r="B218" s="264" t="s">
        <v>613</v>
      </c>
      <c r="C218" s="255" t="s">
        <v>614</v>
      </c>
      <c r="D218" s="260" t="s">
        <v>3</v>
      </c>
      <c r="E218" s="279">
        <v>5</v>
      </c>
      <c r="F218" s="233"/>
      <c r="G218" s="331"/>
    </row>
    <row r="219" spans="2:7" ht="30" x14ac:dyDescent="0.25">
      <c r="B219" s="264" t="s">
        <v>615</v>
      </c>
      <c r="C219" s="255" t="s">
        <v>616</v>
      </c>
      <c r="D219" s="260" t="s">
        <v>3</v>
      </c>
      <c r="E219" s="279">
        <v>3</v>
      </c>
      <c r="F219" s="233"/>
      <c r="G219" s="331"/>
    </row>
    <row r="220" spans="2:7" ht="63.75" x14ac:dyDescent="0.25">
      <c r="B220" s="264" t="s">
        <v>617</v>
      </c>
      <c r="C220" s="276" t="s">
        <v>618</v>
      </c>
      <c r="D220" s="260" t="s">
        <v>3</v>
      </c>
      <c r="E220" s="279">
        <v>1</v>
      </c>
      <c r="F220" s="233"/>
      <c r="G220" s="331"/>
    </row>
    <row r="221" spans="2:7" ht="135" x14ac:dyDescent="0.25">
      <c r="B221" s="264" t="s">
        <v>619</v>
      </c>
      <c r="C221" s="255" t="s">
        <v>620</v>
      </c>
      <c r="D221" s="260" t="s">
        <v>3</v>
      </c>
      <c r="E221" s="282">
        <v>1</v>
      </c>
      <c r="F221" s="233"/>
      <c r="G221" s="331"/>
    </row>
    <row r="222" spans="2:7" ht="89.25" x14ac:dyDescent="0.25">
      <c r="B222" s="264" t="s">
        <v>621</v>
      </c>
      <c r="C222" s="276" t="s">
        <v>622</v>
      </c>
      <c r="D222" s="260" t="s">
        <v>3</v>
      </c>
      <c r="E222" s="282">
        <v>1</v>
      </c>
      <c r="F222" s="233"/>
      <c r="G222" s="331"/>
    </row>
    <row r="223" spans="2:7" ht="89.25" x14ac:dyDescent="0.25">
      <c r="B223" s="264" t="s">
        <v>623</v>
      </c>
      <c r="C223" s="276" t="s">
        <v>624</v>
      </c>
      <c r="D223" s="260" t="s">
        <v>3</v>
      </c>
      <c r="E223" s="282">
        <v>1</v>
      </c>
      <c r="F223" s="233"/>
      <c r="G223" s="331"/>
    </row>
    <row r="224" spans="2:7" ht="25.5" x14ac:dyDescent="0.25">
      <c r="B224" s="264" t="s">
        <v>625</v>
      </c>
      <c r="C224" s="281" t="s">
        <v>626</v>
      </c>
      <c r="D224" s="260" t="s">
        <v>3</v>
      </c>
      <c r="E224" s="282">
        <v>1</v>
      </c>
      <c r="F224" s="233"/>
      <c r="G224" s="331"/>
    </row>
    <row r="225" spans="2:7" ht="25.5" x14ac:dyDescent="0.25">
      <c r="B225" s="264" t="s">
        <v>627</v>
      </c>
      <c r="C225" s="281" t="s">
        <v>628</v>
      </c>
      <c r="D225" s="260" t="s">
        <v>3</v>
      </c>
      <c r="E225" s="279">
        <v>1</v>
      </c>
      <c r="F225" s="233"/>
      <c r="G225" s="331"/>
    </row>
    <row r="226" spans="2:7" ht="25.5" x14ac:dyDescent="0.25">
      <c r="B226" s="264" t="s">
        <v>629</v>
      </c>
      <c r="C226" s="281" t="s">
        <v>630</v>
      </c>
      <c r="D226" s="260" t="s">
        <v>3</v>
      </c>
      <c r="E226" s="279">
        <v>1</v>
      </c>
      <c r="F226" s="236"/>
      <c r="G226" s="320"/>
    </row>
    <row r="227" spans="2:7" ht="25.5" x14ac:dyDescent="0.25">
      <c r="B227" s="264" t="s">
        <v>631</v>
      </c>
      <c r="C227" s="281" t="s">
        <v>632</v>
      </c>
      <c r="D227" s="260" t="s">
        <v>3</v>
      </c>
      <c r="E227" s="279">
        <v>1</v>
      </c>
      <c r="F227" s="233"/>
      <c r="G227" s="331"/>
    </row>
    <row r="228" spans="2:7" ht="25.5" x14ac:dyDescent="0.25">
      <c r="B228" s="264" t="s">
        <v>633</v>
      </c>
      <c r="C228" s="281" t="s">
        <v>634</v>
      </c>
      <c r="D228" s="260" t="s">
        <v>3</v>
      </c>
      <c r="E228" s="279">
        <v>1</v>
      </c>
      <c r="F228" s="233"/>
      <c r="G228" s="331"/>
    </row>
    <row r="229" spans="2:7" ht="25.5" x14ac:dyDescent="0.25">
      <c r="B229" s="264" t="s">
        <v>635</v>
      </c>
      <c r="C229" s="281" t="s">
        <v>636</v>
      </c>
      <c r="D229" s="260" t="s">
        <v>3</v>
      </c>
      <c r="E229" s="279">
        <v>1</v>
      </c>
      <c r="F229" s="233"/>
      <c r="G229" s="331"/>
    </row>
    <row r="230" spans="2:7" ht="25.5" x14ac:dyDescent="0.25">
      <c r="B230" s="264" t="s">
        <v>637</v>
      </c>
      <c r="C230" s="281" t="s">
        <v>638</v>
      </c>
      <c r="D230" s="260" t="s">
        <v>3</v>
      </c>
      <c r="E230" s="279">
        <v>1</v>
      </c>
      <c r="F230" s="233"/>
      <c r="G230" s="331"/>
    </row>
    <row r="231" spans="2:7" ht="26.25" thickBot="1" x14ac:dyDescent="0.3">
      <c r="B231" s="254" t="s">
        <v>639</v>
      </c>
      <c r="C231" s="281" t="s">
        <v>640</v>
      </c>
      <c r="D231" s="260" t="s">
        <v>3</v>
      </c>
      <c r="E231" s="279">
        <v>1</v>
      </c>
      <c r="F231" s="233"/>
      <c r="G231" s="331"/>
    </row>
    <row r="232" spans="2:7" ht="15.75" thickBot="1" x14ac:dyDescent="0.3">
      <c r="B232" s="315" t="s">
        <v>641</v>
      </c>
      <c r="C232" s="231" t="s">
        <v>642</v>
      </c>
      <c r="D232" s="231"/>
      <c r="E232" s="231"/>
      <c r="F232" s="231"/>
      <c r="G232" s="245"/>
    </row>
    <row r="233" spans="2:7" ht="63.75" x14ac:dyDescent="0.25">
      <c r="B233" s="264" t="s">
        <v>643</v>
      </c>
      <c r="C233" s="276" t="s">
        <v>644</v>
      </c>
      <c r="D233" s="260" t="s">
        <v>24</v>
      </c>
      <c r="E233" s="279">
        <v>250</v>
      </c>
      <c r="F233" s="233"/>
      <c r="G233" s="331"/>
    </row>
    <row r="234" spans="2:7" ht="38.25" x14ac:dyDescent="0.25">
      <c r="B234" s="264" t="s">
        <v>645</v>
      </c>
      <c r="C234" s="276" t="s">
        <v>646</v>
      </c>
      <c r="D234" s="260" t="s">
        <v>24</v>
      </c>
      <c r="E234" s="279">
        <v>900</v>
      </c>
      <c r="F234" s="233"/>
      <c r="G234" s="331"/>
    </row>
    <row r="235" spans="2:7" ht="25.5" x14ac:dyDescent="0.25">
      <c r="B235" s="264" t="s">
        <v>647</v>
      </c>
      <c r="C235" s="276" t="s">
        <v>648</v>
      </c>
      <c r="D235" s="260" t="s">
        <v>24</v>
      </c>
      <c r="E235" s="279">
        <v>60</v>
      </c>
      <c r="F235" s="233"/>
      <c r="G235" s="331"/>
    </row>
    <row r="236" spans="2:7" ht="38.25" x14ac:dyDescent="0.25">
      <c r="B236" s="264" t="s">
        <v>649</v>
      </c>
      <c r="C236" s="276" t="s">
        <v>650</v>
      </c>
      <c r="D236" s="260" t="s">
        <v>24</v>
      </c>
      <c r="E236" s="279">
        <v>25</v>
      </c>
      <c r="F236" s="233"/>
      <c r="G236" s="331"/>
    </row>
    <row r="237" spans="2:7" ht="25.5" x14ac:dyDescent="0.25">
      <c r="B237" s="264" t="s">
        <v>651</v>
      </c>
      <c r="C237" s="276" t="s">
        <v>652</v>
      </c>
      <c r="D237" s="260" t="s">
        <v>24</v>
      </c>
      <c r="E237" s="279">
        <v>20</v>
      </c>
      <c r="F237" s="233"/>
      <c r="G237" s="331"/>
    </row>
    <row r="238" spans="2:7" ht="14.25" x14ac:dyDescent="0.25">
      <c r="B238" s="264" t="s">
        <v>653</v>
      </c>
      <c r="C238" s="258" t="s">
        <v>654</v>
      </c>
      <c r="D238" s="260" t="s">
        <v>24</v>
      </c>
      <c r="E238" s="279">
        <v>450</v>
      </c>
      <c r="F238" s="233"/>
      <c r="G238" s="331"/>
    </row>
    <row r="239" spans="2:7" ht="14.25" x14ac:dyDescent="0.25">
      <c r="B239" s="264" t="s">
        <v>655</v>
      </c>
      <c r="C239" s="258" t="s">
        <v>656</v>
      </c>
      <c r="D239" s="260" t="s">
        <v>24</v>
      </c>
      <c r="E239" s="279">
        <v>50</v>
      </c>
      <c r="F239" s="233"/>
      <c r="G239" s="331"/>
    </row>
    <row r="240" spans="2:7" ht="25.5" x14ac:dyDescent="0.25">
      <c r="B240" s="264" t="s">
        <v>657</v>
      </c>
      <c r="C240" s="276" t="s">
        <v>658</v>
      </c>
      <c r="D240" s="260" t="s">
        <v>24</v>
      </c>
      <c r="E240" s="279">
        <v>25</v>
      </c>
      <c r="F240" s="233"/>
      <c r="G240" s="331"/>
    </row>
    <row r="241" spans="2:7" ht="51.75" thickBot="1" x14ac:dyDescent="0.3">
      <c r="B241" s="264" t="s">
        <v>659</v>
      </c>
      <c r="C241" s="258" t="s">
        <v>660</v>
      </c>
      <c r="D241" s="260" t="s">
        <v>24</v>
      </c>
      <c r="E241" s="279">
        <v>120</v>
      </c>
      <c r="F241" s="233"/>
      <c r="G241" s="331"/>
    </row>
    <row r="242" spans="2:7" ht="15.75" thickBot="1" x14ac:dyDescent="0.3">
      <c r="B242" s="315" t="s">
        <v>661</v>
      </c>
      <c r="C242" s="231" t="s">
        <v>662</v>
      </c>
      <c r="D242" s="231"/>
      <c r="E242" s="231"/>
      <c r="F242" s="231"/>
      <c r="G242" s="245"/>
    </row>
    <row r="243" spans="2:7" ht="25.5" x14ac:dyDescent="0.25">
      <c r="B243" s="264" t="s">
        <v>663</v>
      </c>
      <c r="C243" s="276" t="s">
        <v>664</v>
      </c>
      <c r="D243" s="260" t="s">
        <v>3</v>
      </c>
      <c r="E243" s="279">
        <v>72</v>
      </c>
      <c r="F243" s="233"/>
      <c r="G243" s="331"/>
    </row>
    <row r="244" spans="2:7" ht="14.25" x14ac:dyDescent="0.25">
      <c r="B244" s="264" t="s">
        <v>665</v>
      </c>
      <c r="C244" s="276" t="s">
        <v>666</v>
      </c>
      <c r="D244" s="260" t="s">
        <v>3</v>
      </c>
      <c r="E244" s="279">
        <v>8</v>
      </c>
      <c r="F244" s="233"/>
      <c r="G244" s="331"/>
    </row>
    <row r="245" spans="2:7" ht="63.75" x14ac:dyDescent="0.25">
      <c r="B245" s="264" t="s">
        <v>667</v>
      </c>
      <c r="C245" s="276" t="s">
        <v>668</v>
      </c>
      <c r="D245" s="260" t="s">
        <v>3</v>
      </c>
      <c r="E245" s="279">
        <v>20</v>
      </c>
      <c r="F245" s="233"/>
      <c r="G245" s="331"/>
    </row>
    <row r="246" spans="2:7" ht="51" x14ac:dyDescent="0.25">
      <c r="B246" s="264" t="s">
        <v>669</v>
      </c>
      <c r="C246" s="276" t="s">
        <v>670</v>
      </c>
      <c r="D246" s="260" t="s">
        <v>3</v>
      </c>
      <c r="E246" s="282">
        <v>74</v>
      </c>
      <c r="F246" s="233"/>
      <c r="G246" s="331"/>
    </row>
    <row r="247" spans="2:7" ht="38.25" x14ac:dyDescent="0.25">
      <c r="B247" s="264" t="s">
        <v>671</v>
      </c>
      <c r="C247" s="276" t="s">
        <v>672</v>
      </c>
      <c r="D247" s="260" t="s">
        <v>3</v>
      </c>
      <c r="E247" s="282">
        <v>18</v>
      </c>
      <c r="F247" s="233"/>
      <c r="G247" s="331"/>
    </row>
    <row r="248" spans="2:7" ht="38.25" x14ac:dyDescent="0.25">
      <c r="B248" s="264" t="s">
        <v>673</v>
      </c>
      <c r="C248" s="276" t="s">
        <v>674</v>
      </c>
      <c r="D248" s="260" t="s">
        <v>3</v>
      </c>
      <c r="E248" s="282">
        <v>16</v>
      </c>
      <c r="F248" s="233"/>
      <c r="G248" s="331"/>
    </row>
    <row r="249" spans="2:7" ht="25.5" x14ac:dyDescent="0.25">
      <c r="B249" s="264" t="s">
        <v>675</v>
      </c>
      <c r="C249" s="276" t="s">
        <v>676</v>
      </c>
      <c r="D249" s="260" t="s">
        <v>3</v>
      </c>
      <c r="E249" s="279">
        <v>10</v>
      </c>
      <c r="F249" s="233"/>
      <c r="G249" s="331"/>
    </row>
    <row r="250" spans="2:7" ht="127.5" x14ac:dyDescent="0.25">
      <c r="B250" s="264" t="s">
        <v>677</v>
      </c>
      <c r="C250" s="276" t="s">
        <v>678</v>
      </c>
      <c r="D250" s="260" t="s">
        <v>3</v>
      </c>
      <c r="E250" s="279">
        <v>120</v>
      </c>
      <c r="F250" s="233"/>
      <c r="G250" s="331"/>
    </row>
    <row r="251" spans="2:7" ht="25.5" x14ac:dyDescent="0.25">
      <c r="B251" s="264" t="s">
        <v>679</v>
      </c>
      <c r="C251" s="276" t="s">
        <v>680</v>
      </c>
      <c r="D251" s="260" t="s">
        <v>3</v>
      </c>
      <c r="E251" s="279">
        <v>11</v>
      </c>
      <c r="F251" s="233"/>
      <c r="G251" s="331"/>
    </row>
    <row r="252" spans="2:7" ht="38.25" x14ac:dyDescent="0.25">
      <c r="B252" s="264" t="s">
        <v>681</v>
      </c>
      <c r="C252" s="276" t="s">
        <v>682</v>
      </c>
      <c r="D252" s="260" t="s">
        <v>3</v>
      </c>
      <c r="E252" s="279">
        <v>5</v>
      </c>
      <c r="F252" s="233"/>
      <c r="G252" s="331"/>
    </row>
    <row r="253" spans="2:7" ht="63.75" x14ac:dyDescent="0.25">
      <c r="B253" s="264" t="s">
        <v>683</v>
      </c>
      <c r="C253" s="276" t="s">
        <v>684</v>
      </c>
      <c r="D253" s="260" t="s">
        <v>3</v>
      </c>
      <c r="E253" s="279">
        <v>40</v>
      </c>
      <c r="F253" s="233"/>
      <c r="G253" s="331"/>
    </row>
    <row r="254" spans="2:7" ht="63.75" x14ac:dyDescent="0.25">
      <c r="B254" s="264" t="s">
        <v>685</v>
      </c>
      <c r="C254" s="276" t="s">
        <v>686</v>
      </c>
      <c r="D254" s="260" t="s">
        <v>3</v>
      </c>
      <c r="E254" s="279">
        <v>8</v>
      </c>
      <c r="F254" s="233"/>
      <c r="G254" s="331"/>
    </row>
    <row r="255" spans="2:7" ht="63.75" x14ac:dyDescent="0.25">
      <c r="B255" s="264" t="s">
        <v>687</v>
      </c>
      <c r="C255" s="276" t="s">
        <v>688</v>
      </c>
      <c r="D255" s="260" t="s">
        <v>3</v>
      </c>
      <c r="E255" s="279">
        <v>2</v>
      </c>
      <c r="F255" s="233"/>
      <c r="G255" s="331"/>
    </row>
    <row r="256" spans="2:7" ht="26.25" thickBot="1" x14ac:dyDescent="0.3">
      <c r="B256" s="264" t="s">
        <v>689</v>
      </c>
      <c r="C256" s="258" t="s">
        <v>690</v>
      </c>
      <c r="D256" s="260" t="s">
        <v>3</v>
      </c>
      <c r="E256" s="279">
        <v>10</v>
      </c>
      <c r="F256" s="233"/>
      <c r="G256" s="331"/>
    </row>
    <row r="257" spans="2:7" ht="15.75" thickBot="1" x14ac:dyDescent="0.3">
      <c r="B257" s="315" t="s">
        <v>691</v>
      </c>
      <c r="C257" s="231" t="s">
        <v>692</v>
      </c>
      <c r="D257" s="231"/>
      <c r="E257" s="231"/>
      <c r="F257" s="231"/>
      <c r="G257" s="245"/>
    </row>
    <row r="258" spans="2:7" ht="102" x14ac:dyDescent="0.25">
      <c r="B258" s="254" t="s">
        <v>693</v>
      </c>
      <c r="C258" s="276" t="s">
        <v>694</v>
      </c>
      <c r="D258" s="260" t="s">
        <v>3</v>
      </c>
      <c r="E258" s="279">
        <v>5</v>
      </c>
      <c r="F258" s="233"/>
      <c r="G258" s="331"/>
    </row>
    <row r="259" spans="2:7" ht="102" x14ac:dyDescent="0.25">
      <c r="B259" s="254" t="s">
        <v>695</v>
      </c>
      <c r="C259" s="276" t="s">
        <v>696</v>
      </c>
      <c r="D259" s="260" t="s">
        <v>3</v>
      </c>
      <c r="E259" s="279">
        <v>1</v>
      </c>
      <c r="F259" s="233"/>
      <c r="G259" s="331"/>
    </row>
    <row r="260" spans="2:7" ht="114.75" x14ac:dyDescent="0.25">
      <c r="B260" s="254" t="s">
        <v>697</v>
      </c>
      <c r="C260" s="276" t="s">
        <v>698</v>
      </c>
      <c r="D260" s="260" t="s">
        <v>3</v>
      </c>
      <c r="E260" s="279">
        <v>4</v>
      </c>
      <c r="F260" s="233"/>
      <c r="G260" s="331"/>
    </row>
    <row r="261" spans="2:7" ht="114.75" x14ac:dyDescent="0.25">
      <c r="B261" s="254" t="s">
        <v>699</v>
      </c>
      <c r="C261" s="276" t="s">
        <v>700</v>
      </c>
      <c r="D261" s="260" t="s">
        <v>3</v>
      </c>
      <c r="E261" s="280">
        <v>30</v>
      </c>
      <c r="F261" s="233"/>
      <c r="G261" s="331"/>
    </row>
    <row r="262" spans="2:7" ht="114.75" x14ac:dyDescent="0.25">
      <c r="B262" s="254" t="s">
        <v>701</v>
      </c>
      <c r="C262" s="276" t="s">
        <v>702</v>
      </c>
      <c r="D262" s="260" t="s">
        <v>3</v>
      </c>
      <c r="E262" s="279">
        <v>50</v>
      </c>
      <c r="F262" s="233"/>
      <c r="G262" s="331"/>
    </row>
    <row r="263" spans="2:7" ht="102" x14ac:dyDescent="0.25">
      <c r="B263" s="254" t="s">
        <v>703</v>
      </c>
      <c r="C263" s="276" t="s">
        <v>704</v>
      </c>
      <c r="D263" s="260" t="s">
        <v>3</v>
      </c>
      <c r="E263" s="279">
        <v>1</v>
      </c>
      <c r="F263" s="233"/>
      <c r="G263" s="331"/>
    </row>
    <row r="264" spans="2:7" ht="25.5" x14ac:dyDescent="0.25">
      <c r="B264" s="254" t="s">
        <v>705</v>
      </c>
      <c r="C264" s="276" t="s">
        <v>706</v>
      </c>
      <c r="D264" s="260" t="s">
        <v>3</v>
      </c>
      <c r="E264" s="279">
        <v>6</v>
      </c>
      <c r="F264" s="233"/>
      <c r="G264" s="331"/>
    </row>
    <row r="265" spans="2:7" ht="25.5" x14ac:dyDescent="0.25">
      <c r="B265" s="254" t="s">
        <v>707</v>
      </c>
      <c r="C265" s="276" t="s">
        <v>708</v>
      </c>
      <c r="D265" s="260" t="s">
        <v>3</v>
      </c>
      <c r="E265" s="279">
        <v>10</v>
      </c>
      <c r="F265" s="233"/>
      <c r="G265" s="331"/>
    </row>
    <row r="266" spans="2:7" ht="51" x14ac:dyDescent="0.25">
      <c r="B266" s="254" t="s">
        <v>709</v>
      </c>
      <c r="C266" s="276" t="s">
        <v>710</v>
      </c>
      <c r="D266" s="260" t="s">
        <v>3</v>
      </c>
      <c r="E266" s="279">
        <v>78</v>
      </c>
      <c r="F266" s="233"/>
      <c r="G266" s="331"/>
    </row>
    <row r="267" spans="2:7" ht="51" x14ac:dyDescent="0.25">
      <c r="B267" s="254" t="s">
        <v>711</v>
      </c>
      <c r="C267" s="276" t="s">
        <v>712</v>
      </c>
      <c r="D267" s="260" t="s">
        <v>3</v>
      </c>
      <c r="E267" s="279">
        <v>54</v>
      </c>
      <c r="F267" s="233"/>
      <c r="G267" s="331"/>
    </row>
    <row r="268" spans="2:7" ht="115.5" thickBot="1" x14ac:dyDescent="0.3">
      <c r="B268" s="254" t="s">
        <v>713</v>
      </c>
      <c r="C268" s="276" t="s">
        <v>714</v>
      </c>
      <c r="D268" s="260" t="s">
        <v>3</v>
      </c>
      <c r="E268" s="279">
        <v>5</v>
      </c>
      <c r="F268" s="233"/>
      <c r="G268" s="331"/>
    </row>
    <row r="269" spans="2:7" ht="15.75" thickBot="1" x14ac:dyDescent="0.3">
      <c r="B269" s="315" t="s">
        <v>715</v>
      </c>
      <c r="C269" s="231" t="s">
        <v>716</v>
      </c>
      <c r="D269" s="231"/>
      <c r="E269" s="231"/>
      <c r="F269" s="231"/>
      <c r="G269" s="245"/>
    </row>
    <row r="270" spans="2:7" ht="76.5" x14ac:dyDescent="0.25">
      <c r="B270" s="254" t="s">
        <v>717</v>
      </c>
      <c r="C270" s="276" t="s">
        <v>718</v>
      </c>
      <c r="D270" s="260" t="s">
        <v>3</v>
      </c>
      <c r="E270" s="279">
        <v>20</v>
      </c>
      <c r="F270" s="233"/>
      <c r="G270" s="331"/>
    </row>
    <row r="271" spans="2:7" ht="63.75" x14ac:dyDescent="0.25">
      <c r="B271" s="254" t="s">
        <v>719</v>
      </c>
      <c r="C271" s="276" t="s">
        <v>720</v>
      </c>
      <c r="D271" s="260" t="s">
        <v>3</v>
      </c>
      <c r="E271" s="279">
        <v>10</v>
      </c>
      <c r="F271" s="233"/>
      <c r="G271" s="331"/>
    </row>
    <row r="272" spans="2:7" ht="76.5" x14ac:dyDescent="0.25">
      <c r="B272" s="254" t="s">
        <v>721</v>
      </c>
      <c r="C272" s="276" t="s">
        <v>722</v>
      </c>
      <c r="D272" s="260" t="s">
        <v>3</v>
      </c>
      <c r="E272" s="279">
        <v>7</v>
      </c>
      <c r="F272" s="233"/>
      <c r="G272" s="331"/>
    </row>
    <row r="273" spans="2:7" ht="76.5" x14ac:dyDescent="0.25">
      <c r="B273" s="254" t="s">
        <v>723</v>
      </c>
      <c r="C273" s="276" t="s">
        <v>724</v>
      </c>
      <c r="D273" s="260" t="s">
        <v>3</v>
      </c>
      <c r="E273" s="279">
        <v>2</v>
      </c>
      <c r="F273" s="233"/>
      <c r="G273" s="331"/>
    </row>
    <row r="274" spans="2:7" ht="63.75" x14ac:dyDescent="0.25">
      <c r="B274" s="254" t="s">
        <v>725</v>
      </c>
      <c r="C274" s="276" t="s">
        <v>726</v>
      </c>
      <c r="D274" s="260" t="s">
        <v>3</v>
      </c>
      <c r="E274" s="279">
        <v>8</v>
      </c>
      <c r="F274" s="233"/>
      <c r="G274" s="331"/>
    </row>
    <row r="275" spans="2:7" ht="25.5" x14ac:dyDescent="0.25">
      <c r="B275" s="254" t="s">
        <v>727</v>
      </c>
      <c r="C275" s="276" t="s">
        <v>728</v>
      </c>
      <c r="D275" s="260" t="s">
        <v>3</v>
      </c>
      <c r="E275" s="279">
        <v>16</v>
      </c>
      <c r="F275" s="233"/>
      <c r="G275" s="331"/>
    </row>
    <row r="276" spans="2:7" ht="51" x14ac:dyDescent="0.25">
      <c r="B276" s="254" t="s">
        <v>729</v>
      </c>
      <c r="C276" s="276" t="s">
        <v>730</v>
      </c>
      <c r="D276" s="260" t="s">
        <v>3</v>
      </c>
      <c r="E276" s="279">
        <v>8</v>
      </c>
      <c r="F276" s="233"/>
      <c r="G276" s="331"/>
    </row>
    <row r="277" spans="2:7" ht="15" x14ac:dyDescent="0.25">
      <c r="B277" s="254" t="s">
        <v>731</v>
      </c>
      <c r="C277" s="276" t="s">
        <v>732</v>
      </c>
      <c r="D277" s="260" t="s">
        <v>3</v>
      </c>
      <c r="E277" s="279">
        <v>20</v>
      </c>
      <c r="F277" s="233"/>
      <c r="G277" s="331"/>
    </row>
    <row r="278" spans="2:7" ht="25.5" x14ac:dyDescent="0.25">
      <c r="B278" s="254" t="s">
        <v>733</v>
      </c>
      <c r="C278" s="276" t="s">
        <v>734</v>
      </c>
      <c r="D278" s="260" t="s">
        <v>3</v>
      </c>
      <c r="E278" s="279">
        <v>20</v>
      </c>
      <c r="F278" s="233"/>
      <c r="G278" s="331"/>
    </row>
    <row r="279" spans="2:7" ht="38.25" x14ac:dyDescent="0.25">
      <c r="B279" s="254" t="s">
        <v>735</v>
      </c>
      <c r="C279" s="276" t="s">
        <v>736</v>
      </c>
      <c r="D279" s="260" t="s">
        <v>3</v>
      </c>
      <c r="E279" s="279">
        <v>1</v>
      </c>
      <c r="F279" s="233"/>
      <c r="G279" s="331"/>
    </row>
    <row r="280" spans="2:7" ht="25.5" x14ac:dyDescent="0.25">
      <c r="B280" s="254" t="s">
        <v>737</v>
      </c>
      <c r="C280" s="276" t="s">
        <v>738</v>
      </c>
      <c r="D280" s="260" t="s">
        <v>3</v>
      </c>
      <c r="E280" s="279">
        <v>50</v>
      </c>
      <c r="F280" s="233"/>
      <c r="G280" s="331"/>
    </row>
    <row r="281" spans="2:7" ht="38.25" x14ac:dyDescent="0.25">
      <c r="B281" s="254" t="s">
        <v>739</v>
      </c>
      <c r="C281" s="276" t="s">
        <v>740</v>
      </c>
      <c r="D281" s="260" t="s">
        <v>3</v>
      </c>
      <c r="E281" s="279">
        <v>1</v>
      </c>
      <c r="F281" s="233"/>
      <c r="G281" s="331"/>
    </row>
    <row r="282" spans="2:7" ht="25.5" x14ac:dyDescent="0.25">
      <c r="B282" s="254" t="s">
        <v>741</v>
      </c>
      <c r="C282" s="276" t="s">
        <v>742</v>
      </c>
      <c r="D282" s="260" t="s">
        <v>3</v>
      </c>
      <c r="E282" s="279">
        <v>50</v>
      </c>
      <c r="F282" s="233"/>
      <c r="G282" s="331"/>
    </row>
    <row r="283" spans="2:7" ht="25.5" x14ac:dyDescent="0.25">
      <c r="B283" s="254" t="s">
        <v>743</v>
      </c>
      <c r="C283" s="276" t="s">
        <v>744</v>
      </c>
      <c r="D283" s="260" t="s">
        <v>3</v>
      </c>
      <c r="E283" s="279">
        <v>160</v>
      </c>
      <c r="F283" s="233"/>
      <c r="G283" s="331"/>
    </row>
    <row r="284" spans="2:7" ht="25.5" x14ac:dyDescent="0.25">
      <c r="B284" s="254" t="s">
        <v>745</v>
      </c>
      <c r="C284" s="276" t="s">
        <v>746</v>
      </c>
      <c r="D284" s="260" t="s">
        <v>3</v>
      </c>
      <c r="E284" s="279">
        <v>90</v>
      </c>
      <c r="F284" s="233"/>
      <c r="G284" s="331"/>
    </row>
    <row r="285" spans="2:7" ht="51" x14ac:dyDescent="0.25">
      <c r="B285" s="254" t="s">
        <v>747</v>
      </c>
      <c r="C285" s="276" t="s">
        <v>748</v>
      </c>
      <c r="D285" s="260" t="s">
        <v>3</v>
      </c>
      <c r="E285" s="279">
        <v>48</v>
      </c>
      <c r="F285" s="233"/>
      <c r="G285" s="331"/>
    </row>
    <row r="286" spans="2:7" ht="25.5" x14ac:dyDescent="0.25">
      <c r="B286" s="254" t="s">
        <v>749</v>
      </c>
      <c r="C286" s="276" t="s">
        <v>750</v>
      </c>
      <c r="D286" s="260" t="s">
        <v>3</v>
      </c>
      <c r="E286" s="279">
        <v>90</v>
      </c>
      <c r="F286" s="233"/>
      <c r="G286" s="331"/>
    </row>
    <row r="287" spans="2:7" ht="15" x14ac:dyDescent="0.25">
      <c r="B287" s="254" t="s">
        <v>751</v>
      </c>
      <c r="C287" s="276" t="s">
        <v>752</v>
      </c>
      <c r="D287" s="260" t="s">
        <v>24</v>
      </c>
      <c r="E287" s="279">
        <v>1400</v>
      </c>
      <c r="F287" s="233"/>
      <c r="G287" s="331"/>
    </row>
    <row r="288" spans="2:7" ht="15" x14ac:dyDescent="0.25">
      <c r="B288" s="254" t="s">
        <v>753</v>
      </c>
      <c r="C288" s="276" t="s">
        <v>754</v>
      </c>
      <c r="D288" s="260" t="s">
        <v>3</v>
      </c>
      <c r="E288" s="279">
        <v>29</v>
      </c>
      <c r="F288" s="233"/>
      <c r="G288" s="331"/>
    </row>
    <row r="289" spans="2:7" ht="15" x14ac:dyDescent="0.25">
      <c r="B289" s="254" t="s">
        <v>755</v>
      </c>
      <c r="C289" s="276" t="s">
        <v>756</v>
      </c>
      <c r="D289" s="260" t="s">
        <v>3</v>
      </c>
      <c r="E289" s="279">
        <v>29</v>
      </c>
      <c r="F289" s="233"/>
      <c r="G289" s="331"/>
    </row>
    <row r="290" spans="2:7" ht="15" x14ac:dyDescent="0.25">
      <c r="B290" s="254" t="s">
        <v>757</v>
      </c>
      <c r="C290" s="276" t="s">
        <v>758</v>
      </c>
      <c r="D290" s="260" t="s">
        <v>3</v>
      </c>
      <c r="E290" s="279">
        <v>10</v>
      </c>
      <c r="F290" s="233"/>
      <c r="G290" s="331"/>
    </row>
    <row r="291" spans="2:7" ht="127.5" x14ac:dyDescent="0.25">
      <c r="B291" s="254" t="s">
        <v>759</v>
      </c>
      <c r="C291" s="281" t="s">
        <v>760</v>
      </c>
      <c r="D291" s="260" t="s">
        <v>3</v>
      </c>
      <c r="E291" s="279">
        <v>1</v>
      </c>
      <c r="F291" s="233"/>
      <c r="G291" s="331"/>
    </row>
    <row r="292" spans="2:7" ht="38.25" x14ac:dyDescent="0.25">
      <c r="B292" s="254" t="s">
        <v>761</v>
      </c>
      <c r="C292" s="258" t="s">
        <v>762</v>
      </c>
      <c r="D292" s="260" t="s">
        <v>3</v>
      </c>
      <c r="E292" s="279">
        <v>7</v>
      </c>
      <c r="F292" s="233"/>
      <c r="G292" s="331"/>
    </row>
    <row r="293" spans="2:7" ht="25.5" x14ac:dyDescent="0.25">
      <c r="B293" s="254" t="s">
        <v>763</v>
      </c>
      <c r="C293" s="258" t="s">
        <v>764</v>
      </c>
      <c r="D293" s="260" t="s">
        <v>3</v>
      </c>
      <c r="E293" s="279">
        <v>7</v>
      </c>
      <c r="F293" s="233"/>
      <c r="G293" s="331"/>
    </row>
    <row r="294" spans="2:7" ht="60.75" thickBot="1" x14ac:dyDescent="0.3">
      <c r="B294" s="254" t="s">
        <v>765</v>
      </c>
      <c r="C294" s="255" t="s">
        <v>766</v>
      </c>
      <c r="D294" s="260" t="s">
        <v>3</v>
      </c>
      <c r="E294" s="279">
        <v>7</v>
      </c>
      <c r="F294" s="233"/>
      <c r="G294" s="331"/>
    </row>
    <row r="295" spans="2:7" ht="15.75" thickBot="1" x14ac:dyDescent="0.3">
      <c r="B295" s="315" t="s">
        <v>767</v>
      </c>
      <c r="C295" s="231" t="s">
        <v>768</v>
      </c>
      <c r="D295" s="231"/>
      <c r="E295" s="231"/>
      <c r="F295" s="231"/>
      <c r="G295" s="245"/>
    </row>
    <row r="296" spans="2:7" ht="15.75" thickBot="1" x14ac:dyDescent="0.3">
      <c r="B296" s="315" t="s">
        <v>769</v>
      </c>
      <c r="C296" s="231" t="s">
        <v>642</v>
      </c>
      <c r="D296" s="231"/>
      <c r="E296" s="231"/>
      <c r="F296" s="231"/>
      <c r="G296" s="245"/>
    </row>
    <row r="297" spans="2:7" ht="51" x14ac:dyDescent="0.25">
      <c r="B297" s="264" t="s">
        <v>770</v>
      </c>
      <c r="C297" s="276" t="s">
        <v>771</v>
      </c>
      <c r="D297" s="260" t="s">
        <v>24</v>
      </c>
      <c r="E297" s="279">
        <v>29</v>
      </c>
      <c r="F297" s="233"/>
      <c r="G297" s="331"/>
    </row>
    <row r="298" spans="2:7" ht="25.5" x14ac:dyDescent="0.25">
      <c r="B298" s="264" t="s">
        <v>772</v>
      </c>
      <c r="C298" s="276" t="s">
        <v>773</v>
      </c>
      <c r="D298" s="260" t="s">
        <v>24</v>
      </c>
      <c r="E298" s="279">
        <v>84</v>
      </c>
      <c r="F298" s="233"/>
      <c r="G298" s="331"/>
    </row>
    <row r="299" spans="2:7" ht="25.5" x14ac:dyDescent="0.25">
      <c r="B299" s="264" t="s">
        <v>774</v>
      </c>
      <c r="C299" s="276" t="s">
        <v>775</v>
      </c>
      <c r="D299" s="260" t="s">
        <v>24</v>
      </c>
      <c r="E299" s="279">
        <v>20</v>
      </c>
      <c r="F299" s="233"/>
      <c r="G299" s="331"/>
    </row>
    <row r="300" spans="2:7" ht="25.5" x14ac:dyDescent="0.25">
      <c r="B300" s="264" t="s">
        <v>776</v>
      </c>
      <c r="C300" s="276" t="s">
        <v>777</v>
      </c>
      <c r="D300" s="260" t="s">
        <v>24</v>
      </c>
      <c r="E300" s="279">
        <v>10</v>
      </c>
      <c r="F300" s="233"/>
      <c r="G300" s="331"/>
    </row>
    <row r="301" spans="2:7" ht="25.5" x14ac:dyDescent="0.25">
      <c r="B301" s="264" t="s">
        <v>778</v>
      </c>
      <c r="C301" s="276" t="s">
        <v>779</v>
      </c>
      <c r="D301" s="260" t="s">
        <v>24</v>
      </c>
      <c r="E301" s="279">
        <v>20</v>
      </c>
      <c r="F301" s="233"/>
      <c r="G301" s="331"/>
    </row>
    <row r="302" spans="2:7" ht="14.25" x14ac:dyDescent="0.25">
      <c r="B302" s="264" t="s">
        <v>780</v>
      </c>
      <c r="C302" s="258" t="s">
        <v>656</v>
      </c>
      <c r="D302" s="260" t="s">
        <v>24</v>
      </c>
      <c r="E302" s="279">
        <v>320</v>
      </c>
      <c r="F302" s="233"/>
      <c r="G302" s="331"/>
    </row>
    <row r="303" spans="2:7" ht="30" x14ac:dyDescent="0.25">
      <c r="B303" s="264" t="s">
        <v>781</v>
      </c>
      <c r="C303" s="255" t="s">
        <v>782</v>
      </c>
      <c r="D303" s="260" t="s">
        <v>24</v>
      </c>
      <c r="E303" s="279">
        <v>300</v>
      </c>
      <c r="F303" s="233"/>
      <c r="G303" s="331"/>
    </row>
    <row r="304" spans="2:7" ht="30" x14ac:dyDescent="0.25">
      <c r="B304" s="264" t="s">
        <v>783</v>
      </c>
      <c r="C304" s="255" t="s">
        <v>784</v>
      </c>
      <c r="D304" s="260" t="s">
        <v>24</v>
      </c>
      <c r="E304" s="279">
        <v>150</v>
      </c>
      <c r="F304" s="233"/>
      <c r="G304" s="331"/>
    </row>
    <row r="305" spans="2:7" ht="25.5" x14ac:dyDescent="0.25">
      <c r="B305" s="264" t="s">
        <v>785</v>
      </c>
      <c r="C305" s="276" t="s">
        <v>658</v>
      </c>
      <c r="D305" s="260" t="s">
        <v>24</v>
      </c>
      <c r="E305" s="279">
        <v>46</v>
      </c>
      <c r="F305" s="233"/>
      <c r="G305" s="331"/>
    </row>
    <row r="306" spans="2:7" ht="51.75" thickBot="1" x14ac:dyDescent="0.3">
      <c r="B306" s="264" t="s">
        <v>786</v>
      </c>
      <c r="C306" s="258" t="s">
        <v>660</v>
      </c>
      <c r="D306" s="260" t="s">
        <v>24</v>
      </c>
      <c r="E306" s="279">
        <v>30</v>
      </c>
      <c r="F306" s="233"/>
      <c r="G306" s="331"/>
    </row>
    <row r="307" spans="2:7" ht="15.75" thickBot="1" x14ac:dyDescent="0.3">
      <c r="B307" s="315" t="s">
        <v>787</v>
      </c>
      <c r="C307" s="231" t="s">
        <v>662</v>
      </c>
      <c r="D307" s="231"/>
      <c r="E307" s="231"/>
      <c r="F307" s="231"/>
      <c r="G307" s="245"/>
    </row>
    <row r="308" spans="2:7" ht="25.5" x14ac:dyDescent="0.25">
      <c r="B308" s="314" t="s">
        <v>788</v>
      </c>
      <c r="C308" s="276" t="s">
        <v>789</v>
      </c>
      <c r="D308" s="260" t="s">
        <v>3</v>
      </c>
      <c r="E308" s="280">
        <v>12</v>
      </c>
      <c r="F308" s="233"/>
      <c r="G308" s="331"/>
    </row>
    <row r="309" spans="2:7" ht="51" x14ac:dyDescent="0.25">
      <c r="B309" s="314" t="s">
        <v>790</v>
      </c>
      <c r="C309" s="276" t="s">
        <v>791</v>
      </c>
      <c r="D309" s="260" t="s">
        <v>3</v>
      </c>
      <c r="E309" s="279">
        <v>2</v>
      </c>
      <c r="F309" s="233"/>
      <c r="G309" s="331"/>
    </row>
    <row r="310" spans="2:7" ht="25.5" x14ac:dyDescent="0.25">
      <c r="B310" s="314" t="s">
        <v>792</v>
      </c>
      <c r="C310" s="276" t="s">
        <v>793</v>
      </c>
      <c r="D310" s="260" t="s">
        <v>3</v>
      </c>
      <c r="E310" s="279">
        <v>40</v>
      </c>
      <c r="F310" s="233"/>
      <c r="G310" s="331"/>
    </row>
    <row r="311" spans="2:7" ht="25.5" x14ac:dyDescent="0.25">
      <c r="B311" s="314" t="s">
        <v>794</v>
      </c>
      <c r="C311" s="276" t="s">
        <v>795</v>
      </c>
      <c r="D311" s="260" t="s">
        <v>3</v>
      </c>
      <c r="E311" s="279">
        <v>7</v>
      </c>
      <c r="F311" s="233"/>
      <c r="G311" s="331"/>
    </row>
    <row r="312" spans="2:7" ht="127.5" x14ac:dyDescent="0.25">
      <c r="B312" s="314" t="s">
        <v>796</v>
      </c>
      <c r="C312" s="276" t="s">
        <v>678</v>
      </c>
      <c r="D312" s="260" t="s">
        <v>3</v>
      </c>
      <c r="E312" s="279">
        <v>49</v>
      </c>
      <c r="F312" s="233"/>
      <c r="G312" s="331"/>
    </row>
    <row r="313" spans="2:7" ht="25.5" x14ac:dyDescent="0.25">
      <c r="B313" s="314" t="s">
        <v>797</v>
      </c>
      <c r="C313" s="276" t="s">
        <v>680</v>
      </c>
      <c r="D313" s="260" t="s">
        <v>3</v>
      </c>
      <c r="E313" s="279">
        <v>3</v>
      </c>
      <c r="F313" s="233"/>
      <c r="G313" s="331"/>
    </row>
    <row r="314" spans="2:7" ht="38.25" x14ac:dyDescent="0.25">
      <c r="B314" s="314" t="s">
        <v>798</v>
      </c>
      <c r="C314" s="276" t="s">
        <v>682</v>
      </c>
      <c r="D314" s="260" t="s">
        <v>3</v>
      </c>
      <c r="E314" s="279">
        <v>1</v>
      </c>
      <c r="F314" s="233"/>
      <c r="G314" s="331"/>
    </row>
    <row r="315" spans="2:7" ht="63.75" x14ac:dyDescent="0.25">
      <c r="B315" s="314" t="s">
        <v>799</v>
      </c>
      <c r="C315" s="276" t="s">
        <v>684</v>
      </c>
      <c r="D315" s="260" t="s">
        <v>3</v>
      </c>
      <c r="E315" s="279">
        <v>7</v>
      </c>
      <c r="F315" s="233"/>
      <c r="G315" s="331"/>
    </row>
    <row r="316" spans="2:7" ht="63.75" x14ac:dyDescent="0.25">
      <c r="B316" s="314" t="s">
        <v>800</v>
      </c>
      <c r="C316" s="276" t="s">
        <v>686</v>
      </c>
      <c r="D316" s="260" t="s">
        <v>3</v>
      </c>
      <c r="E316" s="279">
        <v>2</v>
      </c>
      <c r="F316" s="233"/>
      <c r="G316" s="331"/>
    </row>
    <row r="317" spans="2:7" ht="26.25" thickBot="1" x14ac:dyDescent="0.3">
      <c r="B317" s="314" t="s">
        <v>801</v>
      </c>
      <c r="C317" s="258" t="s">
        <v>690</v>
      </c>
      <c r="D317" s="260" t="s">
        <v>3</v>
      </c>
      <c r="E317" s="279">
        <v>2</v>
      </c>
      <c r="F317" s="233"/>
      <c r="G317" s="331"/>
    </row>
    <row r="318" spans="2:7" ht="15.75" thickBot="1" x14ac:dyDescent="0.3">
      <c r="B318" s="315" t="s">
        <v>802</v>
      </c>
      <c r="C318" s="231" t="s">
        <v>692</v>
      </c>
      <c r="D318" s="231"/>
      <c r="E318" s="231"/>
      <c r="F318" s="231"/>
      <c r="G318" s="245"/>
    </row>
    <row r="319" spans="2:7" ht="102" x14ac:dyDescent="0.25">
      <c r="B319" s="264" t="s">
        <v>803</v>
      </c>
      <c r="C319" s="276" t="s">
        <v>694</v>
      </c>
      <c r="D319" s="260" t="s">
        <v>3</v>
      </c>
      <c r="E319" s="279">
        <v>1</v>
      </c>
      <c r="F319" s="233"/>
      <c r="G319" s="331"/>
    </row>
    <row r="320" spans="2:7" ht="102" x14ac:dyDescent="0.25">
      <c r="B320" s="264" t="s">
        <v>804</v>
      </c>
      <c r="C320" s="276" t="s">
        <v>696</v>
      </c>
      <c r="D320" s="260" t="s">
        <v>3</v>
      </c>
      <c r="E320" s="279">
        <v>1</v>
      </c>
      <c r="F320" s="233"/>
      <c r="G320" s="331"/>
    </row>
    <row r="321" spans="2:7" ht="114.75" x14ac:dyDescent="0.25">
      <c r="B321" s="264" t="s">
        <v>805</v>
      </c>
      <c r="C321" s="276" t="s">
        <v>700</v>
      </c>
      <c r="D321" s="260" t="s">
        <v>3</v>
      </c>
      <c r="E321" s="280">
        <v>20</v>
      </c>
      <c r="F321" s="233"/>
      <c r="G321" s="331"/>
    </row>
    <row r="322" spans="2:7" ht="114.75" x14ac:dyDescent="0.25">
      <c r="B322" s="264" t="s">
        <v>806</v>
      </c>
      <c r="C322" s="276" t="s">
        <v>702</v>
      </c>
      <c r="D322" s="260" t="s">
        <v>3</v>
      </c>
      <c r="E322" s="279">
        <v>12</v>
      </c>
      <c r="F322" s="233"/>
      <c r="G322" s="331"/>
    </row>
    <row r="323" spans="2:7" ht="26.25" thickBot="1" x14ac:dyDescent="0.3">
      <c r="B323" s="264" t="s">
        <v>807</v>
      </c>
      <c r="C323" s="276" t="s">
        <v>750</v>
      </c>
      <c r="D323" s="260" t="s">
        <v>3</v>
      </c>
      <c r="E323" s="279">
        <v>48</v>
      </c>
      <c r="F323" s="233"/>
      <c r="G323" s="331"/>
    </row>
    <row r="324" spans="2:7" ht="15.75" thickBot="1" x14ac:dyDescent="0.3">
      <c r="B324" s="315" t="s">
        <v>808</v>
      </c>
      <c r="C324" s="231" t="s">
        <v>809</v>
      </c>
      <c r="D324" s="231"/>
      <c r="E324" s="231"/>
      <c r="F324" s="231"/>
      <c r="G324" s="245"/>
    </row>
    <row r="325" spans="2:7" ht="76.5" x14ac:dyDescent="0.25">
      <c r="B325" s="254" t="s">
        <v>810</v>
      </c>
      <c r="C325" s="276" t="s">
        <v>811</v>
      </c>
      <c r="D325" s="260" t="s">
        <v>3</v>
      </c>
      <c r="E325" s="279">
        <v>10</v>
      </c>
      <c r="F325" s="233"/>
      <c r="G325" s="331"/>
    </row>
    <row r="326" spans="2:7" ht="76.5" x14ac:dyDescent="0.25">
      <c r="B326" s="254" t="s">
        <v>812</v>
      </c>
      <c r="C326" s="276" t="s">
        <v>813</v>
      </c>
      <c r="D326" s="260" t="s">
        <v>3</v>
      </c>
      <c r="E326" s="279">
        <v>1</v>
      </c>
      <c r="F326" s="233"/>
      <c r="G326" s="331"/>
    </row>
    <row r="327" spans="2:7" ht="63.75" x14ac:dyDescent="0.25">
      <c r="B327" s="254" t="s">
        <v>814</v>
      </c>
      <c r="C327" s="276" t="s">
        <v>726</v>
      </c>
      <c r="D327" s="260" t="s">
        <v>3</v>
      </c>
      <c r="E327" s="279">
        <v>8</v>
      </c>
      <c r="F327" s="233"/>
      <c r="G327" s="331"/>
    </row>
    <row r="328" spans="2:7" ht="25.5" x14ac:dyDescent="0.25">
      <c r="B328" s="254" t="s">
        <v>815</v>
      </c>
      <c r="C328" s="276" t="s">
        <v>728</v>
      </c>
      <c r="D328" s="260" t="s">
        <v>3</v>
      </c>
      <c r="E328" s="279">
        <v>4</v>
      </c>
      <c r="F328" s="233"/>
      <c r="G328" s="331"/>
    </row>
    <row r="329" spans="2:7" ht="51" x14ac:dyDescent="0.25">
      <c r="B329" s="254" t="s">
        <v>816</v>
      </c>
      <c r="C329" s="276" t="s">
        <v>730</v>
      </c>
      <c r="D329" s="260" t="s">
        <v>3</v>
      </c>
      <c r="E329" s="279">
        <v>4</v>
      </c>
      <c r="F329" s="233"/>
      <c r="G329" s="331"/>
    </row>
    <row r="330" spans="2:7" ht="15" x14ac:dyDescent="0.25">
      <c r="B330" s="254" t="s">
        <v>817</v>
      </c>
      <c r="C330" s="276" t="s">
        <v>732</v>
      </c>
      <c r="D330" s="260" t="s">
        <v>3</v>
      </c>
      <c r="E330" s="279">
        <v>10</v>
      </c>
      <c r="F330" s="233"/>
      <c r="G330" s="331"/>
    </row>
    <row r="331" spans="2:7" ht="25.5" x14ac:dyDescent="0.25">
      <c r="B331" s="254" t="s">
        <v>818</v>
      </c>
      <c r="C331" s="276" t="s">
        <v>734</v>
      </c>
      <c r="D331" s="260" t="s">
        <v>3</v>
      </c>
      <c r="E331" s="279">
        <v>10</v>
      </c>
      <c r="F331" s="233"/>
      <c r="G331" s="331"/>
    </row>
    <row r="332" spans="2:7" ht="38.25" x14ac:dyDescent="0.25">
      <c r="B332" s="254" t="s">
        <v>819</v>
      </c>
      <c r="C332" s="276" t="s">
        <v>736</v>
      </c>
      <c r="D332" s="260" t="s">
        <v>3</v>
      </c>
      <c r="E332" s="279">
        <v>1</v>
      </c>
      <c r="F332" s="233"/>
      <c r="G332" s="331"/>
    </row>
    <row r="333" spans="2:7" ht="25.5" x14ac:dyDescent="0.25">
      <c r="B333" s="254" t="s">
        <v>820</v>
      </c>
      <c r="C333" s="276" t="s">
        <v>738</v>
      </c>
      <c r="D333" s="260" t="s">
        <v>3</v>
      </c>
      <c r="E333" s="279">
        <v>11</v>
      </c>
      <c r="F333" s="233"/>
      <c r="G333" s="331"/>
    </row>
    <row r="334" spans="2:7" ht="38.25" x14ac:dyDescent="0.25">
      <c r="B334" s="254" t="s">
        <v>821</v>
      </c>
      <c r="C334" s="276" t="s">
        <v>822</v>
      </c>
      <c r="D334" s="260" t="s">
        <v>3</v>
      </c>
      <c r="E334" s="279">
        <v>1</v>
      </c>
      <c r="F334" s="233"/>
      <c r="G334" s="331"/>
    </row>
    <row r="335" spans="2:7" ht="25.5" x14ac:dyDescent="0.25">
      <c r="B335" s="254" t="s">
        <v>823</v>
      </c>
      <c r="C335" s="276" t="s">
        <v>742</v>
      </c>
      <c r="D335" s="260" t="s">
        <v>3</v>
      </c>
      <c r="E335" s="279">
        <v>11</v>
      </c>
      <c r="F335" s="233"/>
      <c r="G335" s="331"/>
    </row>
    <row r="336" spans="2:7" ht="25.5" x14ac:dyDescent="0.25">
      <c r="B336" s="254" t="s">
        <v>824</v>
      </c>
      <c r="C336" s="276" t="s">
        <v>744</v>
      </c>
      <c r="D336" s="260" t="s">
        <v>3</v>
      </c>
      <c r="E336" s="279">
        <v>21</v>
      </c>
      <c r="F336" s="233"/>
      <c r="G336" s="331"/>
    </row>
    <row r="337" spans="2:7" ht="15.75" thickBot="1" x14ac:dyDescent="0.3">
      <c r="B337" s="254"/>
      <c r="C337" s="276"/>
      <c r="D337" s="260"/>
      <c r="E337" s="279"/>
      <c r="F337" s="233"/>
      <c r="G337" s="331"/>
    </row>
    <row r="338" spans="2:7" ht="15.75" thickBot="1" x14ac:dyDescent="0.3">
      <c r="B338" s="315">
        <v>17</v>
      </c>
      <c r="C338" s="231" t="s">
        <v>825</v>
      </c>
      <c r="D338" s="231"/>
      <c r="E338" s="231"/>
      <c r="F338" s="231"/>
      <c r="G338" s="245"/>
    </row>
    <row r="339" spans="2:7" ht="25.5" x14ac:dyDescent="0.25">
      <c r="B339" s="254" t="s">
        <v>826</v>
      </c>
      <c r="C339" s="276" t="s">
        <v>827</v>
      </c>
      <c r="D339" s="260" t="s">
        <v>517</v>
      </c>
      <c r="E339" s="279">
        <v>1</v>
      </c>
      <c r="F339" s="233"/>
      <c r="G339" s="331"/>
    </row>
    <row r="340" spans="2:7" ht="15" x14ac:dyDescent="0.25">
      <c r="B340" s="254" t="s">
        <v>828</v>
      </c>
      <c r="C340" s="276" t="s">
        <v>829</v>
      </c>
      <c r="D340" s="260" t="s">
        <v>517</v>
      </c>
      <c r="E340" s="279">
        <v>1</v>
      </c>
      <c r="F340" s="233"/>
      <c r="G340" s="331"/>
    </row>
    <row r="341" spans="2:7" ht="15" x14ac:dyDescent="0.25">
      <c r="B341" s="254" t="s">
        <v>830</v>
      </c>
      <c r="C341" s="276" t="s">
        <v>831</v>
      </c>
      <c r="D341" s="260" t="s">
        <v>517</v>
      </c>
      <c r="E341" s="279">
        <v>1</v>
      </c>
      <c r="F341" s="233"/>
      <c r="G341" s="331"/>
    </row>
    <row r="342" spans="2:7" ht="15" thickBot="1" x14ac:dyDescent="0.3">
      <c r="B342" s="275"/>
      <c r="C342" s="276"/>
      <c r="D342" s="278"/>
      <c r="E342" s="279"/>
      <c r="F342" s="233"/>
      <c r="G342" s="331"/>
    </row>
    <row r="343" spans="2:7" ht="15.75" thickBot="1" x14ac:dyDescent="0.3">
      <c r="B343" s="315">
        <v>18</v>
      </c>
      <c r="C343" s="231" t="s">
        <v>832</v>
      </c>
      <c r="D343" s="231"/>
      <c r="E343" s="231"/>
      <c r="F343" s="231"/>
      <c r="G343" s="245"/>
    </row>
    <row r="344" spans="2:7" ht="38.25" x14ac:dyDescent="0.25">
      <c r="B344" s="264" t="s">
        <v>833</v>
      </c>
      <c r="C344" s="276" t="s">
        <v>834</v>
      </c>
      <c r="D344" s="278" t="s">
        <v>13</v>
      </c>
      <c r="E344" s="282">
        <v>750</v>
      </c>
      <c r="F344" s="233"/>
      <c r="G344" s="320"/>
    </row>
    <row r="345" spans="2:7" ht="15" thickBot="1" x14ac:dyDescent="0.3">
      <c r="B345" s="333"/>
      <c r="C345" s="334"/>
      <c r="D345" s="335"/>
      <c r="E345" s="336"/>
      <c r="F345" s="337"/>
      <c r="G345" s="338"/>
    </row>
    <row r="346" spans="2:7" ht="13.5" x14ac:dyDescent="0.25">
      <c r="B346" s="398" t="s">
        <v>75</v>
      </c>
      <c r="C346" s="399"/>
      <c r="D346" s="399"/>
      <c r="E346" s="399"/>
      <c r="F346" s="399"/>
      <c r="G346" s="400"/>
    </row>
    <row r="347" spans="2:7" ht="13.5" x14ac:dyDescent="0.25">
      <c r="B347" s="200"/>
      <c r="C347" s="203" t="s">
        <v>82</v>
      </c>
      <c r="D347" s="218"/>
      <c r="E347" s="394"/>
      <c r="F347" s="395"/>
      <c r="G347" s="217"/>
    </row>
    <row r="348" spans="2:7" ht="13.5" x14ac:dyDescent="0.25">
      <c r="B348" s="200"/>
      <c r="C348" s="203" t="s">
        <v>83</v>
      </c>
      <c r="D348" s="218"/>
      <c r="E348" s="396"/>
      <c r="F348" s="397"/>
      <c r="G348" s="201"/>
    </row>
    <row r="349" spans="2:7" ht="13.5" x14ac:dyDescent="0.25">
      <c r="B349" s="200"/>
      <c r="C349" s="203" t="s">
        <v>84</v>
      </c>
      <c r="D349" s="218"/>
      <c r="E349" s="394"/>
      <c r="F349" s="395"/>
      <c r="G349" s="201"/>
    </row>
    <row r="350" spans="2:7" ht="13.5" x14ac:dyDescent="0.25">
      <c r="B350" s="200"/>
      <c r="C350" s="203" t="s">
        <v>85</v>
      </c>
      <c r="D350" s="218"/>
      <c r="E350" s="394"/>
      <c r="F350" s="395"/>
      <c r="G350" s="201"/>
    </row>
    <row r="351" spans="2:7" ht="13.5" x14ac:dyDescent="0.25">
      <c r="B351" s="224"/>
      <c r="C351" s="379" t="s">
        <v>81</v>
      </c>
      <c r="D351" s="380"/>
      <c r="E351" s="380"/>
      <c r="F351" s="381"/>
      <c r="G351" s="225"/>
    </row>
    <row r="352" spans="2:7" ht="27" x14ac:dyDescent="0.25">
      <c r="B352" s="202" t="s">
        <v>208</v>
      </c>
      <c r="C352" s="223" t="s">
        <v>234</v>
      </c>
      <c r="D352" s="202"/>
      <c r="E352" s="382"/>
      <c r="F352" s="383"/>
    </row>
    <row r="353" spans="2:13" ht="13.5" x14ac:dyDescent="0.25">
      <c r="B353" s="204"/>
      <c r="C353" s="204"/>
      <c r="D353" s="204"/>
      <c r="E353" s="204"/>
      <c r="F353" s="204"/>
    </row>
    <row r="354" spans="2:13" ht="13.5" x14ac:dyDescent="0.25">
      <c r="B354" s="384" t="s">
        <v>235</v>
      </c>
      <c r="C354" s="385"/>
      <c r="D354" s="385"/>
      <c r="E354" s="385"/>
      <c r="F354" s="386"/>
    </row>
    <row r="355" spans="2:13" x14ac:dyDescent="0.25">
      <c r="I355" s="195"/>
      <c r="J355" s="195"/>
      <c r="K355" s="195"/>
      <c r="L355" s="195"/>
      <c r="M355" s="195"/>
    </row>
    <row r="356" spans="2:13" x14ac:dyDescent="0.25">
      <c r="H356" s="205"/>
    </row>
    <row r="357" spans="2:13" x14ac:dyDescent="0.25">
      <c r="H357" s="206"/>
    </row>
    <row r="358" spans="2:13" x14ac:dyDescent="0.25">
      <c r="H358" s="207"/>
    </row>
    <row r="359" spans="2:13" x14ac:dyDescent="0.25">
      <c r="H359" s="207"/>
    </row>
    <row r="360" spans="2:13" x14ac:dyDescent="0.25">
      <c r="H360" s="205"/>
    </row>
    <row r="361" spans="2:13" x14ac:dyDescent="0.25">
      <c r="H361" s="205"/>
    </row>
    <row r="362" spans="2:13" x14ac:dyDescent="0.25">
      <c r="H362" s="205"/>
    </row>
    <row r="363" spans="2:13" x14ac:dyDescent="0.25">
      <c r="H363" s="205"/>
    </row>
    <row r="364" spans="2:13" x14ac:dyDescent="0.25">
      <c r="H364" s="206"/>
    </row>
    <row r="365" spans="2:13" x14ac:dyDescent="0.25">
      <c r="H365" s="208"/>
    </row>
    <row r="366" spans="2:13" x14ac:dyDescent="0.25">
      <c r="H366" s="205"/>
    </row>
    <row r="367" spans="2:13" x14ac:dyDescent="0.25">
      <c r="H367" s="205"/>
    </row>
    <row r="368" spans="2:13" x14ac:dyDescent="0.25">
      <c r="H368" s="205"/>
    </row>
    <row r="369" spans="8:8" x14ac:dyDescent="0.25">
      <c r="H369" s="206"/>
    </row>
    <row r="370" spans="8:8" x14ac:dyDescent="0.25">
      <c r="H370" s="206"/>
    </row>
    <row r="371" spans="8:8" x14ac:dyDescent="0.25">
      <c r="H371" s="209"/>
    </row>
    <row r="373" spans="8:8" x14ac:dyDescent="0.25">
      <c r="H373" s="210"/>
    </row>
  </sheetData>
  <protectedRanges>
    <protectedRange sqref="G9:G10" name="Rango1_1"/>
    <protectedRange sqref="F15:F177 D16:D31 D35:D40 D43:D44 D47:D50 G49 G57 E58:E59 C49:C59 D57 E51:E56 D60:D97 D100:D112 F183:F342 D114:D342" name="Rango4_1_1"/>
    <protectedRange sqref="D347:D349" name="Rango3_1_1"/>
  </protectedRanges>
  <mergeCells count="17">
    <mergeCell ref="C351:F351"/>
    <mergeCell ref="E352:F352"/>
    <mergeCell ref="B354:F354"/>
    <mergeCell ref="C11:F11"/>
    <mergeCell ref="B12:G13"/>
    <mergeCell ref="C64:G64"/>
    <mergeCell ref="E347:F347"/>
    <mergeCell ref="E348:F348"/>
    <mergeCell ref="B346:G346"/>
    <mergeCell ref="E349:F349"/>
    <mergeCell ref="E350:F350"/>
    <mergeCell ref="B2:G3"/>
    <mergeCell ref="B6:G7"/>
    <mergeCell ref="B8:F8"/>
    <mergeCell ref="B9:F9"/>
    <mergeCell ref="B10:F10"/>
    <mergeCell ref="B5:G5"/>
  </mergeCells>
  <conditionalFormatting sqref="C233:C234 C197:C205 C207:C211 C213 C330 C332:C335 C219:C220 C114:C117 C243:C244 C247:C256 B244 C259:C267 C30:C39 C44:C48 C109 C70:C74 C65:C68 C119:C122 C102:C105 C237:C241 C292 C124 C50 C54:C59 C98:C100 C92:C96 C87:C90 C76:C85 C193 C344 C342 C128:C133 C311:C316 B309:C309 B246 B248 B250 B252 B254 B256 B311 B313 B315 B317 C61:C63 C320:C323 C52">
    <cfRule type="expression" dxfId="119" priority="122">
      <formula>AND(#REF!&lt;&gt;"")</formula>
    </cfRule>
  </conditionalFormatting>
  <conditionalFormatting sqref="C168">
    <cfRule type="expression" dxfId="118" priority="121">
      <formula>AND(#REF!&lt;&gt;"")</formula>
    </cfRule>
  </conditionalFormatting>
  <conditionalFormatting sqref="C110:C112 C107">
    <cfRule type="expression" dxfId="117" priority="120">
      <formula>AND(#REF!&lt;&gt;"")</formula>
    </cfRule>
  </conditionalFormatting>
  <conditionalFormatting sqref="C197">
    <cfRule type="expression" dxfId="116" priority="119">
      <formula>AND(#REF!&lt;&gt;"")</formula>
    </cfRule>
  </conditionalFormatting>
  <conditionalFormatting sqref="C233:C234">
    <cfRule type="expression" dxfId="115" priority="117">
      <formula>AND(#REF!&lt;&gt;"")</formula>
    </cfRule>
  </conditionalFormatting>
  <conditionalFormatting sqref="C285">
    <cfRule type="expression" dxfId="114" priority="116">
      <formula>AND(#REF!&lt;&gt;"")</formula>
    </cfRule>
  </conditionalFormatting>
  <conditionalFormatting sqref="C266:C267">
    <cfRule type="expression" dxfId="113" priority="115">
      <formula>AND(#REF!&lt;&gt;"")</formula>
    </cfRule>
  </conditionalFormatting>
  <conditionalFormatting sqref="C286:C293">
    <cfRule type="expression" dxfId="112" priority="114">
      <formula>AND(#REF!&lt;&gt;"")</formula>
    </cfRule>
  </conditionalFormatting>
  <conditionalFormatting sqref="C267">
    <cfRule type="expression" dxfId="111" priority="110">
      <formula>AND(#REF!&lt;&gt;"")</formula>
    </cfRule>
  </conditionalFormatting>
  <conditionalFormatting sqref="C236">
    <cfRule type="expression" dxfId="110" priority="105">
      <formula>AND(#REF!&lt;&gt;"")</formula>
    </cfRule>
  </conditionalFormatting>
  <conditionalFormatting sqref="C321">
    <cfRule type="expression" dxfId="109" priority="113">
      <formula>AND(#REF!&lt;&gt;"")</formula>
    </cfRule>
  </conditionalFormatting>
  <conditionalFormatting sqref="C323">
    <cfRule type="expression" dxfId="108" priority="112">
      <formula>AND(#REF!&lt;&gt;"")</formula>
    </cfRule>
  </conditionalFormatting>
  <conditionalFormatting sqref="C308:C309 C311">
    <cfRule type="expression" dxfId="107" priority="111">
      <formula>AND(#REF!&lt;&gt;"")</formula>
    </cfRule>
  </conditionalFormatting>
  <conditionalFormatting sqref="C305:C306">
    <cfRule type="expression" dxfId="106" priority="109">
      <formula>AND(#REF!&lt;&gt;"")</formula>
    </cfRule>
  </conditionalFormatting>
  <conditionalFormatting sqref="C322">
    <cfRule type="expression" dxfId="105" priority="108">
      <formula>AND(#REF!&lt;&gt;"")</formula>
    </cfRule>
  </conditionalFormatting>
  <conditionalFormatting sqref="C235">
    <cfRule type="expression" dxfId="104" priority="107">
      <formula>AND(#REF!&lt;&gt;"")</formula>
    </cfRule>
  </conditionalFormatting>
  <conditionalFormatting sqref="C236">
    <cfRule type="expression" dxfId="103" priority="104">
      <formula>AND(#REF!&lt;&gt;"")</formula>
    </cfRule>
  </conditionalFormatting>
  <conditionalFormatting sqref="C235">
    <cfRule type="expression" dxfId="102" priority="106">
      <formula>AND(#REF!&lt;&gt;"")</formula>
    </cfRule>
  </conditionalFormatting>
  <conditionalFormatting sqref="C301">
    <cfRule type="expression" dxfId="101" priority="101">
      <formula>AND(#REF!&lt;&gt;"")</formula>
    </cfRule>
  </conditionalFormatting>
  <conditionalFormatting sqref="C301">
    <cfRule type="expression" dxfId="100" priority="100">
      <formula>AND(#REF!&lt;&gt;"")</formula>
    </cfRule>
  </conditionalFormatting>
  <conditionalFormatting sqref="C300">
    <cfRule type="expression" dxfId="99" priority="103">
      <formula>AND(#REF!&lt;&gt;"")</formula>
    </cfRule>
  </conditionalFormatting>
  <conditionalFormatting sqref="C300">
    <cfRule type="expression" dxfId="98" priority="102">
      <formula>AND(#REF!&lt;&gt;"")</formula>
    </cfRule>
  </conditionalFormatting>
  <conditionalFormatting sqref="C319">
    <cfRule type="expression" dxfId="97" priority="99">
      <formula>AND(#REF!&lt;&gt;"")</formula>
    </cfRule>
  </conditionalFormatting>
  <conditionalFormatting sqref="C319">
    <cfRule type="expression" dxfId="96" priority="98">
      <formula>AND(#REF!&lt;&gt;"")</formula>
    </cfRule>
  </conditionalFormatting>
  <conditionalFormatting sqref="C306">
    <cfRule type="expression" dxfId="95" priority="97">
      <formula>AND(#REF!&lt;&gt;"")</formula>
    </cfRule>
  </conditionalFormatting>
  <conditionalFormatting sqref="B308:C308 C311 C309 B310 B312 B314 B316">
    <cfRule type="expression" dxfId="94" priority="96">
      <formula>AND(#REF!&lt;&gt;"")</formula>
    </cfRule>
  </conditionalFormatting>
  <conditionalFormatting sqref="C206">
    <cfRule type="expression" dxfId="93" priority="95">
      <formula>AND(#REF!&lt;&gt;"")</formula>
    </cfRule>
  </conditionalFormatting>
  <conditionalFormatting sqref="C212">
    <cfRule type="expression" dxfId="92" priority="94">
      <formula>AND(#REF!&lt;&gt;"")</formula>
    </cfRule>
  </conditionalFormatting>
  <conditionalFormatting sqref="C215">
    <cfRule type="expression" dxfId="91" priority="93">
      <formula>AND(#REF!&lt;&gt;"")</formula>
    </cfRule>
  </conditionalFormatting>
  <conditionalFormatting sqref="C215">
    <cfRule type="expression" dxfId="90" priority="92">
      <formula>AND(#REF!&lt;&gt;"")</formula>
    </cfRule>
  </conditionalFormatting>
  <conditionalFormatting sqref="C215">
    <cfRule type="expression" dxfId="89" priority="91">
      <formula>AND(#REF!&lt;&gt;"")</formula>
    </cfRule>
  </conditionalFormatting>
  <conditionalFormatting sqref="C216">
    <cfRule type="expression" dxfId="88" priority="90">
      <formula>AND(#REF!&lt;&gt;"")</formula>
    </cfRule>
  </conditionalFormatting>
  <conditionalFormatting sqref="C216">
    <cfRule type="expression" dxfId="87" priority="89">
      <formula>AND(#REF!&lt;&gt;"")</formula>
    </cfRule>
  </conditionalFormatting>
  <conditionalFormatting sqref="C216">
    <cfRule type="expression" dxfId="86" priority="88">
      <formula>AND(#REF!&lt;&gt;"")</formula>
    </cfRule>
  </conditionalFormatting>
  <conditionalFormatting sqref="C217">
    <cfRule type="expression" dxfId="85" priority="87">
      <formula>AND(#REF!&lt;&gt;"")</formula>
    </cfRule>
  </conditionalFormatting>
  <conditionalFormatting sqref="C217">
    <cfRule type="expression" dxfId="84" priority="86">
      <formula>AND(#REF!&lt;&gt;"")</formula>
    </cfRule>
  </conditionalFormatting>
  <conditionalFormatting sqref="C217">
    <cfRule type="expression" dxfId="83" priority="85">
      <formula>AND(#REF!&lt;&gt;"")</formula>
    </cfRule>
  </conditionalFormatting>
  <conditionalFormatting sqref="C218">
    <cfRule type="expression" dxfId="82" priority="84">
      <formula>AND(#REF!&lt;&gt;"")</formula>
    </cfRule>
  </conditionalFormatting>
  <conditionalFormatting sqref="C218">
    <cfRule type="expression" dxfId="81" priority="83">
      <formula>AND(#REF!&lt;&gt;"")</formula>
    </cfRule>
  </conditionalFormatting>
  <conditionalFormatting sqref="C218">
    <cfRule type="expression" dxfId="80" priority="82">
      <formula>AND(#REF!&lt;&gt;"")</formula>
    </cfRule>
  </conditionalFormatting>
  <conditionalFormatting sqref="C302">
    <cfRule type="expression" dxfId="79" priority="81">
      <formula>AND(#REF!&lt;&gt;"")</formula>
    </cfRule>
  </conditionalFormatting>
  <conditionalFormatting sqref="C302">
    <cfRule type="expression" dxfId="78" priority="80">
      <formula>AND(#REF!&lt;&gt;"")</formula>
    </cfRule>
  </conditionalFormatting>
  <conditionalFormatting sqref="C302">
    <cfRule type="expression" dxfId="77" priority="79">
      <formula>AND(#REF!&lt;&gt;"")</formula>
    </cfRule>
  </conditionalFormatting>
  <conditionalFormatting sqref="C303">
    <cfRule type="expression" dxfId="76" priority="77">
      <formula>AND(#REF!&lt;&gt;"")</formula>
    </cfRule>
  </conditionalFormatting>
  <conditionalFormatting sqref="C303">
    <cfRule type="expression" dxfId="75" priority="78">
      <formula>AND(#REF!&lt;&gt;"")</formula>
    </cfRule>
  </conditionalFormatting>
  <conditionalFormatting sqref="C303">
    <cfRule type="expression" dxfId="74" priority="76">
      <formula>AND(#REF!&lt;&gt;"")</formula>
    </cfRule>
  </conditionalFormatting>
  <conditionalFormatting sqref="C304">
    <cfRule type="expression" dxfId="73" priority="72">
      <formula>AND(#REF!&lt;&gt;"")</formula>
    </cfRule>
  </conditionalFormatting>
  <conditionalFormatting sqref="C304">
    <cfRule type="expression" dxfId="72" priority="71">
      <formula>AND(#REF!&lt;&gt;"")</formula>
    </cfRule>
  </conditionalFormatting>
  <conditionalFormatting sqref="C310">
    <cfRule type="expression" dxfId="71" priority="70">
      <formula>AND(#REF!&lt;&gt;"")</formula>
    </cfRule>
  </conditionalFormatting>
  <conditionalFormatting sqref="C310">
    <cfRule type="expression" dxfId="70" priority="69">
      <formula>AND(#REF!&lt;&gt;"")</formula>
    </cfRule>
  </conditionalFormatting>
  <conditionalFormatting sqref="C331">
    <cfRule type="expression" dxfId="69" priority="75">
      <formula>AND(#REF!&lt;&gt;"")</formula>
    </cfRule>
  </conditionalFormatting>
  <conditionalFormatting sqref="C336:C337 C339:C341">
    <cfRule type="expression" dxfId="68" priority="74">
      <formula>AND(#REF!&lt;&gt;"")</formula>
    </cfRule>
  </conditionalFormatting>
  <conditionalFormatting sqref="C304">
    <cfRule type="expression" dxfId="67" priority="73">
      <formula>AND(#REF!&lt;&gt;"")</formula>
    </cfRule>
  </conditionalFormatting>
  <conditionalFormatting sqref="C310">
    <cfRule type="expression" dxfId="66" priority="68">
      <formula>AND(#REF!&lt;&gt;"")</formula>
    </cfRule>
  </conditionalFormatting>
  <conditionalFormatting sqref="C325">
    <cfRule type="expression" dxfId="65" priority="66">
      <formula>AND(#REF!&lt;&gt;"")</formula>
    </cfRule>
  </conditionalFormatting>
  <conditionalFormatting sqref="C326">
    <cfRule type="expression" dxfId="64" priority="65">
      <formula>AND(#REF!&lt;&gt;"")</formula>
    </cfRule>
  </conditionalFormatting>
  <conditionalFormatting sqref="C325">
    <cfRule type="expression" dxfId="63" priority="67">
      <formula>AND(#REF!&lt;&gt;"")</formula>
    </cfRule>
  </conditionalFormatting>
  <conditionalFormatting sqref="C326">
    <cfRule type="expression" dxfId="62" priority="64">
      <formula>AND(#REF!&lt;&gt;"")</formula>
    </cfRule>
  </conditionalFormatting>
  <conditionalFormatting sqref="C329">
    <cfRule type="expression" dxfId="61" priority="63">
      <formula>AND(#REF!&lt;&gt;"")</formula>
    </cfRule>
  </conditionalFormatting>
  <conditionalFormatting sqref="C329">
    <cfRule type="expression" dxfId="60" priority="62">
      <formula>AND(#REF!&lt;&gt;"")</formula>
    </cfRule>
  </conditionalFormatting>
  <conditionalFormatting sqref="B243:C243 C244 B245 B247 B249 B251 B253 B255">
    <cfRule type="expression" dxfId="59" priority="61">
      <formula>AND(#REF!&lt;&gt;"")</formula>
    </cfRule>
  </conditionalFormatting>
  <conditionalFormatting sqref="C245">
    <cfRule type="expression" dxfId="58" priority="60">
      <formula>AND(#REF!&lt;&gt;"")</formula>
    </cfRule>
  </conditionalFormatting>
  <conditionalFormatting sqref="C245 C247:C249">
    <cfRule type="expression" dxfId="57" priority="59">
      <formula>AND(#REF!&lt;&gt;"")</formula>
    </cfRule>
  </conditionalFormatting>
  <conditionalFormatting sqref="C245 C247:C249">
    <cfRule type="expression" dxfId="56" priority="58">
      <formula>AND(#REF!&lt;&gt;"")</formula>
    </cfRule>
  </conditionalFormatting>
  <conditionalFormatting sqref="C246">
    <cfRule type="expression" dxfId="55" priority="57">
      <formula>AND(#REF!&lt;&gt;"")</formula>
    </cfRule>
  </conditionalFormatting>
  <conditionalFormatting sqref="C246">
    <cfRule type="expression" dxfId="54" priority="56">
      <formula>AND(#REF!&lt;&gt;"")</formula>
    </cfRule>
  </conditionalFormatting>
  <conditionalFormatting sqref="C246">
    <cfRule type="expression" dxfId="53" priority="55">
      <formula>AND(#REF!&lt;&gt;"")</formula>
    </cfRule>
  </conditionalFormatting>
  <conditionalFormatting sqref="C221:C222">
    <cfRule type="expression" dxfId="52" priority="54">
      <formula>AND(#REF!&lt;&gt;"")</formula>
    </cfRule>
  </conditionalFormatting>
  <conditionalFormatting sqref="C261">
    <cfRule type="expression" dxfId="51" priority="53">
      <formula>AND(#REF!&lt;&gt;"")</formula>
    </cfRule>
  </conditionalFormatting>
  <conditionalFormatting sqref="C262">
    <cfRule type="expression" dxfId="50" priority="52">
      <formula>AND(#REF!&lt;&gt;"")</formula>
    </cfRule>
  </conditionalFormatting>
  <conditionalFormatting sqref="C258">
    <cfRule type="expression" dxfId="49" priority="51">
      <formula>AND(#REF!&lt;&gt;"")</formula>
    </cfRule>
  </conditionalFormatting>
  <conditionalFormatting sqref="C258">
    <cfRule type="expression" dxfId="48" priority="50">
      <formula>AND(#REF!&lt;&gt;"")</formula>
    </cfRule>
  </conditionalFormatting>
  <conditionalFormatting sqref="C297">
    <cfRule type="expression" dxfId="47" priority="49">
      <formula>AND(#REF!&lt;&gt;"")</formula>
    </cfRule>
  </conditionalFormatting>
  <conditionalFormatting sqref="C297">
    <cfRule type="expression" dxfId="46" priority="48">
      <formula>AND(#REF!&lt;&gt;"")</formula>
    </cfRule>
  </conditionalFormatting>
  <conditionalFormatting sqref="C298">
    <cfRule type="expression" dxfId="45" priority="47">
      <formula>AND(#REF!&lt;&gt;"")</formula>
    </cfRule>
  </conditionalFormatting>
  <conditionalFormatting sqref="C298">
    <cfRule type="expression" dxfId="44" priority="46">
      <formula>AND(#REF!&lt;&gt;"")</formula>
    </cfRule>
  </conditionalFormatting>
  <conditionalFormatting sqref="C299">
    <cfRule type="expression" dxfId="43" priority="45">
      <formula>AND(#REF!&lt;&gt;"")</formula>
    </cfRule>
  </conditionalFormatting>
  <conditionalFormatting sqref="C299">
    <cfRule type="expression" dxfId="42" priority="44">
      <formula>AND(#REF!&lt;&gt;"")</formula>
    </cfRule>
  </conditionalFormatting>
  <conditionalFormatting sqref="C277 C279:C282">
    <cfRule type="expression" dxfId="41" priority="42">
      <formula>AND(#REF!&lt;&gt;"")</formula>
    </cfRule>
  </conditionalFormatting>
  <conditionalFormatting sqref="C278">
    <cfRule type="expression" dxfId="40" priority="41">
      <formula>AND(#REF!&lt;&gt;"")</formula>
    </cfRule>
  </conditionalFormatting>
  <conditionalFormatting sqref="C283:C284">
    <cfRule type="expression" dxfId="39" priority="40">
      <formula>AND(#REF!&lt;&gt;"")</formula>
    </cfRule>
  </conditionalFormatting>
  <conditionalFormatting sqref="C270">
    <cfRule type="expression" dxfId="38" priority="38">
      <formula>AND(#REF!&lt;&gt;"")</formula>
    </cfRule>
  </conditionalFormatting>
  <conditionalFormatting sqref="C272">
    <cfRule type="expression" dxfId="37" priority="37">
      <formula>AND(#REF!&lt;&gt;"")</formula>
    </cfRule>
  </conditionalFormatting>
  <conditionalFormatting sqref="C270">
    <cfRule type="expression" dxfId="36" priority="39">
      <formula>AND(#REF!&lt;&gt;"")</formula>
    </cfRule>
  </conditionalFormatting>
  <conditionalFormatting sqref="C272">
    <cfRule type="expression" dxfId="35" priority="36">
      <formula>AND(#REF!&lt;&gt;"")</formula>
    </cfRule>
  </conditionalFormatting>
  <conditionalFormatting sqref="C274">
    <cfRule type="expression" dxfId="34" priority="35">
      <formula>AND(#REF!&lt;&gt;"")</formula>
    </cfRule>
  </conditionalFormatting>
  <conditionalFormatting sqref="C274">
    <cfRule type="expression" dxfId="33" priority="34">
      <formula>AND(#REF!&lt;&gt;"")</formula>
    </cfRule>
  </conditionalFormatting>
  <conditionalFormatting sqref="C276">
    <cfRule type="expression" dxfId="32" priority="33">
      <formula>AND(#REF!&lt;&gt;"")</formula>
    </cfRule>
  </conditionalFormatting>
  <conditionalFormatting sqref="C276">
    <cfRule type="expression" dxfId="31" priority="32">
      <formula>AND(#REF!&lt;&gt;"")</formula>
    </cfRule>
  </conditionalFormatting>
  <conditionalFormatting sqref="C271">
    <cfRule type="expression" dxfId="30" priority="30">
      <formula>AND(#REF!&lt;&gt;"")</formula>
    </cfRule>
  </conditionalFormatting>
  <conditionalFormatting sqref="C271">
    <cfRule type="expression" dxfId="29" priority="31">
      <formula>AND(#REF!&lt;&gt;"")</formula>
    </cfRule>
  </conditionalFormatting>
  <conditionalFormatting sqref="C273">
    <cfRule type="expression" dxfId="28" priority="29">
      <formula>AND(#REF!&lt;&gt;"")</formula>
    </cfRule>
  </conditionalFormatting>
  <conditionalFormatting sqref="C273">
    <cfRule type="expression" dxfId="27" priority="28">
      <formula>AND(#REF!&lt;&gt;"")</formula>
    </cfRule>
  </conditionalFormatting>
  <conditionalFormatting sqref="C275">
    <cfRule type="expression" dxfId="26" priority="27">
      <formula>AND(#REF!&lt;&gt;"")</formula>
    </cfRule>
  </conditionalFormatting>
  <conditionalFormatting sqref="C275">
    <cfRule type="expression" dxfId="25" priority="26">
      <formula>AND(#REF!&lt;&gt;"")</formula>
    </cfRule>
  </conditionalFormatting>
  <conditionalFormatting sqref="C223 C226:C227">
    <cfRule type="expression" dxfId="24" priority="25">
      <formula>AND(#REF!&lt;&gt;"")</formula>
    </cfRule>
  </conditionalFormatting>
  <conditionalFormatting sqref="C228:C231">
    <cfRule type="expression" dxfId="23" priority="24">
      <formula>AND(#REF!&lt;&gt;"")</formula>
    </cfRule>
  </conditionalFormatting>
  <conditionalFormatting sqref="C224:C225">
    <cfRule type="expression" dxfId="22" priority="23">
      <formula>AND(#REF!&lt;&gt;"")</formula>
    </cfRule>
  </conditionalFormatting>
  <conditionalFormatting sqref="C268">
    <cfRule type="expression" dxfId="21" priority="22">
      <formula>AND(#REF!&lt;&gt;"")</formula>
    </cfRule>
  </conditionalFormatting>
  <conditionalFormatting sqref="C214">
    <cfRule type="expression" dxfId="20" priority="21">
      <formula>AND(#REF!&lt;&gt;"")</formula>
    </cfRule>
  </conditionalFormatting>
  <conditionalFormatting sqref="C126">
    <cfRule type="expression" dxfId="19" priority="20">
      <formula>AND(#REF!&lt;&gt;"")</formula>
    </cfRule>
  </conditionalFormatting>
  <conditionalFormatting sqref="C293">
    <cfRule type="expression" dxfId="18" priority="19">
      <formula>AND(#REF!&lt;&gt;"")</formula>
    </cfRule>
  </conditionalFormatting>
  <conditionalFormatting sqref="C293">
    <cfRule type="expression" dxfId="17" priority="18">
      <formula>AND(#REF!&lt;&gt;"")</formula>
    </cfRule>
  </conditionalFormatting>
  <conditionalFormatting sqref="C294">
    <cfRule type="expression" dxfId="16" priority="17">
      <formula>AND(#REF!&lt;&gt;"")</formula>
    </cfRule>
  </conditionalFormatting>
  <conditionalFormatting sqref="C294">
    <cfRule type="expression" dxfId="15" priority="16">
      <formula>AND(#REF!&lt;&gt;"")</formula>
    </cfRule>
  </conditionalFormatting>
  <conditionalFormatting sqref="C294">
    <cfRule type="expression" dxfId="14" priority="15">
      <formula>AND(#REF!&lt;&gt;"")</formula>
    </cfRule>
  </conditionalFormatting>
  <conditionalFormatting sqref="C123">
    <cfRule type="expression" dxfId="13" priority="14">
      <formula>AND(#REF!&lt;&gt;"")</formula>
    </cfRule>
  </conditionalFormatting>
  <conditionalFormatting sqref="C134 C136">
    <cfRule type="expression" dxfId="12" priority="13">
      <formula>AND(#REF!&lt;&gt;"")</formula>
    </cfRule>
  </conditionalFormatting>
  <conditionalFormatting sqref="C135">
    <cfRule type="expression" dxfId="11" priority="12">
      <formula>AND(#REF!&lt;&gt;"")</formula>
    </cfRule>
  </conditionalFormatting>
  <conditionalFormatting sqref="C49">
    <cfRule type="expression" dxfId="10" priority="11">
      <formula>AND(#REF!&lt;&gt;"")</formula>
    </cfRule>
  </conditionalFormatting>
  <conditionalFormatting sqref="C17">
    <cfRule type="expression" dxfId="9" priority="10">
      <formula>AND(#REF!&lt;&gt;"")</formula>
    </cfRule>
  </conditionalFormatting>
  <conditionalFormatting sqref="C16">
    <cfRule type="expression" dxfId="8" priority="9">
      <formula>AND(#REF!&lt;&gt;"")</formula>
    </cfRule>
  </conditionalFormatting>
  <conditionalFormatting sqref="C127">
    <cfRule type="expression" dxfId="7" priority="8">
      <formula>AND(#REF!&lt;&gt;"")</formula>
    </cfRule>
  </conditionalFormatting>
  <conditionalFormatting sqref="C125">
    <cfRule type="expression" dxfId="6" priority="7">
      <formula>AND(#REF!&lt;&gt;"")</formula>
    </cfRule>
  </conditionalFormatting>
  <conditionalFormatting sqref="C138:C139">
    <cfRule type="expression" dxfId="5" priority="6">
      <formula>AND(#REF!&lt;&gt;"")</formula>
    </cfRule>
  </conditionalFormatting>
  <conditionalFormatting sqref="C317">
    <cfRule type="expression" dxfId="4" priority="5">
      <formula>AND(#REF!&lt;&gt;"")</formula>
    </cfRule>
  </conditionalFormatting>
  <conditionalFormatting sqref="C328">
    <cfRule type="expression" dxfId="3" priority="4">
      <formula>AND(#REF!&lt;&gt;"")</formula>
    </cfRule>
  </conditionalFormatting>
  <conditionalFormatting sqref="C328">
    <cfRule type="expression" dxfId="2" priority="3">
      <formula>AND(#REF!&lt;&gt;"")</formula>
    </cfRule>
  </conditionalFormatting>
  <conditionalFormatting sqref="C327">
    <cfRule type="expression" dxfId="1" priority="2">
      <formula>AND(#REF!&lt;&gt;"")</formula>
    </cfRule>
  </conditionalFormatting>
  <conditionalFormatting sqref="C327">
    <cfRule type="expression" dxfId="0" priority="1">
      <formula>AND(#REF!&lt;&gt;"")</formula>
    </cfRule>
  </conditionalFormatting>
  <pageMargins left="0.70866141732283472" right="0.70866141732283472" top="0.74803149606299213" bottom="0.74803149606299213" header="0.31496062992125984" footer="0.31496062992125984"/>
  <pageSetup scale="1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G8"/>
  <sheetViews>
    <sheetView workbookViewId="0">
      <selection activeCell="E6" sqref="E6"/>
    </sheetView>
  </sheetViews>
  <sheetFormatPr baseColWidth="10" defaultRowHeight="15" x14ac:dyDescent="0.25"/>
  <cols>
    <col min="1" max="1" width="6.140625" customWidth="1"/>
    <col min="2" max="2" width="33.140625" customWidth="1"/>
    <col min="3" max="3" width="23.42578125" customWidth="1"/>
    <col min="4" max="4" width="17.85546875" customWidth="1"/>
    <col min="5" max="5" width="18.28515625" customWidth="1"/>
    <col min="8" max="8" width="13.140625" bestFit="1" customWidth="1"/>
  </cols>
  <sheetData>
    <row r="2" spans="1:7" ht="24.75" customHeight="1" x14ac:dyDescent="0.25">
      <c r="A2" s="401" t="s">
        <v>213</v>
      </c>
      <c r="B2" s="401"/>
      <c r="C2" s="401"/>
      <c r="D2" s="401"/>
      <c r="E2" s="401"/>
    </row>
    <row r="3" spans="1:7" ht="48.75" customHeight="1" x14ac:dyDescent="0.25">
      <c r="A3" s="401"/>
      <c r="B3" s="401"/>
      <c r="C3" s="401"/>
      <c r="D3" s="401"/>
      <c r="E3" s="401"/>
    </row>
    <row r="5" spans="1:7" ht="43.5" customHeight="1" x14ac:dyDescent="0.25">
      <c r="A5" s="211" t="s">
        <v>88</v>
      </c>
      <c r="B5" s="211" t="s">
        <v>89</v>
      </c>
      <c r="C5" s="211" t="s">
        <v>209</v>
      </c>
      <c r="D5" s="211" t="s">
        <v>238</v>
      </c>
      <c r="E5" s="211" t="s">
        <v>239</v>
      </c>
    </row>
    <row r="6" spans="1:7" ht="59.25" customHeight="1" x14ac:dyDescent="0.25">
      <c r="A6" s="212" t="s">
        <v>69</v>
      </c>
      <c r="B6" s="213" t="s">
        <v>236</v>
      </c>
      <c r="C6" s="109"/>
      <c r="D6" s="109"/>
      <c r="E6" s="109"/>
    </row>
    <row r="7" spans="1:7" ht="51" customHeight="1" x14ac:dyDescent="0.25">
      <c r="A7" s="212" t="s">
        <v>210</v>
      </c>
      <c r="B7" s="213" t="s">
        <v>237</v>
      </c>
      <c r="C7" s="214"/>
      <c r="D7" s="109"/>
      <c r="E7" s="109"/>
    </row>
    <row r="8" spans="1:7" ht="29.25" customHeight="1" x14ac:dyDescent="0.25">
      <c r="A8" s="215" t="s">
        <v>211</v>
      </c>
      <c r="B8" s="402" t="s">
        <v>212</v>
      </c>
      <c r="C8" s="403"/>
      <c r="D8" s="404"/>
      <c r="E8" s="216"/>
      <c r="G8" s="114"/>
    </row>
  </sheetData>
  <protectedRanges>
    <protectedRange sqref="C6:C7" name="Rango1"/>
  </protectedRanges>
  <mergeCells count="2">
    <mergeCell ref="A2:E3"/>
    <mergeCell ref="B8:D8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8"/>
  <sheetViews>
    <sheetView workbookViewId="0">
      <selection activeCell="D10" sqref="D10"/>
    </sheetView>
  </sheetViews>
  <sheetFormatPr baseColWidth="10" defaultRowHeight="15" x14ac:dyDescent="0.25"/>
  <cols>
    <col min="1" max="1" width="51.140625" customWidth="1"/>
    <col min="2" max="2" width="27" customWidth="1"/>
    <col min="3" max="3" width="16.42578125" bestFit="1" customWidth="1"/>
    <col min="4" max="4" width="17" customWidth="1"/>
    <col min="5" max="5" width="15.42578125" customWidth="1"/>
    <col min="6" max="6" width="16.28515625" customWidth="1"/>
  </cols>
  <sheetData>
    <row r="1" spans="1:6" x14ac:dyDescent="0.25">
      <c r="A1" s="211" t="s">
        <v>2</v>
      </c>
      <c r="B1" s="211" t="s">
        <v>221</v>
      </c>
    </row>
    <row r="2" spans="1:6" x14ac:dyDescent="0.25">
      <c r="A2" s="212" t="s">
        <v>219</v>
      </c>
      <c r="B2" s="214">
        <v>1069148147</v>
      </c>
    </row>
    <row r="3" spans="1:6" x14ac:dyDescent="0.25">
      <c r="A3" s="212" t="s">
        <v>220</v>
      </c>
      <c r="B3" s="214">
        <v>126206000</v>
      </c>
    </row>
    <row r="4" spans="1:6" x14ac:dyDescent="0.25">
      <c r="A4" s="212" t="s">
        <v>222</v>
      </c>
      <c r="B4" s="221">
        <f>+B2+B3</f>
        <v>1195354147</v>
      </c>
    </row>
    <row r="6" spans="1:6" ht="24" customHeight="1" x14ac:dyDescent="0.25">
      <c r="A6" s="211" t="s">
        <v>214</v>
      </c>
      <c r="B6" s="211" t="s">
        <v>223</v>
      </c>
      <c r="C6" s="211" t="s">
        <v>215</v>
      </c>
    </row>
    <row r="7" spans="1:6" ht="27" x14ac:dyDescent="0.25">
      <c r="A7" s="212" t="s">
        <v>218</v>
      </c>
      <c r="B7" s="220">
        <v>893893675</v>
      </c>
      <c r="C7" s="220">
        <v>893893675.20000005</v>
      </c>
    </row>
    <row r="8" spans="1:6" x14ac:dyDescent="0.25">
      <c r="A8" s="212" t="s">
        <v>216</v>
      </c>
      <c r="B8" s="214">
        <v>234694428</v>
      </c>
      <c r="C8" s="214">
        <v>234694428</v>
      </c>
    </row>
    <row r="9" spans="1:6" ht="27" x14ac:dyDescent="0.25">
      <c r="A9" s="212" t="s">
        <v>217</v>
      </c>
      <c r="B9" s="214">
        <v>66766044</v>
      </c>
      <c r="C9" s="214">
        <v>84634756</v>
      </c>
    </row>
    <row r="10" spans="1:6" x14ac:dyDescent="0.25">
      <c r="A10" s="212" t="s">
        <v>224</v>
      </c>
      <c r="B10" s="221">
        <f>+B7+B8+B9</f>
        <v>1195354147</v>
      </c>
      <c r="C10" s="219"/>
      <c r="D10" s="219"/>
    </row>
    <row r="14" spans="1:6" x14ac:dyDescent="0.25">
      <c r="A14" s="405" t="s">
        <v>2</v>
      </c>
      <c r="B14" s="405" t="s">
        <v>225</v>
      </c>
      <c r="C14" s="405" t="s">
        <v>226</v>
      </c>
      <c r="D14" s="405"/>
      <c r="E14" s="405"/>
      <c r="F14" s="405" t="s">
        <v>227</v>
      </c>
    </row>
    <row r="15" spans="1:6" ht="44.25" customHeight="1" x14ac:dyDescent="0.25">
      <c r="A15" s="405"/>
      <c r="B15" s="405"/>
      <c r="C15" s="222" t="s">
        <v>228</v>
      </c>
      <c r="D15" s="222" t="s">
        <v>229</v>
      </c>
      <c r="E15" s="222" t="s">
        <v>230</v>
      </c>
      <c r="F15" s="405"/>
    </row>
    <row r="16" spans="1:6" x14ac:dyDescent="0.25">
      <c r="A16" s="212" t="s">
        <v>219</v>
      </c>
      <c r="B16" s="109">
        <v>1069148147</v>
      </c>
      <c r="C16" s="109">
        <v>234694428</v>
      </c>
      <c r="D16" s="109">
        <v>834453719</v>
      </c>
      <c r="E16" s="109"/>
      <c r="F16" s="109">
        <f>+C16+D16+E16</f>
        <v>1069148147</v>
      </c>
    </row>
    <row r="17" spans="1:6" x14ac:dyDescent="0.25">
      <c r="A17" s="212" t="s">
        <v>231</v>
      </c>
      <c r="B17" s="109">
        <v>126206000</v>
      </c>
      <c r="C17" s="109"/>
      <c r="D17" s="109">
        <v>59439956</v>
      </c>
      <c r="E17" s="109">
        <v>66766044</v>
      </c>
      <c r="F17" s="109">
        <f>+C17+D17+E17</f>
        <v>126206000</v>
      </c>
    </row>
    <row r="18" spans="1:6" x14ac:dyDescent="0.25">
      <c r="A18" s="211" t="s">
        <v>232</v>
      </c>
      <c r="B18" s="222">
        <v>1195354147</v>
      </c>
      <c r="C18" s="222">
        <f>SUM(C16:C17)</f>
        <v>234694428</v>
      </c>
      <c r="D18" s="222">
        <f t="shared" ref="D18:F18" si="0">SUM(D16:D17)</f>
        <v>893893675</v>
      </c>
      <c r="E18" s="222">
        <f t="shared" si="0"/>
        <v>66766044</v>
      </c>
      <c r="F18" s="222">
        <f t="shared" si="0"/>
        <v>1195354147</v>
      </c>
    </row>
  </sheetData>
  <protectedRanges>
    <protectedRange sqref="B7:C9" name="Rango1"/>
  </protectedRanges>
  <mergeCells count="4">
    <mergeCell ref="A14:A15"/>
    <mergeCell ref="B14:B15"/>
    <mergeCell ref="C14:E14"/>
    <mergeCell ref="F14:F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plazoleta ELV</vt:lpstr>
      <vt:lpstr>parqueadero ELV</vt:lpstr>
      <vt:lpstr>REV ELV</vt:lpstr>
      <vt:lpstr>Hoja1 luz</vt:lpstr>
      <vt:lpstr>Hoja2</vt:lpstr>
      <vt:lpstr>FORMATO 4 OBRA</vt:lpstr>
      <vt:lpstr>FORMAT 4 INTERV.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MARINA SANJUAN DURAN</dc:creator>
  <cp:lastModifiedBy>Cristian Bula Peña</cp:lastModifiedBy>
  <cp:lastPrinted>2020-01-29T15:05:04Z</cp:lastPrinted>
  <dcterms:created xsi:type="dcterms:W3CDTF">2019-10-07T15:03:41Z</dcterms:created>
  <dcterms:modified xsi:type="dcterms:W3CDTF">2022-04-12T17:55:55Z</dcterms:modified>
</cp:coreProperties>
</file>