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INDETER\PATRIMONIO AUTONOMO 2022\CON4262 ESTUDIO PREVIO OBRA BUCARAMANGA-MINDEPORTE\Ultimas versiones\"/>
    </mc:Choice>
  </mc:AlternateContent>
  <xr:revisionPtr revIDLastSave="0" documentId="8_{CCD2A468-2932-4BC5-824E-B3BC134BE4BC}" xr6:coauthVersionLast="47" xr6:coauthVersionMax="47" xr10:uidLastSave="{00000000-0000-0000-0000-000000000000}"/>
  <bookViews>
    <workbookView xWindow="-120" yWindow="-120" windowWidth="20730" windowHeight="11160" firstSheet="5" activeTab="5" xr2:uid="{00000000-000D-0000-FFFF-FFFF00000000}"/>
  </bookViews>
  <sheets>
    <sheet name="plazoleta ELV" sheetId="5" state="hidden" r:id="rId1"/>
    <sheet name="parqueadero ELV" sheetId="4" state="hidden" r:id="rId2"/>
    <sheet name="REV ELV" sheetId="3" state="hidden" r:id="rId3"/>
    <sheet name="Hoja1 luz" sheetId="1" state="hidden" r:id="rId4"/>
    <sheet name="Hoja2" sheetId="2" state="hidden" r:id="rId5"/>
    <sheet name="FORMATO 4 OBRA" sheetId="6" r:id="rId6"/>
    <sheet name="FORMAT 4 INTERV." sheetId="7" state="hidden" r:id="rId7"/>
    <sheet name="Hoja1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8" l="1"/>
  <c r="D18" i="8"/>
  <c r="C18" i="8"/>
  <c r="F17" i="8"/>
  <c r="F16" i="8"/>
  <c r="F18" i="8" s="1"/>
  <c r="B10" i="8" l="1"/>
  <c r="B4" i="8"/>
  <c r="J14" i="5" l="1"/>
  <c r="G46" i="3" l="1"/>
  <c r="J13" i="5"/>
  <c r="K13" i="5" s="1"/>
  <c r="G41" i="3"/>
  <c r="G45" i="3" l="1"/>
  <c r="G42" i="3"/>
  <c r="G43" i="3"/>
  <c r="G44" i="3"/>
  <c r="G47" i="3"/>
  <c r="J32" i="4" l="1"/>
  <c r="H49" i="4"/>
  <c r="H48" i="4"/>
  <c r="I7" i="5" l="1"/>
  <c r="J15" i="5" l="1"/>
  <c r="H15" i="5"/>
  <c r="F6" i="5"/>
  <c r="G40" i="3" l="1"/>
  <c r="G57" i="3" s="1"/>
  <c r="I17" i="4" l="1"/>
  <c r="G12" i="4" l="1"/>
  <c r="J6" i="5" l="1"/>
  <c r="F7" i="5"/>
  <c r="G44" i="1" l="1"/>
  <c r="J7" i="5" l="1"/>
  <c r="I8" i="5"/>
  <c r="J8" i="5" s="1"/>
  <c r="I5" i="5"/>
  <c r="J5" i="5" s="1"/>
  <c r="I10" i="5"/>
  <c r="J10" i="5" s="1"/>
  <c r="I12" i="5"/>
  <c r="J12" i="5" s="1"/>
  <c r="J17" i="4"/>
  <c r="I34" i="4"/>
  <c r="I18" i="4"/>
  <c r="J18" i="4" s="1"/>
  <c r="I29" i="4"/>
  <c r="J29" i="4" s="1"/>
  <c r="I12" i="4"/>
  <c r="J12" i="4" s="1"/>
  <c r="H34" i="4"/>
  <c r="F22" i="4" l="1"/>
  <c r="V2" i="4" l="1"/>
  <c r="V1" i="4"/>
  <c r="V5" i="4" s="1"/>
  <c r="N6" i="4"/>
  <c r="N2" i="4"/>
  <c r="N4" i="4" s="1"/>
  <c r="F19" i="4" l="1"/>
  <c r="F20" i="4"/>
  <c r="G1" i="4"/>
  <c r="G3" i="4"/>
  <c r="G6" i="4" s="1"/>
  <c r="G2" i="4"/>
  <c r="F14" i="4" l="1"/>
  <c r="F13" i="4"/>
  <c r="H12" i="5"/>
  <c r="H10" i="5"/>
  <c r="H9" i="5"/>
  <c r="H5" i="5"/>
  <c r="H8" i="5"/>
  <c r="H7" i="5"/>
  <c r="G33" i="4" l="1"/>
  <c r="G31" i="4"/>
  <c r="I31" i="4" s="1"/>
  <c r="J31" i="4" s="1"/>
  <c r="E33" i="4"/>
  <c r="G30" i="4"/>
  <c r="I30" i="4" s="1"/>
  <c r="J30" i="4" s="1"/>
  <c r="G28" i="4"/>
  <c r="G27" i="4"/>
  <c r="G11" i="5" s="1"/>
  <c r="G26" i="4"/>
  <c r="I26" i="4" s="1"/>
  <c r="J26" i="4" s="1"/>
  <c r="G25" i="4"/>
  <c r="I25" i="4" s="1"/>
  <c r="J25" i="4" s="1"/>
  <c r="G24" i="4"/>
  <c r="I24" i="4" s="1"/>
  <c r="G23" i="4"/>
  <c r="I23" i="4" s="1"/>
  <c r="J23" i="4" s="1"/>
  <c r="G22" i="4"/>
  <c r="I22" i="4" s="1"/>
  <c r="J22" i="4" s="1"/>
  <c r="G13" i="4"/>
  <c r="J13" i="4" s="1"/>
  <c r="G19" i="4"/>
  <c r="I19" i="4" s="1"/>
  <c r="J19" i="4" s="1"/>
  <c r="J24" i="4" l="1"/>
  <c r="I9" i="5"/>
  <c r="J9" i="5" s="1"/>
  <c r="I11" i="5"/>
  <c r="J11" i="5" s="1"/>
  <c r="J18" i="5" s="1"/>
  <c r="K18" i="5" s="1"/>
  <c r="H11" i="5"/>
  <c r="H18" i="5" s="1"/>
  <c r="H20" i="5" s="1"/>
  <c r="H28" i="4"/>
  <c r="I28" i="4"/>
  <c r="J28" i="4" s="1"/>
  <c r="H33" i="4"/>
  <c r="I33" i="4"/>
  <c r="J33" i="4" s="1"/>
  <c r="H27" i="4"/>
  <c r="I27" i="4"/>
  <c r="J27" i="4" s="1"/>
  <c r="H22" i="4"/>
  <c r="H21" i="5" l="1"/>
  <c r="H22" i="5"/>
  <c r="J20" i="5"/>
  <c r="J22" i="5"/>
  <c r="J23" i="5" s="1"/>
  <c r="J21" i="5"/>
  <c r="G21" i="4"/>
  <c r="I21" i="4" s="1"/>
  <c r="J21" i="4" s="1"/>
  <c r="H23" i="5" l="1"/>
  <c r="H19" i="5" s="1"/>
  <c r="H25" i="5" s="1"/>
  <c r="J19" i="5"/>
  <c r="J25" i="5" s="1"/>
  <c r="H24" i="4"/>
  <c r="H21" i="4" l="1"/>
  <c r="G14" i="4"/>
  <c r="G20" i="4"/>
  <c r="G16" i="4"/>
  <c r="G15" i="4"/>
  <c r="H31" i="4"/>
  <c r="H30" i="4"/>
  <c r="H29" i="4"/>
  <c r="H26" i="4"/>
  <c r="H25" i="4"/>
  <c r="H23" i="4"/>
  <c r="H13" i="4"/>
  <c r="H19" i="4"/>
  <c r="H18" i="4"/>
  <c r="H12" i="4"/>
  <c r="H16" i="4" l="1"/>
  <c r="I16" i="4"/>
  <c r="J16" i="4" s="1"/>
  <c r="H15" i="4"/>
  <c r="I15" i="4"/>
  <c r="J15" i="4" s="1"/>
  <c r="H20" i="4"/>
  <c r="I20" i="4"/>
  <c r="J20" i="4" s="1"/>
  <c r="H14" i="4"/>
  <c r="J14" i="4"/>
  <c r="F13" i="2"/>
  <c r="G13" i="2" s="1"/>
  <c r="F12" i="2"/>
  <c r="G12" i="2" s="1"/>
  <c r="F11" i="2"/>
  <c r="G11" i="2" s="1"/>
  <c r="M26" i="2"/>
  <c r="J25" i="2"/>
  <c r="L24" i="2"/>
  <c r="L26" i="2" s="1"/>
  <c r="G23" i="2"/>
  <c r="H36" i="4" l="1"/>
  <c r="H40" i="4" s="1"/>
  <c r="H41" i="4" s="1"/>
  <c r="J36" i="4"/>
  <c r="K36" i="4" s="1"/>
  <c r="G10" i="2"/>
  <c r="D28" i="2"/>
  <c r="H39" i="4" l="1"/>
  <c r="H38" i="4"/>
  <c r="F48" i="4"/>
  <c r="J39" i="4"/>
  <c r="J40" i="4"/>
  <c r="J41" i="4" s="1"/>
  <c r="J38" i="4"/>
  <c r="G18" i="2"/>
  <c r="G19" i="2" s="1"/>
  <c r="G17" i="2"/>
  <c r="G16" i="2"/>
  <c r="H37" i="4" l="1"/>
  <c r="H43" i="4" s="1"/>
  <c r="J37" i="4"/>
  <c r="J43" i="4" s="1"/>
  <c r="G15" i="2"/>
  <c r="G20" i="2" s="1"/>
  <c r="D29" i="2"/>
  <c r="D30" i="2" s="1"/>
  <c r="G25" i="2"/>
  <c r="J28" i="2" l="1"/>
  <c r="L28" i="2" s="1"/>
  <c r="J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ELIECER LADINO VILLADA</author>
  </authors>
  <commentList>
    <comment ref="E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excavando 0,5 m en el area me daría 835 m3 en banco, por lo que con el factor se me convierten en 1086 m3
</t>
        </r>
      </text>
    </comment>
    <comment ref="F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TENER EN CUENTA LOS 90 M2 DE LA BAHÍA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corroborar con Luz Marina</t>
        </r>
      </text>
    </comment>
    <comment ref="E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corresponde al area del gramoquin</t>
        </r>
      </text>
    </comment>
    <comment ref="F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INCLUYE ZONA PARQUEO VIA ACCESO</t>
        </r>
      </text>
    </comment>
    <comment ref="E2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2 pompeyanos c/u de 4*4</t>
        </r>
      </text>
    </comment>
    <comment ref="F2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revisar con Luz</t>
        </r>
      </text>
    </comment>
    <comment ref="F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la distancia maxima Findeter</t>
        </r>
      </text>
    </comment>
    <comment ref="E3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Para los 41 parqueaderos</t>
        </r>
      </text>
    </comment>
  </commentList>
</comments>
</file>

<file path=xl/sharedStrings.xml><?xml version="1.0" encoding="utf-8"?>
<sst xmlns="http://schemas.openxmlformats.org/spreadsheetml/2006/main" count="1054" uniqueCount="625">
  <si>
    <t>PRESUPUESTO FASE 4 COLEGIO RODRIGO LARA BONILLA</t>
  </si>
  <si>
    <t>ÍTEM</t>
  </si>
  <si>
    <t>DESCRIPCIÓN</t>
  </si>
  <si>
    <t>UND</t>
  </si>
  <si>
    <t>CANTIDAD</t>
  </si>
  <si>
    <t>VR. UNITARIO</t>
  </si>
  <si>
    <t>VR. TOTAL</t>
  </si>
  <si>
    <t>PARQUEADERO</t>
  </si>
  <si>
    <t>ESPACIO PÚBLICO</t>
  </si>
  <si>
    <t>MEJORAMIENTO</t>
  </si>
  <si>
    <t>OBSERVACIONES Y/O ACLARACIONES</t>
  </si>
  <si>
    <t>VERIFICACIÓN DE CANTIDADES</t>
  </si>
  <si>
    <t>PARQUEADERO GENERAL GRAMOQUIN</t>
  </si>
  <si>
    <t>M2</t>
  </si>
  <si>
    <t>Se realizó ajuste de 600 a 525 reduciendo preescolar y bloque A</t>
  </si>
  <si>
    <t>PARQUEADERO GENERAL COLEGIO ADOQUIN VEHICULAR</t>
  </si>
  <si>
    <t>PLAZOLETA ACCESO ESTUDIANTES ADOQUIN PEATONAL</t>
  </si>
  <si>
    <t>PUERTA ACCESO PARQUEADERO</t>
  </si>
  <si>
    <t>UN</t>
  </si>
  <si>
    <t>PUERTA ACCESO PEATONAL</t>
  </si>
  <si>
    <t>PERSIANA ADICIONAL CULATAS AULA MULTIPLE</t>
  </si>
  <si>
    <t>REJA METALICA SOBRE MURO DE CONTENCIÓN PREESOLAR COCINA</t>
  </si>
  <si>
    <t>DESMONTE LAMPARAS EXISTENTE CONTRA RAMPA EXISTENTE</t>
  </si>
  <si>
    <t>PASAMANOS SEGUNDO Y TERCER PISO ZONA A</t>
  </si>
  <si>
    <t>ML</t>
  </si>
  <si>
    <t>REJA ZONA CILINDROS DE GAS Y CUBIERTA</t>
  </si>
  <si>
    <t xml:space="preserve">CAÑUELA DESAGUE </t>
  </si>
  <si>
    <t>TIERRA ABONADA Y SEMILLA DE GRAMA</t>
  </si>
  <si>
    <t>EXCAVACIÓN MECANICA PARQUEADERO</t>
  </si>
  <si>
    <t>M3</t>
  </si>
  <si>
    <t>RELLENO SUBBASE GRANULAR PARQUEADERO</t>
  </si>
  <si>
    <t>REPLANTEO Y NIVELACIÓN TOPOGRAFICA</t>
  </si>
  <si>
    <t>54% CORRESPONDE A ESPACIO PUBLICO</t>
  </si>
  <si>
    <t>SARDINEL EN CONCRETO</t>
  </si>
  <si>
    <t>VIGA DE CONFINAMIENTO ADOQUINES</t>
  </si>
  <si>
    <t>CONCRETO ACCESO PARQUEADERO</t>
  </si>
  <si>
    <t>POMPEYANO EN ACCESO PARQUEADERO</t>
  </si>
  <si>
    <t>CONCEPTO SUELISTA LABORATORIO PARQUEADERO</t>
  </si>
  <si>
    <t>GB</t>
  </si>
  <si>
    <t>DISEÑO ELECTRICO ILUMINACIÓN PARQUEADEROS</t>
  </si>
  <si>
    <t>ILUMINACION PARQUEADEROS POSTES LUMINARIAS</t>
  </si>
  <si>
    <t>INCLUYE DISEÑO Y TRÁMITE DE CERTIFICACIONES COMO RETIE Y RETILAP</t>
  </si>
  <si>
    <t>ACOMETIDA ELECTRICA PARQUEADEROS</t>
  </si>
  <si>
    <t>DESAGUES PARQUEADERO TUBERIA 8"</t>
  </si>
  <si>
    <t>CONTENEDOR DE RAICES</t>
  </si>
  <si>
    <t>CERTIFICADO RETILAP</t>
  </si>
  <si>
    <t>CAJAS DE INSPECCIÓN 100*100</t>
  </si>
  <si>
    <t>ARENA TAPE TUBERÍA</t>
  </si>
  <si>
    <t>ARBOLES ORNAMENTALES</t>
  </si>
  <si>
    <t>CARCAMO PARQUEADERO</t>
  </si>
  <si>
    <t>TOPELLANTAS EN CONCRETO</t>
  </si>
  <si>
    <t xml:space="preserve">PINTURA  PARA EXTERIORES TIPO KORAZA O EQUIVALENTE TRES MANOS </t>
  </si>
  <si>
    <t>INCLUYE RESANES EN MUROS, DILATACIONES, REPARACIONES, SUMINISTRO Y EJECUCIÓN SEGÚN COLORES DEL COLEGIO</t>
  </si>
  <si>
    <t xml:space="preserve">PINTURA ACRILICA TIPO KORAZA O EQUIVALENTE - MUROS A 3 MANOS </t>
  </si>
  <si>
    <t>CERRAMIENTO</t>
  </si>
  <si>
    <t>ELECTRICIDAD AULA TERCER PISO</t>
  </si>
  <si>
    <t>GRAMOQUIN BLOQUE A</t>
  </si>
  <si>
    <t>DESMONTE SUPERBOARD COLUMNA COSTADO NORTE ZONA A</t>
  </si>
  <si>
    <t>SUMINISTRO E INSTALACIÓN BARANDAS FALTANTES</t>
  </si>
  <si>
    <t>VALOR TOTAL COSTOS DIRECTOS</t>
  </si>
  <si>
    <t>VALOR TOTAL COSTOS INDIRECTOS</t>
  </si>
  <si>
    <t>ADMINISTRACIÓN</t>
  </si>
  <si>
    <t>IMPREVISTOS</t>
  </si>
  <si>
    <t>UTILIDAD</t>
  </si>
  <si>
    <t>IVA 19% SOBRE UTILIDAD</t>
  </si>
  <si>
    <t>VR./M2</t>
  </si>
  <si>
    <t>1. ETAPA I. REVISIÓN, AJUSTE Y COMLEMENTACIÓN DE LA CONSTRUCCIÓN Y PUESTA EN FUNCIONAMIENTO DE LOS PARQUEADEROS, ESPACIO PÚBLICO Y MEJORAMIENTO DEL COLEGIO RODRIGO LARA BONILLA, EN EL MUNICIPIO DE NEIVA, DEPARTAMENTO DE HUILA</t>
  </si>
  <si>
    <t>DESCRIPCIÓN 
(Corresponde a los ítems o productos relacionados en el contrato)</t>
  </si>
  <si>
    <t>UNIDAD</t>
  </si>
  <si>
    <t>A</t>
  </si>
  <si>
    <t>VALOR DIRECTO</t>
  </si>
  <si>
    <t>REVISIÓN, AJUSTES Y/O COMPLEMENTACIÓN A ESTUDIOS Y DISEÑOS</t>
  </si>
  <si>
    <t>2. ETAPA II. CONSTRUCCIÓN Y PUESTA EN FUNCIONAMIENTO DE LOS PARQUEADEROS, ESPACIO PÚBLICO Y MEJORAMIENTO DEL COLEGIO RODRIGO LARA BONILLA, EN EL MUNICIPIO DE NEIVA, DEPARTAMENTO DE HUILA</t>
  </si>
  <si>
    <t>PRECIOS UNITARIOS</t>
  </si>
  <si>
    <t>VALOR TOTAL</t>
  </si>
  <si>
    <t>VALOR DIRECTO OBRA</t>
  </si>
  <si>
    <t>ESPACIO PÚBLICO (incluye circulaciones peatonales, área de reducción de velocidad)</t>
  </si>
  <si>
    <t>m2</t>
  </si>
  <si>
    <t>PARQUEADERO (incluye parqueadero, circulación peatonal, zonas verdes, cerramiento)</t>
  </si>
  <si>
    <t>ACTIVIDADES DE MEJORAMIENTO DE LA INFRAESTRUCTURA EXISTENTE</t>
  </si>
  <si>
    <t> 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</si>
  <si>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</si>
  <si>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</si>
  <si>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</si>
  <si>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</si>
  <si>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</si>
  <si>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 xml:space="preserve"> VALOR TOTAL DE OBRA (A+B)</t>
  </si>
  <si>
    <t>PROYECTO</t>
  </si>
  <si>
    <t>ITEM</t>
  </si>
  <si>
    <t>DESCRIPCIÓN DE LA ETAPA</t>
  </si>
  <si>
    <t>VALOR POR ETAPA</t>
  </si>
  <si>
    <t>INTERVENTORÍA</t>
  </si>
  <si>
    <t>RECURSOS TOTALES</t>
  </si>
  <si>
    <t>DISPONIBLES</t>
  </si>
  <si>
    <t>EJECUCIÓN DE REVISIÓN, AJUSTE Y COMPLEMENTACIÓN A ESTUDIOS, DISEÑOS Y CONSTRUCCIÓN Y PUESTA EN FUNCIONAMIENTO DE LOS PARQUEADEROS, ESPACIO PÚBLICO Y MEJORAMIENTO DEL COLEGIO RODRIGO LARA BONILLA, EN EL MUNICIPIO DE NEIVA, DEPARTAMENTO DE HUILA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</si>
  <si>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</t>
    </r>
  </si>
  <si>
    <r>
      <t xml:space="preserve">ETAPA II: </t>
    </r>
    <r>
      <rPr>
        <sz val="10"/>
        <color theme="1"/>
        <rFont val="Arial Narrow"/>
        <family val="2"/>
      </rPr>
      <t>Ejecución de obra</t>
    </r>
  </si>
  <si>
    <t>TOTAL DEL PROYECTO</t>
  </si>
  <si>
    <t>VALOR TOTAL DEL PROYECTO (A+B)</t>
  </si>
  <si>
    <t>Valor Mínimo de la Etapa</t>
  </si>
  <si>
    <t>Valor Máximo de la Etapa</t>
  </si>
  <si>
    <t>VALOR TOTAL OBRA E INTERV.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</si>
  <si>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 (Incluye IVA 19%)</t>
    </r>
  </si>
  <si>
    <r>
      <t xml:space="preserve">Hasta la suma de  $  </t>
    </r>
    <r>
      <rPr>
        <sz val="9"/>
        <color rgb="FFFF0000"/>
        <rFont val="Arial Narrow"/>
        <family val="2"/>
      </rPr>
      <t>39.955.380</t>
    </r>
  </si>
  <si>
    <r>
      <t xml:space="preserve">ETAPA II: </t>
    </r>
    <r>
      <rPr>
        <sz val="10"/>
        <color theme="1"/>
        <rFont val="Arial Narrow"/>
        <family val="2"/>
      </rPr>
      <t>Ejecución de obra (Incluye IVA sobre utilidad y A.I.U)</t>
    </r>
  </si>
  <si>
    <t>TOTAL PRESUPUESTO ESTIMADO–PE</t>
  </si>
  <si>
    <t xml:space="preserve"> (Etapa I + Etapa II)</t>
  </si>
  <si>
    <t>ÁREA</t>
  </si>
  <si>
    <r>
      <t xml:space="preserve">Hasta la suma de  $  </t>
    </r>
    <r>
      <rPr>
        <sz val="9"/>
        <color rgb="FFFF0000"/>
        <rFont val="Arial Narrow"/>
        <family val="2"/>
      </rPr>
      <t>1.311.180.234</t>
    </r>
  </si>
  <si>
    <t>Hasta la suma de $  1.351.135614</t>
  </si>
  <si>
    <t>GOB RDA</t>
  </si>
  <si>
    <t>ADOQUIN VEHICULAR EN CONCRETO</t>
  </si>
  <si>
    <t>PARQUEADERO GENERAL COLEGIO ADOQUIN VEHICULAR EN CONCRETO</t>
  </si>
  <si>
    <t>ADOQUIN CONCRETO ECOLÓGICO -GRAMOQUIN</t>
  </si>
  <si>
    <t>CAÑUELA EN CONCRETO DE 20,7 Mpa E=0,10: H=0,40 A= 0,30 M SIN TAPA</t>
  </si>
  <si>
    <t>RDA</t>
  </si>
  <si>
    <t>CALI</t>
  </si>
  <si>
    <t>EL MERO SUMINISTRO E INSTALACIÓN SUPERA LOS 52800 M3</t>
  </si>
  <si>
    <t>INCLUYE DISPOSICIÓN</t>
  </si>
  <si>
    <t>A COMO EL MATERIAL Y DISTANCIA DE ACARREO (RDA M3 A 56000)</t>
  </si>
  <si>
    <t xml:space="preserve">SARDINEL EN CONCRETO DE 20,7 Mpa  0,03 M3/ML </t>
  </si>
  <si>
    <t>LOCALIZACIÓN, REPLANTEO Y NIVELACIÓN TOPOGRAFICA</t>
  </si>
  <si>
    <t>PRESUPUESTO FASE 4 COLEGIO RODRIGO LARA BONILLA-PARQUEADERO</t>
  </si>
  <si>
    <t>CALI 2016</t>
  </si>
  <si>
    <t>EMPRADIZACIÓN CON PRDO TRENZA</t>
  </si>
  <si>
    <t>INVIAS</t>
  </si>
  <si>
    <t>INSTALACIÓN DE ACOMETIDA ELECTRICA PARQUEADEROS</t>
  </si>
  <si>
    <t>NO TENGO CONTRA QUE COMPARAR</t>
  </si>
  <si>
    <t>PUERTA ACCESO PARQUEADERO METALICA  ACCESO PARQUEADERO VEHICULAR IGUAL A LA EXISTENTE DE 6,00 * 3,00 MTS FABRICADA EN TUBO REDONDO AN 3 MM DE ESPESOR, 4" DIAMETRO Y VERTICALES EN TUBERIA RECTANGULAR DE 22 * 1 " CALIBRE 18  GUIA EN ANGULO DE 1 1/2" *3/16" Y PINTADA EN ANTICORROSIVO Y ESMALTE ROJO</t>
  </si>
  <si>
    <t>invias a $ 81,000 a 1 Km, a 8Km saldría a $93,150</t>
  </si>
  <si>
    <t>$14200 m3,  botando a 1 Km. Si lo boto a 5 Km me cuesta $21.150</t>
  </si>
  <si>
    <t>SARDINEL PREFABRICADO EN CONCRETO, INCLUYE LA PREPARACIÓN DE LA SUPERFICIE DE APOYO</t>
  </si>
  <si>
    <t>LOS CONCRETOS GENERALMENTE SE PAGAN POR M3, EL PRECIO ESTA POR ENCIMA DEL PROMEDIO</t>
  </si>
  <si>
    <t>estaría acorde y que la diferencia es que tiene doble malla</t>
  </si>
  <si>
    <t>CONCRETO ACCESO PARQUEADERO MR = 4.1MPA - ZONA DE DESACELERACIÓN ESPESOR 0,15 M; INCLUYE MALLA ELECTROSOLDADA</t>
  </si>
  <si>
    <t>ILUMINACION PARQUEADEROS INCLUYE LUMINARIAS Y POSTES DE H= 4 M</t>
  </si>
  <si>
    <t>el costo lo representa el M de tubo</t>
  </si>
  <si>
    <t>FINDETER SIN TAPA $297,000</t>
  </si>
  <si>
    <t>SUMINISTRO E INSTALACIÓN DE ARENA PARA TAPE-TUBERÍA</t>
  </si>
  <si>
    <t>ESTA OK</t>
  </si>
  <si>
    <t>SE REQUIERE LA ESPECIFICACIÓN (TIPO FOTO)</t>
  </si>
  <si>
    <t>TOPELLANTAS EN CONCRETO DE 0,15*0,15*0,40</t>
  </si>
  <si>
    <t>CERRAMIENTO PERIMETRAL CON VIGA CORRIDA DE 0,20*0,40 Y ZAPATAS, INCLUYE ORNAMENTACIÓN</t>
  </si>
  <si>
    <t>POMPEYANO EN CONCRETO EN ACCESO PARQUEADERO ZONA DE DESACELERCIÓN, INCLUYE DOBLE MALLA ELECTROSOLDADA. 2 UNIDADES DE DIMENSIONES DE 4*4</t>
  </si>
  <si>
    <t>VIGAS DE CONFINAMIENTO (ZONA DE GRAMOQUIN Y ADOQUIN)</t>
  </si>
  <si>
    <t>EXCAVACIÓN MECANICA PARQUEADERO INCLUYE CARGUE, TRANSPORTE, Y DISPOSICIÓN FINAL (H =0,50 M)</t>
  </si>
  <si>
    <t xml:space="preserve">IDU </t>
  </si>
  <si>
    <t>GRAMOQUIN PARQUEADERO GENERAL COLEGIO INCLUYE TODOS LOS INSUMOS PARA SU INSTALACIÓN ARENA DE NIVELACIÓN Y ARENA DE SELLO</t>
  </si>
  <si>
    <t>ADOQUIN VEHICULAR DE 0,2*0,1*0,06 EN CONCRETO PARA EL PARQUEADERO DEL COLEGIO, INCLUYE TODOS LOS INSUMOS PARA SU INSTALACIÓN, INCLUYE ARENA DE NIVELACIÓN Y ARENA DE SELLO</t>
  </si>
  <si>
    <t xml:space="preserve">CAÑUELA DESAGUE EN CONCRETO DE 20,7 MPA INCLUYE TODOS LOS INSUMOS PARA SU INSTALACIÓN </t>
  </si>
  <si>
    <t>SUMINISTRO E INSTALACIÓN DE TIERRA ABONADA Y SEMILLA DE GRAMA ZONA DE GRAMOQUIN</t>
  </si>
  <si>
    <t>IDU</t>
  </si>
  <si>
    <t>CAÑUELA PREFABRICADA A 120</t>
  </si>
  <si>
    <t>idu a 62,000</t>
  </si>
  <si>
    <t>idu a 60,100</t>
  </si>
  <si>
    <t>????</t>
  </si>
  <si>
    <t>IDU depoendiendo del RDE el costo varía desde  $57,000 ml hasta $102,000</t>
  </si>
  <si>
    <t xml:space="preserve">SUMINISTRO E INSTALACIÓN DE DESAGUES PARQUEADERO TUBERIA PVC 8" PARED ESTRUCTURAL </t>
  </si>
  <si>
    <t>el valor Anotado de $4,371 lo traje de los precios Findeter de otro proyecto</t>
  </si>
  <si>
    <t xml:space="preserve">
Lista oficial de precios unitarios fijos de Obra Pública y de ...www.datos.gov.co </t>
  </si>
  <si>
    <t>CAJA DE INSPECCIÓN DE 1,00x1,00x1,00m, EN CONCRETO DE 17,2MPA; TAPA REFORZADA EN CONCRETO DE 20,7 MPA, PARA AGUAS LLUVIAS</t>
  </si>
  <si>
    <t>Area efectiva parqueaderos</t>
  </si>
  <si>
    <t>Area zonas verdes</t>
  </si>
  <si>
    <t>Area de acceso o salida parqueaderos</t>
  </si>
  <si>
    <t>Area de anden en parqueaderos</t>
  </si>
  <si>
    <t>Longitud cerramiento (m)</t>
  </si>
  <si>
    <t>Cantidades Medidas en Planos</t>
  </si>
  <si>
    <t>3.1.</t>
  </si>
  <si>
    <t>sardinel</t>
  </si>
  <si>
    <t>area concreto acceso</t>
  </si>
  <si>
    <t>(a lo largo)</t>
  </si>
  <si>
    <t>ancho</t>
  </si>
  <si>
    <t>linea exterior parqueadero</t>
  </si>
  <si>
    <t>linea interiro sin parqueo</t>
  </si>
  <si>
    <t>vigas de confinamiento</t>
  </si>
  <si>
    <t>viga perimetral zona parqueaderos</t>
  </si>
  <si>
    <t>CARCAMO PREFABRICADO EN CONCRETO PARQUEADERO  35*40*100, INCLUYE REJILLA EN CONCRETO INCLUYE EXCAVACIÓN</t>
  </si>
  <si>
    <t>PAISAJISMO-ZONAS VERDES</t>
  </si>
  <si>
    <t>VR.UNITARIO 
2021
INCREMENTO CON IPC</t>
  </si>
  <si>
    <t>VR. TOTAL 
2021</t>
  </si>
  <si>
    <t>VR. TOTAL
2021</t>
  </si>
  <si>
    <t>Cantidad inicial</t>
  </si>
  <si>
    <t>Cantidad según planos</t>
  </si>
  <si>
    <t>VR. UNITARIO
Inicial</t>
  </si>
  <si>
    <t>VR. TOTAL
Inicial</t>
  </si>
  <si>
    <t>CANTIDAD
INICIAL</t>
  </si>
  <si>
    <t xml:space="preserve">RECUBRIMIENTO DE COLUMNA EN MAMPOSTERÍA </t>
  </si>
  <si>
    <t>REPLANTEO Y LOCALIZACIÓN TOPOGRAFICA</t>
  </si>
  <si>
    <t>EXCAVACIÓN MANUAL, NIVELACIÓN Y COMPACTACIÓN CON MATERIAL DE SUBBASE</t>
  </si>
  <si>
    <t xml:space="preserve">DESMONTE SUPERBOARD COLUMNA COSTADO NORTE ZONA A </t>
  </si>
  <si>
    <t>SUMINISTRO E INSTALACIÓN DE MAMPOSTERIA H:2 M</t>
  </si>
  <si>
    <t>PRECIO UNITARIO</t>
  </si>
  <si>
    <t>H: aprox. 0,15 cm</t>
  </si>
  <si>
    <t>ACCESO ESTUDIANTES CIRCULACIÓN CONCRETO ESCOBIADO E=0,15M INCLUYE ACERO DE REFUERZO Y DILATACIÓN</t>
  </si>
  <si>
    <t>ILUMINACION ZONA DE ACCESO INCLUYE POSTES (CON BASE), LUMINARIAS Y RED DE CONEXIÓN</t>
  </si>
  <si>
    <t>ASEO Y LIMPIEZA</t>
  </si>
  <si>
    <t>GL</t>
  </si>
  <si>
    <t>SUBBASE GRANULAR COMPACTADA PARQUEADERO 0,35 M</t>
  </si>
  <si>
    <t xml:space="preserve">ANDEN PEATONAL CONCRETO ESCOBIADO E=0,15M INCLUYE ACERO DE REFUERZO </t>
  </si>
  <si>
    <t>LAMINA MICROPERFORADA CERRAMIENTO</t>
  </si>
  <si>
    <t xml:space="preserve">PAÑETE </t>
  </si>
  <si>
    <t>PINTURA</t>
  </si>
  <si>
    <t>GUARDAESCOBAS</t>
  </si>
  <si>
    <t>DESMONTE DE BEBEDEROS</t>
  </si>
  <si>
    <t>MOBILIARIO (CANECAS)</t>
  </si>
  <si>
    <t>INSTALACIÓN DE BEBEDEROS</t>
  </si>
  <si>
    <t>MOBILIARIO (BANCA)</t>
  </si>
  <si>
    <t>AREA BAHIA</t>
  </si>
  <si>
    <t>B.</t>
  </si>
  <si>
    <t xml:space="preserve">VALOR DE LA ETAPA SIN IVA </t>
  </si>
  <si>
    <t>B</t>
  </si>
  <si>
    <t>C</t>
  </si>
  <si>
    <t>VALOR DEL TOTAL DE LA PROPUESTA (A+B)</t>
  </si>
  <si>
    <t>INTERVENTORÍA INTEGRAL (ADMINISTRATIVA, FINANCIERA, CONTABLE, AMBIENTAL, SOCIAL, JURÍDICA Y TÉCNICA) A LA REVISIÓN, AJUSTE Y COMPLEMENTACIÓN DE ESTUDIOS, DISEÑOS Y CONSTRUCCIÓN DEL ACCESO (INCLUYE PARQUEADERO) Y OBRAS DE REHABILITACIÓN DE LAS ÁREAS DE CIRCULACIÓN INTERNAS DEL BLOQUE A DEL COLEGIO RODRIGO LARA BONILLA EN EL MUNICIPIO DE NEIVA, DEPARTAMENTO DEL HUILA</t>
  </si>
  <si>
    <t xml:space="preserve">FUENTE DE RECURSOS </t>
  </si>
  <si>
    <t xml:space="preserve">VALOR DISPONIBLE </t>
  </si>
  <si>
    <t>Recursos sin comprometer de la contrapartida del Mpio de Neiva</t>
  </si>
  <si>
    <t>Saldo a favor del Patrimonio conforme acta de liquidación PAF-EUC-O-047-2017 (Contrato de obra de la Fase 3 del Colegio Rodrigo Lara Bonilla)</t>
  </si>
  <si>
    <t>Recursos Liberados por concepto de aplicación Clausula Penal de apremio PAF-EUC-018-2015 (Contrato de obra Etapa 3 del Colegio Rodrigo Lara Bonilla</t>
  </si>
  <si>
    <t>Contrato de obra Fase IV</t>
  </si>
  <si>
    <t>Contrato de Inverventoría Fase IV</t>
  </si>
  <si>
    <t>VALOR</t>
  </si>
  <si>
    <t>VALOR TOTAL REQUERIDO FASE IV</t>
  </si>
  <si>
    <t>VALOR A UTILIZAR</t>
  </si>
  <si>
    <t>VALOR TOTAL A UTILIZAR FASE IV</t>
  </si>
  <si>
    <t>VALOR REQUERIDO </t>
  </si>
  <si>
    <t>FUENTE DE RECURSOS</t>
  </si>
  <si>
    <t>TOTAL</t>
  </si>
  <si>
    <t>MUNICIPIO DE NEIVA</t>
  </si>
  <si>
    <t>Clausula Penal contrato PAF-EUC-018-2015</t>
  </si>
  <si>
    <t xml:space="preserve">saldo liberado en la liquidación contrato PAF-EUC-O-047-2017 </t>
  </si>
  <si>
    <t>Contrato de Interventoría Fase IV</t>
  </si>
  <si>
    <t>VALOR TOTAL REQUERIDO PARA FASE IV</t>
  </si>
  <si>
    <t>VALOR DEL IVA ETAPA 1 (19 %)</t>
  </si>
  <si>
    <t>COSTO TOTAL OBRA (VALOR DIRECTO OBRA + VALOR COSTOS INDIRECTOS)</t>
  </si>
  <si>
    <t xml:space="preserve"> VALOR TOTAL DE LA OFERTA ECONOMICA (A+B)</t>
  </si>
  <si>
    <r>
      <t xml:space="preserve">  ETAPA I:</t>
    </r>
    <r>
      <rPr>
        <sz val="9"/>
        <color rgb="FF000000"/>
        <rFont val="Arial Narrow"/>
        <family val="2"/>
      </rPr>
      <t xml:space="preserve"> INTERVENTORÍA REVISIÓN, AJUSTE Y COMPLEMENTACIÓN A LOS ESTUDIOS Y DISEÑOS, OBTENCIÓN DE LICENCIAS Y PERMISOS</t>
    </r>
  </si>
  <si>
    <r>
      <t xml:space="preserve">ETAPA II: </t>
    </r>
    <r>
      <rPr>
        <sz val="9"/>
        <color rgb="FF000000"/>
        <rFont val="Arial Narrow"/>
        <family val="2"/>
      </rPr>
      <t>INTERVENTORÍA A LA CONSTRUCCIÓN, PUESTA EN FUNCIONAMIENTO Y PROCESO DE CIERRE CONTRACTUAL</t>
    </r>
  </si>
  <si>
    <t>VALOR IVA (19%)</t>
  </si>
  <si>
    <t>VALOR TOTAL ETAPA</t>
  </si>
  <si>
    <t>2. ETAPA II. EJECUCION DE OBRA</t>
  </si>
  <si>
    <t>1. ETAPA I. REVISIÓN DE ESTUDIOS Y DISEÑOS</t>
  </si>
  <si>
    <t>REVISIÓN DE ESTUDIOS Y DISEÑOS</t>
  </si>
  <si>
    <t xml:space="preserve">VALOR TOTAL ETAPA DE  REVISIÓN DE ESTUDIOS Y DISEÑOS. (IVA INCLUIDO) </t>
  </si>
  <si>
    <t>PRELIMINARES</t>
  </si>
  <si>
    <t>KG</t>
  </si>
  <si>
    <t>“CONSTRUCCIÓN CANCHAS DE SQUASH EN EL BARRIO CIUDADELA REAL DE MINAS DEL MUNICIPIO DE BUCARAMANGA, SANTANDER”</t>
  </si>
  <si>
    <t>MEDICIONES</t>
  </si>
  <si>
    <t>1,1,1</t>
  </si>
  <si>
    <t>Localización y replanteo manual para el proyecto</t>
  </si>
  <si>
    <t>DESMONTES</t>
  </si>
  <si>
    <t>1,2,1</t>
  </si>
  <si>
    <t>Desmonte de teja liviana, incluye cargue y retiro</t>
  </si>
  <si>
    <t>1,2,2</t>
  </si>
  <si>
    <t>Desmonte estructura de cubierta, incluye cargue y retiro</t>
  </si>
  <si>
    <t>1,2,3</t>
  </si>
  <si>
    <t>Desmonte de ventanas, incluye cargue y retiro</t>
  </si>
  <si>
    <t>1,2,4</t>
  </si>
  <si>
    <t>Desmonte de muro divisorio liviano, incluye cargue y retiro</t>
  </si>
  <si>
    <t>1,2,5</t>
  </si>
  <si>
    <t>Desmonte de cielo raso con estructura de soporte, incluye cargue y retiro</t>
  </si>
  <si>
    <t>DEMOLICIONES</t>
  </si>
  <si>
    <t>1,3,1</t>
  </si>
  <si>
    <t>Corte y demolición de muros en mampostería  e=15 cm, con acabado,  sin andamios, incluye cargue, retiro y disposición final</t>
  </si>
  <si>
    <t>1,3,2</t>
  </si>
  <si>
    <t>Demolición de mochetas en mampostería, incluye cargue, retiro y disposición final</t>
  </si>
  <si>
    <t>1,3,3</t>
  </si>
  <si>
    <t xml:space="preserve">Demolición tapa en concreto buitrones, incluye cargue, retiro y disposición final </t>
  </si>
  <si>
    <t>1,3,4</t>
  </si>
  <si>
    <t>Demolición de impermeabilización de cubierta existente, incluye cargue, retiro y disposición final</t>
  </si>
  <si>
    <t>1,3,5</t>
  </si>
  <si>
    <t>Demolición de piso y alistado en mortero con martillo eléctrico, incluye , cargue, retiro y disposición final</t>
  </si>
  <si>
    <t>1,3,6</t>
  </si>
  <si>
    <t>Corte y demolición de muros en mampostería  e=15 cm, altura mayor a 3 m, con acabado, incluye andamios cargue, retiro y disposición final</t>
  </si>
  <si>
    <t>1,3,7</t>
  </si>
  <si>
    <t>Demolición de columnas y vigas en concreto con martillo eléctrico, incluye cargue, retiro y disposición final</t>
  </si>
  <si>
    <t>1,3,8</t>
  </si>
  <si>
    <t>Demolición de alfajía con martillo eléctrico, incluye andamios, cargue, retiro y disposición final</t>
  </si>
  <si>
    <t>M</t>
  </si>
  <si>
    <t>CONCRETOS</t>
  </si>
  <si>
    <t>COLUMNAS Y MUROS</t>
  </si>
  <si>
    <t>2,1,1</t>
  </si>
  <si>
    <t>Columna en concreto 3000 psi mezclado en sitio. Área transversal  hasta 400 cm2</t>
  </si>
  <si>
    <t>2,1,2</t>
  </si>
  <si>
    <t>Columna en concreto 3000 psi premezclado . Área Transversal mayor de 2501 cm2</t>
  </si>
  <si>
    <t>VIGAS Y PLACAS AÉREAS</t>
  </si>
  <si>
    <t>2,2,1</t>
  </si>
  <si>
    <t>Viga aérea en concreto 3000 psi mezclado en sitio. Área transversal  hasta 400 cm2</t>
  </si>
  <si>
    <t>2,2,2</t>
  </si>
  <si>
    <t>Viga canal en concreto 3000 psi mezclado en sitio. Área Transversal mayor de 2501 cm2</t>
  </si>
  <si>
    <t>2,2,3</t>
  </si>
  <si>
    <t>Alfajia fundida en sitio en concreto pulido de 3500 PSI, ancho 22 cm, Tipo VP.015, incluye acero de refuerzo, anclajes epoxicos y endurecedor superficial</t>
  </si>
  <si>
    <t>ACEROS Y ESTRUCTURAS METÁLICAS</t>
  </si>
  <si>
    <t>ACEROS DE REFUERZO Y ESTRUCTURAS METÁLICAS</t>
  </si>
  <si>
    <t>3,1,1</t>
  </si>
  <si>
    <t>Acero de refuerzo figurado</t>
  </si>
  <si>
    <t>3,1,2</t>
  </si>
  <si>
    <t>Subcontrato suministro e instalación de Estructura metálica en acero estructural con acabado en pintura anticorrosiva y esmalte para superficies metálicas de interior</t>
  </si>
  <si>
    <t>CUBIERTAS Y CANALES</t>
  </si>
  <si>
    <t>CUBIERTAS</t>
  </si>
  <si>
    <t>4,1,1</t>
  </si>
  <si>
    <t>Panel tipo sandwich con aislante en Poliisocianurato PIRSAFE; Espesor = 30mm, lamina externa en Acero Calibre 28 color Blanco RAL9002 Acabado (sup) 5 trapecios / lamina interna en Acero Calibre 28 color Blanco RAL 9002 Acabado (inf) Acanalado 400. Incluye accesorios en acero galvanizado y kit de fijación cubierta.</t>
  </si>
  <si>
    <t>4,1,2</t>
  </si>
  <si>
    <t>Impermeabilización placa de cubierta con manto asfáltico 4.2mm modificado con polipropileno atáctico. Incluye pintura reflectiva de aluminio con base asfáltica</t>
  </si>
  <si>
    <t>MUROS DIVISORIOS</t>
  </si>
  <si>
    <t>MAMPOSTERÍA</t>
  </si>
  <si>
    <t>5,1,1</t>
  </si>
  <si>
    <t>Muro en mampostería H-10 ladrillo cocido (10x30x20cm)</t>
  </si>
  <si>
    <t>5,1,2</t>
  </si>
  <si>
    <t>Muro en mampostería H-10 ladrillo cocido (10x30x20cm), para alturas mayores a 3 m</t>
  </si>
  <si>
    <t>5,1,3</t>
  </si>
  <si>
    <t>Muro en mampostería H-10 ladrillo cocido (10x30x20cm), por metro lineal</t>
  </si>
  <si>
    <t>DIVISIONES SISTEMA LIVIANO</t>
  </si>
  <si>
    <t>5,2,1</t>
  </si>
  <si>
    <t>Muro liviano doble cara en lamina de fibrocemento e= 10 mm</t>
  </si>
  <si>
    <t>5,2,2</t>
  </si>
  <si>
    <t xml:space="preserve">Muro liviano una cara en lamina de fibrocemento e= 10 mm, por metro lineal </t>
  </si>
  <si>
    <t>CIELOS RASOS</t>
  </si>
  <si>
    <t>Subcontrato suministro e instalación de Cielo raso acústico en listones de madera pino, separación entre ejes 12 cm</t>
  </si>
  <si>
    <t>Cielo raso en lámina de yeso resistente a la humedad 1/2", incluye acabado en pintura antibacterial</t>
  </si>
  <si>
    <t>RED HIDRÁULICA AGUA FRÍA</t>
  </si>
  <si>
    <t>TUBERÍAS PVC AGUA FRÍA</t>
  </si>
  <si>
    <t>7,1,1</t>
  </si>
  <si>
    <t>Red hidráulica PVC RDE 9 Diámetro 1/2", incluye accesorios de conexión</t>
  </si>
  <si>
    <t>7,1,2</t>
  </si>
  <si>
    <t>Red hidráulica PVC RDE 11 Diámetro 3/4" descolgada, incluye accesorios de conexión</t>
  </si>
  <si>
    <t>7,1,3</t>
  </si>
  <si>
    <t>Red hidráulica PVC RDE 21 Diámetro 1 1/4" descolgada, incluye accesorios de conexión</t>
  </si>
  <si>
    <t>7,1,4</t>
  </si>
  <si>
    <t>Red hidráulica PVC RDE 21 Diámetro 1 1/2" descolgada, incluye accesorios de conexión</t>
  </si>
  <si>
    <t>PUNTOS HIDRÁULICOS PVC AGUA FRÍA</t>
  </si>
  <si>
    <t>7,2,1</t>
  </si>
  <si>
    <t>Punto hidráulico PVC de 1/2", incluye accesorios de conexión</t>
  </si>
  <si>
    <t>7,2,2</t>
  </si>
  <si>
    <t>Punto hidráulico PVC de 3/4", incluye accesorios de conexión</t>
  </si>
  <si>
    <t>7,2,3</t>
  </si>
  <si>
    <t>Punto hidráulico PVC de 1 1/4", incluye accesorios de conexión</t>
  </si>
  <si>
    <t>7,2,4</t>
  </si>
  <si>
    <t>Punto hidráulico PVC de 2", incluye accesorios de conexión</t>
  </si>
  <si>
    <t>RED SANITARIA Y VENTILACIÓN</t>
  </si>
  <si>
    <t>TUBERÍAS PVC SANITARIA Y VENTILACIÓN</t>
  </si>
  <si>
    <t>8,1,1</t>
  </si>
  <si>
    <t>Red sanitaria PVC Diámetro 2" descolgada, incluye accesorios de conexión</t>
  </si>
  <si>
    <t>8,1,2</t>
  </si>
  <si>
    <t>Red sanitaria PVC Diámetro 4" descolgada, incluye accesorios de conexión</t>
  </si>
  <si>
    <t>8,1,3</t>
  </si>
  <si>
    <t>Bajante sanitario PVC Diámetro 4", incluye accesorios de conexión</t>
  </si>
  <si>
    <t>8,1,4</t>
  </si>
  <si>
    <t xml:space="preserve">Red montante de ventilacion PVC  3" </t>
  </si>
  <si>
    <t>8,1,5</t>
  </si>
  <si>
    <t>Red ventilación PVC Diámetro 2" descolgada, incluye accesorios de conexión</t>
  </si>
  <si>
    <t>8,1,6</t>
  </si>
  <si>
    <t>Red ventilación PVC Diámetro 3" descolgada, incluye accesorios de conexión</t>
  </si>
  <si>
    <t>PUNTOS SANITARIOS PVC</t>
  </si>
  <si>
    <t>8,2,1</t>
  </si>
  <si>
    <t>Punto sanitario PVC de 2", incluye accesorios de conexión</t>
  </si>
  <si>
    <t>8,2,2</t>
  </si>
  <si>
    <t>Punto sanitario PVC de 4", incluye accesorios de conexión</t>
  </si>
  <si>
    <t>8,2,3</t>
  </si>
  <si>
    <t>Punto ventilación PVC de 2", incluye accesorios de conexión</t>
  </si>
  <si>
    <t>8,2,4</t>
  </si>
  <si>
    <t>Punto ventilación PVC de 3", incluye accesorios de conexión</t>
  </si>
  <si>
    <t>RED AGUA LLUVIA</t>
  </si>
  <si>
    <t>TUBERÍAS PVC AGUA LLUVIA</t>
  </si>
  <si>
    <t>9,1,1</t>
  </si>
  <si>
    <t>Bajante agua lluvia PVC Diámetro 3", incluye accesorios de conexión</t>
  </si>
  <si>
    <t>PUNTOS AGUA LLUVIA PVC</t>
  </si>
  <si>
    <t>9,2,1</t>
  </si>
  <si>
    <t>Punto agua lluvia PVC de 3", incluye accesorio de conexión</t>
  </si>
  <si>
    <t>RED CONTRAINCENDIOS</t>
  </si>
  <si>
    <t>TUBERIAS RED CONTRAINCENDIOS</t>
  </si>
  <si>
    <t>10,1,1</t>
  </si>
  <si>
    <t>Red Tubería 2 1/2" acero negro schedule 40</t>
  </si>
  <si>
    <t>PUNTOS Y APARATOS RED CONTRAINCENDIOS</t>
  </si>
  <si>
    <t>10,2,1</t>
  </si>
  <si>
    <t>Gabinete C.I. Tipo III, accesorios</t>
  </si>
  <si>
    <t>10,2,2</t>
  </si>
  <si>
    <t>Soporte antisimico transversal y/o longitudinal de 2 1/2" y/o 4" listado</t>
  </si>
  <si>
    <t>10,2,3</t>
  </si>
  <si>
    <t>Válvula angular restrictora de 1 1/2" para salida de gabinete contra incendios listada</t>
  </si>
  <si>
    <t>10,2,4</t>
  </si>
  <si>
    <t>Válvula angular estándar de 2 1/2" para salida de gabinete contra incendios listada</t>
  </si>
  <si>
    <t>10,2,5</t>
  </si>
  <si>
    <t>Empalme a red existente en Ø2½" HG</t>
  </si>
  <si>
    <t>APARATOS HIDROSANITARIOS</t>
  </si>
  <si>
    <t>APARATOS BAÑOS Y ASEO</t>
  </si>
  <si>
    <t>11,1,1</t>
  </si>
  <si>
    <t>Sanitario tipo institucional según requerimienro ADA</t>
  </si>
  <si>
    <t>11,1,2</t>
  </si>
  <si>
    <t>Lavamanos de semipedestal en ceramica color blanco con especificacion ADA</t>
  </si>
  <si>
    <t>11,1,3</t>
  </si>
  <si>
    <t>Dispensador de jabón en acero inoxidable</t>
  </si>
  <si>
    <t>11,1,4</t>
  </si>
  <si>
    <t>Porta rollos en acero inoxidable</t>
  </si>
  <si>
    <t>11,1,5</t>
  </si>
  <si>
    <t>Dispensador de toallas en acero inoxidable</t>
  </si>
  <si>
    <t>11,1,6</t>
  </si>
  <si>
    <t>Suministro e instalación de lavatrapero en granito 40x35x20 cm</t>
  </si>
  <si>
    <t>APARATOS REDES HIDROSANITARIAS Y AGUA LLUVIA</t>
  </si>
  <si>
    <t>11,2,1</t>
  </si>
  <si>
    <t>Válvula de corte tipo pesado Red White 3/4"</t>
  </si>
  <si>
    <t>11,2,2</t>
  </si>
  <si>
    <t>Válvula de corte tipo pesado Red White 1 1/4".</t>
  </si>
  <si>
    <t>11,2,3</t>
  </si>
  <si>
    <t>Tapa plástica para válvulas de corte 0.15x0.15 m en pared</t>
  </si>
  <si>
    <t>11,2,4</t>
  </si>
  <si>
    <t>Llave manguera 1/2". Incluye accesorios de conexión, válvula de cierre rápido 1/2" y caja prefabricada en concreto con tapa</t>
  </si>
  <si>
    <t>11,2,5</t>
  </si>
  <si>
    <t>Medidor hidráulico de 1 1/2". Incluye accesorios de conexión</t>
  </si>
  <si>
    <t>11,2,6</t>
  </si>
  <si>
    <t>Cajilla empotrada en muro para medidor en lámina metálica cal 20 y acabado en pintura electroestatica</t>
  </si>
  <si>
    <t>MESONES</t>
  </si>
  <si>
    <t>Mesón en concreto a la vista  hidrofugo, B=0,55m, e=0,07m</t>
  </si>
  <si>
    <t>ACABADOS DE PARED</t>
  </si>
  <si>
    <t>FRISOS Y ESTUCOS PARED</t>
  </si>
  <si>
    <t>13,1,1</t>
  </si>
  <si>
    <t>Friso  liso pared  con mortero 1:4 e=2 cm, incluye filos y dilataciones</t>
  </si>
  <si>
    <t>13,1,2</t>
  </si>
  <si>
    <t>Friso  liso pared  con mortero 1:4 e=2 cm, para alturas mayores a 3 m, incluye filos y dilataciones</t>
  </si>
  <si>
    <t>13,1,3</t>
  </si>
  <si>
    <t>Friso  liso pared  con mortero 1:4 e=2 cm, incluye filos y dilataciones por metro lineal</t>
  </si>
  <si>
    <t>13,1,4</t>
  </si>
  <si>
    <t>Friso  liso pared  con mortero 1:4 e=2 cm, para alturas mayores a 3 m, incluye filos y dilataciones por metro lineal</t>
  </si>
  <si>
    <t>13,1,5</t>
  </si>
  <si>
    <t>Friso  liso pared con mortero 1:4 impermeabilizado e=2 cm, incluye filos y dilataciones</t>
  </si>
  <si>
    <t>13,1,6</t>
  </si>
  <si>
    <t>Friso  liso pared con mortero 1:4 impermeabilizado e=2 cm, para alturas mayores a 3 m, incluye filos y dilataciones</t>
  </si>
  <si>
    <t>13,1,7</t>
  </si>
  <si>
    <t>Friso  liso pared con mortero 1:4 impermeabilizado e=2 cm, incluye filos y dilataciones por metro lineal</t>
  </si>
  <si>
    <t>13,1,8</t>
  </si>
  <si>
    <t>Friso  liso pared con mortero 1:4 impermeabilizado e=2 cm, para alturas mayores a 3 m, incluye filos y dilataciones por metro lineal</t>
  </si>
  <si>
    <t>13,1,9</t>
  </si>
  <si>
    <t>Estuco plástico pared interior y/o exterior</t>
  </si>
  <si>
    <t>13,1,10</t>
  </si>
  <si>
    <t>Estuco plástico pared interior y/o exterior, para alturas mayores a 3 m</t>
  </si>
  <si>
    <t>13,1,11</t>
  </si>
  <si>
    <t>Estuco plástico pared interior y/o exterior por metro lineal</t>
  </si>
  <si>
    <t>13,1,12</t>
  </si>
  <si>
    <t>Estuco plástico pared interior y/o exterior para alturas mayores a 3 m, por metro lineal</t>
  </si>
  <si>
    <t>PINTURA PARED</t>
  </si>
  <si>
    <t>13,2,1</t>
  </si>
  <si>
    <t>Pintura vinilo tipo 1 pared  interior, sobre estuco, tres manos</t>
  </si>
  <si>
    <t>13,2,2</t>
  </si>
  <si>
    <t>Pintura vinilo tipo 1 pared  interior, sobre estuco, tres manos, para alturas mayores a 3 m</t>
  </si>
  <si>
    <t>13,2,3</t>
  </si>
  <si>
    <t>Pintura  vinilo tipo 1 pared  interior, sobre estuco, tres manos por metro lineal</t>
  </si>
  <si>
    <t>13,2,4</t>
  </si>
  <si>
    <t>Pintura  vinilo tipo 1 pared  interior, sobre estuco, tres manos, para alturas mayores a 3 m, por metro lineal</t>
  </si>
  <si>
    <t>13,2,5</t>
  </si>
  <si>
    <t>Pintura acrílica exterior pared, sobre estuco, dos manos.</t>
  </si>
  <si>
    <t>13,2,6</t>
  </si>
  <si>
    <t>Pintura acrílica exterior pared, sobre estuco, dos manos, para alturas mayores a 3 m</t>
  </si>
  <si>
    <t>13,2,7</t>
  </si>
  <si>
    <t>Pintura epoxica poliamida para muros</t>
  </si>
  <si>
    <t>13,2,8</t>
  </si>
  <si>
    <t>Pintura epoxica poliamida para muros, para alturas mayores a 3 m</t>
  </si>
  <si>
    <t>13,2,9</t>
  </si>
  <si>
    <t>Pintura epoxica poliamida para muros, para alturas mayores a 3 m, por metro lineal</t>
  </si>
  <si>
    <t>FACHADAS</t>
  </si>
  <si>
    <t>13,3,1</t>
  </si>
  <si>
    <t>Celosía C-40E lisa, incluye tubería en aluminio de 3x11/2 y perfil celosía C-40E</t>
  </si>
  <si>
    <t>ACABADOS DE PISOS</t>
  </si>
  <si>
    <t>MORTEROS DE NIVELACIÓN</t>
  </si>
  <si>
    <t>14,1,1</t>
  </si>
  <si>
    <t>Alistado de piso en mortero impermeabilizado 1:3 e=4cm.</t>
  </si>
  <si>
    <t>ACABADOS DE PISO INTERIOR / EXTERIOR</t>
  </si>
  <si>
    <t>14,2,1</t>
  </si>
  <si>
    <t>Subcontrato suministro e instalacion de Piso vinilo e=2 mm, incluye media caña en pvc</t>
  </si>
  <si>
    <t>14,2,2</t>
  </si>
  <si>
    <t>Pulida de Mortero con helicóptero y endurecedor superficial de pisos</t>
  </si>
  <si>
    <t>PUERTAS, VENTANAS, ESPEJOS Y VIDRIOS</t>
  </si>
  <si>
    <t>PUERTAS</t>
  </si>
  <si>
    <t>15,1,1</t>
  </si>
  <si>
    <t>Puerta batiente en sólido fenólico 3 mm entamborada, color gris nuebe, estructura metálica 1", borde recto. Incluye cerradura de manija sistema tubular y mecanismo de pasador ajustable. Dimensiones 0,90 x 2,85 m</t>
  </si>
  <si>
    <t>15,1,2</t>
  </si>
  <si>
    <t>Puerta batiente en sólido fenólico 3 mm entamborada, color gris nuebe, estructura metálica 1", borde recto. Incluye cerradura de manija sistema tubular y mecanismo de pasador ajustable. Dimensiones 1,00 x 2,85 m</t>
  </si>
  <si>
    <t>15,1,3</t>
  </si>
  <si>
    <t>Puerta batiente en panelex o similar, color gris nuebe, estructura metálica 1", borde recto. Incluye cerradura de manija sistema tubular y mecanismo de pasador ajustable. Dimensiones 0,90 x 2,85 m</t>
  </si>
  <si>
    <t>15,1,4</t>
  </si>
  <si>
    <t>Puerta batiente en vidrio templado de 10mm incoloro, con accesorios en acero, bisagras esquineros, cerradura central y gato hidráulico. Dimensiones 0,90 x 2,85 m</t>
  </si>
  <si>
    <t>15,1,5</t>
  </si>
  <si>
    <t>Puerta batiente de dos hojas en vidrio templado de 10mm incoloro, con accesorios en acero, bisagras esquineros, cerradura central y gato hidráulico. Dimensiones 1,40 x 2,85 m</t>
  </si>
  <si>
    <t>VENTANAS</t>
  </si>
  <si>
    <t>15,2,1</t>
  </si>
  <si>
    <t>Ventana corredera de dos hojas en aluminio ref. 744 ABM, vidrio laminado 3mm+3mm incoloro y seguro jaguar. Dimensiones 1,99 x 1,67 m</t>
  </si>
  <si>
    <t>15,2,2</t>
  </si>
  <si>
    <t>Ventana corrediza de dos hojas en aluminio ref. 744 ABM, vidrio laminado 3mm+3mm incoloro y seguro jaguar. Dimensiones 2,05 x 1,67 m</t>
  </si>
  <si>
    <t>15,2,3</t>
  </si>
  <si>
    <t>Ventana corrediza de dos hojas en aluminio ref. 744 ABM, vidrio laminado 3mm+3mm incoloro y seguro jaguar. Dimensiones 1,92 x 0,60 m</t>
  </si>
  <si>
    <t>15,2,4</t>
  </si>
  <si>
    <t>Ventana corrediza de dos hojas en aluminio ref. 744 ABM, vidrio laminado 3mm+3mm incoloro y seguro jaguar. Dimensiones 1,85 x 1,67 m</t>
  </si>
  <si>
    <t>15,2,5</t>
  </si>
  <si>
    <t>Ventana corrediza de dos hojas en aluminio ref. 744 ABM, vidrio laminado 3mm+3mm incoloro y seguro jaguar y fijo en la parte inferior en tubo 3x1 con vidrio estampillado. Dimensiones 2,35 x 2,60 m</t>
  </si>
  <si>
    <t>ESPEJOS Y VIDRIOS</t>
  </si>
  <si>
    <t>15,3,1</t>
  </si>
  <si>
    <t>Espejo biselado 4 mm</t>
  </si>
  <si>
    <t>15,3,2</t>
  </si>
  <si>
    <t xml:space="preserve">Fijo en vidrio laminado 3mm+3mm incoloro con perfil F de aluminio en la parte superior e inferior. </t>
  </si>
  <si>
    <t>15,3,3</t>
  </si>
  <si>
    <t xml:space="preserve">Fijo en vidrio templado 10mm incoloro con perfil F de aluminio en la parte superior e inferior. </t>
  </si>
  <si>
    <t>15,3,4</t>
  </si>
  <si>
    <t>Cerramiento en vidrio templado 10mm fijo y listones EcoWood H-40 4x6 cm, separados 12 cm entre ejes.</t>
  </si>
  <si>
    <t>BARRAS, BARANDAS Y PASAMANOS</t>
  </si>
  <si>
    <t>BARRAS DE APOYO</t>
  </si>
  <si>
    <t>16,1,1</t>
  </si>
  <si>
    <t>Barra abatible vertical 800 mm para discapacitados</t>
  </si>
  <si>
    <t>16,1,2</t>
  </si>
  <si>
    <t>Barra recta 500 mm para discapacitados</t>
  </si>
  <si>
    <t>BANCAS</t>
  </si>
  <si>
    <t>Banca corrida con sub estructura metálica y revestimiento en pino patula inmunizado 10.00 x 2.50cm</t>
  </si>
  <si>
    <t>Banca fija en estructura en acero con tablones en madera pino de 1 1/2" tratada para exterior 1,15x0,40x0,45 m</t>
  </si>
  <si>
    <t>CARPINTERÍA METÁLICA Y EN MADERA</t>
  </si>
  <si>
    <t>Suministro e instalación gradería corrida con sub estructura metálica 50x50x1,5mm, revestimiento en pino patula inmunizado 10cm x 2.5cm Dimensiones: 1,50m de profundidad x 0,90m de alto</t>
  </si>
  <si>
    <t>Suministro e instalación gradería con sub estructura metálica 50x50x1,5mm, revestimiento en pino patula inmunizado 10cm x 2.5cm Dimensiones: 1,50m de profundidad x 0,90m de alto y 14,48m de largo</t>
  </si>
  <si>
    <t>SEÑALIZACIÓN</t>
  </si>
  <si>
    <t>Suministro e instalación de vinilo adhesivo de corte color naranja sobre puertas de baños. Medidas y diseño según planos arquitectónicos</t>
  </si>
  <si>
    <t>Suministro e instalación de señaletica en lamina de acero cal 16 fijada a pared. Medidas y diseño según planos arquitectónicos</t>
  </si>
  <si>
    <t>DOTACIÓN DEPORTIVA</t>
  </si>
  <si>
    <t>Cancha de squash de dobles convertible a sencilla "SQUASH GLASS COURT DOUBLES" avalada para eventos internacionales</t>
  </si>
  <si>
    <t>20,1,1</t>
  </si>
  <si>
    <t>Subcontrato suministro e instalación de Cancha de squash de dobles convertible a sencilla "SQUASH GLASS COURT DOUBLES"avaladas para eventos internacionales</t>
  </si>
  <si>
    <t>Cancha de squash sencillos "singles" con pared lateral en vidrio</t>
  </si>
  <si>
    <t>20,2,1</t>
  </si>
  <si>
    <t>Subcontrato Suministro e instalación de cancha de squash sencillos "singles" con pared lateral en vidrio</t>
  </si>
  <si>
    <t>Aseo y limpieza.</t>
  </si>
  <si>
    <t>INSTALACIÓN SISTEMA AIRE ACONDICIONADO, FILTRACIÓN Y VENTILACIÓN MECÁNICA</t>
  </si>
  <si>
    <t>INSTALACIÓN UNIDADES SPLIT</t>
  </si>
  <si>
    <t>22,1,1</t>
  </si>
  <si>
    <t>Suministro e instalación Condensadora Aire Acondicionado Miulti split inverter 36000 BTU 220V-1P-60Hz R410a y Evaporadora tipo Fan Coil Miulti split inverter 18000 BTU 220V-1P-60Hz R410a</t>
  </si>
  <si>
    <t>22,1,2</t>
  </si>
  <si>
    <t>Suministro e Instalacion de ducteria en lamina galvanizada</t>
  </si>
  <si>
    <t>22,1,3</t>
  </si>
  <si>
    <t>Suministro e instalación de Tuberia de cobre rígida 1/2' (5/8 R) incluye  soporte, accesorios, soldadura y aislamiento con manguera rubatex</t>
  </si>
  <si>
    <t>22,1,4</t>
  </si>
  <si>
    <t>Suministro e instalación de Tuberia de cobre rígida 1/4' (3/8 R) incluye  soporte, accesorios, soldadura y aislamiento con manguera rubatex</t>
  </si>
  <si>
    <t>22,1,5</t>
  </si>
  <si>
    <t>Suministro e Instalacion de tuberia 1" de PVC de alta presion soldada y aislada con Rubatex</t>
  </si>
  <si>
    <t>22,1,6</t>
  </si>
  <si>
    <t>Suministro, Instalacion y soporteria de tuberia 3/4" EMT electrica</t>
  </si>
  <si>
    <t>22,1,7</t>
  </si>
  <si>
    <t>Suministro, Instalacion y soporteria de tuberia 3/4" IMC electrica</t>
  </si>
  <si>
    <t>22,1,8</t>
  </si>
  <si>
    <t>Suministro y tendido de cable encauchetado para potencia y control 4x12AWG</t>
  </si>
  <si>
    <t>22,1,9</t>
  </si>
  <si>
    <t xml:space="preserve">Suministro e carga de Refrigerante Adicional de alta eficiencia energética R410A </t>
  </si>
  <si>
    <t>22,1,10</t>
  </si>
  <si>
    <t>Difusor de techo de 4 vías con damper 8"X8"</t>
  </si>
  <si>
    <t>22,1,11</t>
  </si>
  <si>
    <t>Rejilla de retorno para techo 14"X8"</t>
  </si>
  <si>
    <t>22,1,12</t>
  </si>
  <si>
    <t>Prueba de presion, Conexión, Configuracion de arranque, Pruebas de rendimiento y Puesta a Punto de equipos Mini Split</t>
  </si>
  <si>
    <t>REUBICACIÓN DE RED DE AGUA DE CONDENSADO EXISTENTE</t>
  </si>
  <si>
    <t>22,2,1</t>
  </si>
  <si>
    <t>Suministro e instalacion deTubo PVC Presión RDE 21 Diámetro 4"</t>
  </si>
  <si>
    <t>22,2,2</t>
  </si>
  <si>
    <t xml:space="preserve">Suministro e instalacion de Valvula de corte tipo pesado 4" </t>
  </si>
  <si>
    <t>22,2,3</t>
  </si>
  <si>
    <t>Desmonte de Tuberia de 4" PVC</t>
  </si>
  <si>
    <t>22,2,4</t>
  </si>
  <si>
    <t>Pruebas de Presion, llenado de agua y confirmacion de funcionalidad del sistema</t>
  </si>
  <si>
    <t>INSTALACIÓN UNIDADES PURIFICADORAS DE AIRE</t>
  </si>
  <si>
    <t>22,3,1</t>
  </si>
  <si>
    <t>Suministro e instalación purificador de aire portatil con filtracion HEPA (unidad purificadora de aire vertical movible)</t>
  </si>
  <si>
    <t>23,1,01</t>
  </si>
  <si>
    <t>Retiro, trasporte y entrega en bodega del municipio de luminaria descolgada o sobrepuesta tipo fluorescente, incluye retiro de tubería de alimentación de la luminaria.</t>
  </si>
  <si>
    <t>23,1,02</t>
  </si>
  <si>
    <t>Retiro,  transporte  y entrega en bodega del municipio de conductor de redes de baja tensión aérea /subterránea en cualquier  calibre.</t>
  </si>
  <si>
    <t>23,1,03</t>
  </si>
  <si>
    <t>Retiro, trasporte y entrega en bodega del municipio de salida de luminaria, tomacorriente o interruptor, incluye retiro de tubería de alimentación de la salida.</t>
  </si>
  <si>
    <t xml:space="preserve"> CANALIZACIÓN DE BAJA TENSIÓN</t>
  </si>
  <si>
    <t>23.2.01</t>
  </si>
  <si>
    <t>Suministro, transporte e instalación de ducto ETM 2", y demas accesorios de instalación y marcación.</t>
  </si>
  <si>
    <t>23.2.02</t>
  </si>
  <si>
    <t xml:space="preserve">Suministro, transporte e instalación de ducto 2" PVC conduit tipo pesado. Incluye excavación 0,9 m, base compactada en arena de peña, relleno compactado en arena de peña y tierra de excavación, banda plástica de señalización y retiro de escombros y disposición final. </t>
  </si>
  <si>
    <t>23.2.03</t>
  </si>
  <si>
    <t>Suministro, transporte e instalación de ducto EMT 1", y demas accesorios de instalación y marcación.</t>
  </si>
  <si>
    <t>REDES DE BAJA TENSIÓN</t>
  </si>
  <si>
    <t>23,3,01</t>
  </si>
  <si>
    <t>Suministro, transporte e instalación de red  canalizada en cable  Cu No 3x1/0 + 1x1/0N + 1x1/0T LSHF (Libre de halogenos). Incluye accesorios de instalación y señalización.</t>
  </si>
  <si>
    <t>23,3,02</t>
  </si>
  <si>
    <t>Suministro, transporte e instalación de red  canalizada en cable  Cu No 3x6 + 1x6N + 1x6T LSHF (Libre de halogenos). Incluye accesorios de instalación y señalización.</t>
  </si>
  <si>
    <t>EQUIPOS DE BAJA TENSIÓN</t>
  </si>
  <si>
    <t>23,4,01</t>
  </si>
  <si>
    <t>Suministro, transporte e Instalación de Medidor eléctrónico trifásico de medida directa WM-053F Cl 1.0 Activa- Cl 2.0 Reactiva 3 x 380 V  5(100) A con con puerto de  Comunicación RS-485.</t>
  </si>
  <si>
    <t>23,4,02</t>
  </si>
  <si>
    <t xml:space="preserve">Suministro, transporte e instalación de  tablero de distribución trifásico T36-3F empotrable de 36 Módulos con espacio de totalizador -  demás accesorios de instalación y señalización. </t>
  </si>
  <si>
    <t>23,4,03</t>
  </si>
  <si>
    <t xml:space="preserve">Suministro, transporte e instalación de dispositivo de protección contra sobre tensiones DPS . Incluye cofre metálico 300X200X160mm , 1 protección  3X50A 10KA, DPS tipo II Imax 40KA/ Icc 10KA 220V 3P+N, cableado y demás accesorios de instalación y señalización. </t>
  </si>
  <si>
    <t>23,4,04</t>
  </si>
  <si>
    <t>Suministro, transporte e instalación de Totalizador industrial 3x100A c-C  240-440V, 25-12,5 KA,  Incluye marcación RETIE.</t>
  </si>
  <si>
    <t>23,4,05</t>
  </si>
  <si>
    <t>Suministro, transporte e instalación de automático enchufable 2x40 A, 220-127V, 20-6 KA. Incluye señalización RETIE.</t>
  </si>
  <si>
    <t>23,4,06</t>
  </si>
  <si>
    <t>Suministro, transporte e instalación de Automático enchufable 2x20 A, 220-440V, 20-6 KA. Incluye señalización RETIE.</t>
  </si>
  <si>
    <t>23,4,07</t>
  </si>
  <si>
    <t>Suministro, transporte e instalación de Automático enchufable 1x20 A, 120V, 20-6 KA. Incluye señalización RETIE.</t>
  </si>
  <si>
    <t>23,4,08</t>
  </si>
  <si>
    <t>Suministro, transporte e instalación de caja de distribución de comunicaciones. Incluye, adaptador terminal PVC 3/4" y 1", gabinete metálico en calibre 18. y demas accesorios de instalación y marcación.</t>
  </si>
  <si>
    <t>SALIDAS DE BAJA TENSIÓN</t>
  </si>
  <si>
    <t>23,5,01</t>
  </si>
  <si>
    <t>Suministro, transporte e instalación de salida de TOMA GFCI (#12 LSHF - EMT)  por techo o pared. Incluye red 3 No 12 LSHF Cu, ducto EMT 3/4", caja Rawelt octogonal, caja Rawelt rectangular. conectores tipo resorte, y demas accesorios de instalación y marcación.</t>
  </si>
  <si>
    <t>23,5,02</t>
  </si>
  <si>
    <t>Suministro, transporte e instalación de salida de TOMA DEDICADA (#12 LSHF - EMT)  por techo o pared. Incluye red 3 No 12 LSHF Cu, ducto EMT 3/4", caja Rawelt octogonal, caja Rawelt rectangular. conectores tipo resorte, y demas accesorios de instalación y marcación.</t>
  </si>
  <si>
    <t>23,5,03</t>
  </si>
  <si>
    <t>Suministro, transporte e instalación de salida de TOMA BIFASICA (#10 LSHF - EMT)  por techo o pared. Incluye red 3 No 10 LSHF Cu, ducto ETM 3/4", caja Rawelt octogonal, caja Rawelt rectangular. conectores tipo resorte, y demas accesorios de instalación y marcación.</t>
  </si>
  <si>
    <t>23,5,04</t>
  </si>
  <si>
    <t>Suministro, transporte e instalación de salida de TOMA (#12 LSHF - EMT)  por techo o pared. Incluye red 3 No 12 LSHF Cu, ducto ETM 3/4", caja Rawelt octogonal, caja Rawelt rectangular. conectores tipo resorte, y demas accesorios de instalación y marcación.</t>
  </si>
  <si>
    <t>23,5,05</t>
  </si>
  <si>
    <t>Suministro, transporte e instalación de salida de TOMA PISO  (#12 LSHF - PVC) . Incluye red 3 No 12 LSHF Cu, ducto PVC 3/4", caja Rawelt octogonal, caja Rawelt rectangular. conectores tipo resorte, y demas accesorios de instalación y marcación.</t>
  </si>
  <si>
    <t>23,5,06</t>
  </si>
  <si>
    <t>Suministro, transporte e instalación de luminaria Linear square led 50W 1.2m o similar. Incluye cableado y accesorios de instalación y señalización. Especificaciones e instalación  de elementos según diseño eléctrico. Debe cumplir la intención de iluminación ornamental indicada en planos.</t>
  </si>
  <si>
    <t>23,5,07</t>
  </si>
  <si>
    <t>Suministro, transporte e instalación de BALA led SLIM 24W, 6500K, 50.000 horas- o similar. Incluye cableado y accesorios de instalación y señalización. Especificaciones e instalación  de elementos según diseño eléctrico. Debe cumplir niveles de iluminación y uniformidad indicados en el plano adjunto en los estudios previos.</t>
  </si>
  <si>
    <t>23,5,08</t>
  </si>
  <si>
    <t>Suministro, transporte e instalación de luminaria Riel TC Led 29,1W,IP65, 4400LM, 4000k, 50.000H o similar. La luminaria cuenta con Driver multivoltaje, programable, con protección de sobrevoltajes, ON/OFF. Incluye cableado y accesorios de instalación y señalización. Especificaciones e instalación  de elementos según diseño eléctrico. Debe cumplir niveles de iluminación y uniformidad indicados en el plano adjunto en los estudios previos.</t>
  </si>
  <si>
    <t>23,5,09</t>
  </si>
  <si>
    <t>Suministro, transporte e instalación de driver de emrgencia es ref ELD07, autonomia 90 minutos  con 5 años de garantia.  El driver debe permitir que la luminaria pueda ser utilizada tanto en operación normal como en emergencia. incluye batería, cargador, circuito inversor, cableado, accesorios de instalación y señalización. Especificaciones e instalación  de elementos según diseño eléctrico. Debe cumplir niveles de iluminación y uniformidad indicados en el plano adjunto en los estudios previos.</t>
  </si>
  <si>
    <t>23,5,10</t>
  </si>
  <si>
    <t>Suministro, transporte e instalación de luminaria  de Emergencia, aviso y doble spot direccionable  o similar. Incluye elementos de  marcación  y demás accesorios de instalación. Debe cumplir niveles de iluminación y uniformidad indicados en el plano adjunto en los estudios previos.</t>
  </si>
  <si>
    <t>SALIDAS DE COMUNICACIONES</t>
  </si>
  <si>
    <t>23,6,01</t>
  </si>
  <si>
    <t>Suministro, transporte e instalación de salida de comunicaciones en  ducto PVC 3/4", incluye  caja  cuadrada, jack rj45,  cable utp cat 6 y demas accesorios de instalación y marcación.</t>
  </si>
  <si>
    <t>23,6,02</t>
  </si>
  <si>
    <t>Certificacion de puntos de datos.</t>
  </si>
  <si>
    <t>Para la presentación de la propuesta económica deberá tener en cuenta los siguientes aspectos:
Nota 1: Todos los valores contenidos en la 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 
Nota 2: En el evento que la propuesta económica no contenga el precio o se haya diligenciado en cero o con algún símbolo, la propuesta será rechazada.
Nota 3: 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
Nota 4: La Entidad realizará la verificación y corrección de todas las operaciones aritméticas a que haya lugar en la propuesta económica. El resultado de todas las operaciones aritméticas se redondeará al peso en el momento de la evaluación económica.
Nota 5: El AIU deberá ser expresado en porcentaje (%) y deberá consignarlo y discriminarlo en la propuesta económica (administración (a), imprevistos (i) y utilidad (u)) (cuando aplique)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
Nota 6: Revisión del IVA: El oferente debe indicar en su oferta económica la tarifa del IVA aplicable al objeto contractual. En caso de no indicarla o en caso de indicarla en un porcentaje diferente a la tarifa legal, su oferta será rechazada.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</si>
</sst>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$&quot;\ #,##0;[Red]\-&quot;$&quot;\ #,##0"/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;[Red]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[$$-240A]\ * #,##0.00_-;\-[$$-240A]\ * #,##0.00_-;_-[$$-240A]\ * &quot;-&quot;??_-;_-@_-"/>
    <numFmt numFmtId="168" formatCode="0.0"/>
    <numFmt numFmtId="169" formatCode="_-* #,##0.00_-;\-* #,##0.00_-;_-* \-??_-;_-@_-"/>
    <numFmt numFmtId="170" formatCode="_ * #,##0.00_ ;_ * \-#,##0.00_ ;_ * \-??_ ;_ @_ "/>
    <numFmt numFmtId="171" formatCode="_ * #,##0_ ;_ * \-#,##0_ ;_ * \-??_ ;_ @_ "/>
    <numFmt numFmtId="172" formatCode="_([$$-240A]\ * #,##0_);_([$$-240A]\ * \(#,##0\);_([$$-240A]\ * &quot;-&quot;??_);_(@_)"/>
    <numFmt numFmtId="173" formatCode="_-* #,##0_-;\-* #,##0_-;_-* &quot;-&quot;??_-;_-@_-"/>
    <numFmt numFmtId="174" formatCode="&quot;$&quot;#,##0"/>
    <numFmt numFmtId="175" formatCode="_-* #,##0.00_-;\-* #,##0.00_-;_-* &quot;-&quot;_-;_-@_-"/>
    <numFmt numFmtId="176" formatCode="_ &quot;$&quot;\ * #,##0_ ;_ &quot;$&quot;\ * \-#,##0_ ;_ &quot;$&quot;\ * &quot;-&quot;_ ;_ 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  <charset val="1"/>
    </font>
    <font>
      <b/>
      <sz val="10"/>
      <color rgb="FF000000"/>
      <name val="Arial Narrow"/>
      <family val="2"/>
    </font>
    <font>
      <sz val="10"/>
      <name val="Arial Narrow"/>
      <family val="2"/>
      <charset val="1"/>
    </font>
    <font>
      <sz val="10"/>
      <color rgb="FF000000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sz val="10"/>
      <color theme="1"/>
      <name val="Century Schoolbook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name val="Arial"/>
      <family val="2"/>
    </font>
    <font>
      <b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9" fontId="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176" fontId="5" fillId="0" borderId="0" applyFont="0" applyFill="0" applyBorder="0" applyAlignment="0" applyProtection="0"/>
    <xf numFmtId="0" fontId="5" fillId="0" borderId="0"/>
    <xf numFmtId="176" fontId="5" fillId="0" borderId="0" applyFont="0" applyFill="0" applyBorder="0" applyAlignment="0" applyProtection="0"/>
  </cellStyleXfs>
  <cellXfs count="36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4" fillId="0" borderId="1" xfId="0" applyNumberFormat="1" applyFont="1" applyBorder="1"/>
    <xf numFmtId="1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/>
    <xf numFmtId="167" fontId="4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/>
    <xf numFmtId="167" fontId="5" fillId="2" borderId="1" xfId="0" applyNumberFormat="1" applyFont="1" applyFill="1" applyBorder="1"/>
    <xf numFmtId="167" fontId="5" fillId="3" borderId="1" xfId="0" applyNumberFormat="1" applyFont="1" applyFill="1" applyBorder="1"/>
    <xf numFmtId="167" fontId="5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7" fontId="4" fillId="5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/>
    <xf numFmtId="168" fontId="4" fillId="2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6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167" fontId="4" fillId="0" borderId="0" xfId="0" applyNumberFormat="1" applyFont="1"/>
    <xf numFmtId="0" fontId="5" fillId="6" borderId="2" xfId="2" applyFont="1" applyFill="1" applyBorder="1" applyAlignment="1">
      <alignment horizontal="right" vertical="center"/>
    </xf>
    <xf numFmtId="0" fontId="5" fillId="6" borderId="3" xfId="2" applyFont="1" applyFill="1" applyBorder="1" applyAlignment="1">
      <alignment horizontal="center" vertical="center"/>
    </xf>
    <xf numFmtId="170" fontId="8" fillId="6" borderId="3" xfId="3" applyNumberFormat="1" applyFont="1" applyFill="1" applyBorder="1" applyAlignment="1" applyProtection="1">
      <alignment horizontal="center" vertical="center" wrapText="1"/>
    </xf>
    <xf numFmtId="4" fontId="8" fillId="6" borderId="3" xfId="3" applyNumberFormat="1" applyFont="1" applyFill="1" applyBorder="1" applyAlignment="1" applyProtection="1">
      <alignment horizontal="right" vertical="center" wrapText="1"/>
    </xf>
    <xf numFmtId="171" fontId="8" fillId="6" borderId="4" xfId="3" applyNumberFormat="1" applyFont="1" applyFill="1" applyBorder="1" applyAlignment="1" applyProtection="1">
      <alignment horizontal="center" vertical="center" wrapText="1"/>
    </xf>
    <xf numFmtId="171" fontId="8" fillId="6" borderId="0" xfId="3" applyNumberFormat="1" applyFont="1" applyFill="1" applyBorder="1" applyAlignment="1" applyProtection="1">
      <alignment horizontal="center" vertical="center" wrapText="1"/>
    </xf>
    <xf numFmtId="171" fontId="8" fillId="6" borderId="5" xfId="3" applyNumberFormat="1" applyFont="1" applyFill="1" applyBorder="1" applyAlignment="1" applyProtection="1">
      <alignment horizontal="center" vertical="center" wrapText="1"/>
    </xf>
    <xf numFmtId="0" fontId="5" fillId="6" borderId="6" xfId="2" applyFont="1" applyFill="1" applyBorder="1" applyAlignment="1">
      <alignment horizontal="right" vertical="center"/>
    </xf>
    <xf numFmtId="0" fontId="5" fillId="6" borderId="7" xfId="2" applyFont="1" applyFill="1" applyBorder="1" applyAlignment="1">
      <alignment horizontal="center" vertical="center"/>
    </xf>
    <xf numFmtId="170" fontId="8" fillId="6" borderId="7" xfId="3" applyNumberFormat="1" applyFont="1" applyFill="1" applyBorder="1" applyAlignment="1" applyProtection="1">
      <alignment horizontal="center" vertical="center" wrapText="1"/>
    </xf>
    <xf numFmtId="4" fontId="8" fillId="6" borderId="7" xfId="3" applyNumberFormat="1" applyFont="1" applyFill="1" applyBorder="1" applyAlignment="1" applyProtection="1">
      <alignment horizontal="right" vertical="center" wrapText="1"/>
    </xf>
    <xf numFmtId="171" fontId="8" fillId="6" borderId="8" xfId="3" applyNumberFormat="1" applyFont="1" applyFill="1" applyBorder="1" applyAlignment="1" applyProtection="1">
      <alignment horizontal="center" vertical="center" wrapText="1"/>
    </xf>
    <xf numFmtId="171" fontId="8" fillId="6" borderId="9" xfId="3" applyNumberFormat="1" applyFont="1" applyFill="1" applyBorder="1" applyAlignment="1" applyProtection="1">
      <alignment horizontal="center" vertical="center" wrapText="1"/>
    </xf>
    <xf numFmtId="0" fontId="8" fillId="6" borderId="6" xfId="2" applyFont="1" applyFill="1" applyBorder="1" applyAlignment="1">
      <alignment horizontal="right" vertical="center" wrapText="1"/>
    </xf>
    <xf numFmtId="10" fontId="8" fillId="6" borderId="7" xfId="3" applyNumberFormat="1" applyFont="1" applyFill="1" applyBorder="1" applyAlignment="1" applyProtection="1">
      <alignment horizontal="center" vertical="center" wrapText="1"/>
    </xf>
    <xf numFmtId="0" fontId="8" fillId="6" borderId="10" xfId="2" applyFont="1" applyFill="1" applyBorder="1" applyAlignment="1">
      <alignment horizontal="right" vertical="center" wrapText="1"/>
    </xf>
    <xf numFmtId="0" fontId="5" fillId="6" borderId="11" xfId="2" applyFont="1" applyFill="1" applyBorder="1" applyAlignment="1">
      <alignment horizontal="center" vertical="center"/>
    </xf>
    <xf numFmtId="10" fontId="8" fillId="6" borderId="11" xfId="3" applyNumberFormat="1" applyFont="1" applyFill="1" applyBorder="1" applyAlignment="1" applyProtection="1">
      <alignment horizontal="center" vertical="center" wrapText="1"/>
    </xf>
    <xf numFmtId="4" fontId="8" fillId="6" borderId="11" xfId="3" applyNumberFormat="1" applyFont="1" applyFill="1" applyBorder="1" applyAlignment="1" applyProtection="1">
      <alignment horizontal="right" vertical="center" wrapText="1"/>
    </xf>
    <xf numFmtId="171" fontId="8" fillId="6" borderId="12" xfId="3" applyNumberFormat="1" applyFont="1" applyFill="1" applyBorder="1" applyAlignment="1" applyProtection="1">
      <alignment horizontal="center" vertical="center" wrapText="1"/>
    </xf>
    <xf numFmtId="171" fontId="8" fillId="6" borderId="13" xfId="3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right"/>
    </xf>
    <xf numFmtId="171" fontId="10" fillId="0" borderId="1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171" fontId="10" fillId="2" borderId="1" xfId="0" applyNumberFormat="1" applyFont="1" applyFill="1" applyBorder="1" applyAlignment="1">
      <alignment horizontal="right"/>
    </xf>
    <xf numFmtId="171" fontId="10" fillId="3" borderId="1" xfId="0" applyNumberFormat="1" applyFont="1" applyFill="1" applyBorder="1" applyAlignment="1">
      <alignment horizontal="right"/>
    </xf>
    <xf numFmtId="171" fontId="10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1" xfId="0" applyNumberFormat="1" applyFont="1" applyBorder="1" applyAlignment="1">
      <alignment horizontal="right"/>
    </xf>
    <xf numFmtId="0" fontId="13" fillId="8" borderId="1" xfId="2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6" fontId="14" fillId="9" borderId="1" xfId="0" applyNumberFormat="1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172" fontId="18" fillId="0" borderId="1" xfId="0" applyNumberFormat="1" applyFont="1" applyFill="1" applyBorder="1" applyAlignment="1">
      <alignment horizontal="center" vertical="center"/>
    </xf>
    <xf numFmtId="173" fontId="19" fillId="0" borderId="1" xfId="3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11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right" vertical="center"/>
    </xf>
    <xf numFmtId="6" fontId="18" fillId="0" borderId="1" xfId="0" applyNumberFormat="1" applyFont="1" applyBorder="1" applyAlignment="1">
      <alignment horizontal="right" vertical="center"/>
    </xf>
    <xf numFmtId="6" fontId="18" fillId="9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10" fontId="18" fillId="0" borderId="1" xfId="1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6" fontId="18" fillId="7" borderId="1" xfId="0" applyNumberFormat="1" applyFont="1" applyFill="1" applyBorder="1" applyAlignment="1">
      <alignment horizontal="righ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3" fontId="22" fillId="11" borderId="1" xfId="0" applyNumberFormat="1" applyFont="1" applyFill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 wrapText="1"/>
    </xf>
    <xf numFmtId="8" fontId="22" fillId="11" borderId="1" xfId="0" applyNumberFormat="1" applyFont="1" applyFill="1" applyBorder="1" applyAlignment="1">
      <alignment horizontal="right" vertical="center" wrapText="1"/>
    </xf>
    <xf numFmtId="173" fontId="24" fillId="12" borderId="1" xfId="0" applyNumberFormat="1" applyFont="1" applyFill="1" applyBorder="1" applyAlignment="1">
      <alignment horizontal="center" vertical="center" wrapText="1"/>
    </xf>
    <xf numFmtId="8" fontId="25" fillId="2" borderId="1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8" fontId="0" fillId="0" borderId="0" xfId="0" applyNumberFormat="1"/>
    <xf numFmtId="167" fontId="2" fillId="13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8" fontId="27" fillId="2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/>
    <xf numFmtId="168" fontId="6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/>
    <xf numFmtId="167" fontId="6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0" fillId="14" borderId="0" xfId="0" applyFill="1"/>
    <xf numFmtId="0" fontId="0" fillId="4" borderId="0" xfId="0" applyFill="1"/>
    <xf numFmtId="167" fontId="6" fillId="4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0" fillId="15" borderId="0" xfId="0" applyFill="1"/>
    <xf numFmtId="167" fontId="0" fillId="15" borderId="0" xfId="0" applyNumberFormat="1" applyFill="1"/>
    <xf numFmtId="0" fontId="1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16" borderId="0" xfId="0" applyFill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1" fillId="4" borderId="0" xfId="0" applyFont="1" applyFill="1"/>
    <xf numFmtId="168" fontId="6" fillId="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4" fontId="10" fillId="0" borderId="1" xfId="4" applyFont="1" applyBorder="1" applyAlignment="1">
      <alignment horizontal="right"/>
    </xf>
    <xf numFmtId="44" fontId="8" fillId="6" borderId="4" xfId="4" applyFont="1" applyFill="1" applyBorder="1" applyAlignment="1" applyProtection="1">
      <alignment horizontal="center" vertical="center" wrapText="1"/>
    </xf>
    <xf numFmtId="44" fontId="8" fillId="6" borderId="0" xfId="4" applyFont="1" applyFill="1" applyBorder="1" applyAlignment="1" applyProtection="1">
      <alignment horizontal="center" vertical="center" wrapText="1"/>
    </xf>
    <xf numFmtId="44" fontId="8" fillId="6" borderId="8" xfId="4" applyFont="1" applyFill="1" applyBorder="1" applyAlignment="1" applyProtection="1">
      <alignment horizontal="center" vertical="center" wrapText="1"/>
    </xf>
    <xf numFmtId="44" fontId="8" fillId="6" borderId="12" xfId="4" applyFont="1" applyFill="1" applyBorder="1" applyAlignment="1" applyProtection="1">
      <alignment horizontal="center" vertical="center" wrapText="1"/>
    </xf>
    <xf numFmtId="44" fontId="10" fillId="17" borderId="0" xfId="4" applyFont="1" applyFill="1" applyBorder="1" applyAlignment="1">
      <alignment horizontal="right"/>
    </xf>
    <xf numFmtId="167" fontId="0" fillId="17" borderId="0" xfId="0" applyNumberFormat="1" applyFill="1"/>
    <xf numFmtId="167" fontId="0" fillId="0" borderId="1" xfId="0" applyNumberFormat="1" applyBorder="1"/>
    <xf numFmtId="44" fontId="0" fillId="0" borderId="1" xfId="4" applyFont="1" applyBorder="1"/>
    <xf numFmtId="0" fontId="4" fillId="18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167" fontId="0" fillId="19" borderId="1" xfId="0" applyNumberFormat="1" applyFill="1" applyBorder="1"/>
    <xf numFmtId="43" fontId="0" fillId="0" borderId="0" xfId="5" applyFont="1"/>
    <xf numFmtId="0" fontId="4" fillId="19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43" fontId="0" fillId="0" borderId="0" xfId="0" applyNumberFormat="1"/>
    <xf numFmtId="166" fontId="11" fillId="19" borderId="0" xfId="0" applyNumberFormat="1" applyFont="1" applyFill="1"/>
    <xf numFmtId="0" fontId="4" fillId="2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7" fontId="5" fillId="19" borderId="1" xfId="0" applyNumberFormat="1" applyFont="1" applyFill="1" applyBorder="1"/>
    <xf numFmtId="41" fontId="21" fillId="0" borderId="0" xfId="6" applyFont="1" applyFill="1" applyAlignment="1">
      <alignment vertical="center"/>
    </xf>
    <xf numFmtId="41" fontId="21" fillId="0" borderId="0" xfId="6" applyFont="1" applyAlignment="1">
      <alignment vertical="center"/>
    </xf>
    <xf numFmtId="41" fontId="32" fillId="0" borderId="1" xfId="6" applyFont="1" applyBorder="1" applyAlignment="1">
      <alignment horizontal="center" vertical="center"/>
    </xf>
    <xf numFmtId="41" fontId="32" fillId="22" borderId="14" xfId="6" applyFont="1" applyFill="1" applyBorder="1" applyAlignment="1">
      <alignment vertical="center" wrapText="1"/>
    </xf>
    <xf numFmtId="174" fontId="34" fillId="23" borderId="1" xfId="6" applyNumberFormat="1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41" fontId="34" fillId="0" borderId="1" xfId="6" applyFont="1" applyBorder="1" applyAlignment="1">
      <alignment vertical="center"/>
    </xf>
    <xf numFmtId="0" fontId="32" fillId="1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41" fontId="34" fillId="0" borderId="0" xfId="6" applyFont="1" applyAlignment="1">
      <alignment vertical="center"/>
    </xf>
    <xf numFmtId="41" fontId="35" fillId="0" borderId="0" xfId="6" applyFont="1" applyFill="1" applyBorder="1" applyAlignment="1">
      <alignment vertical="center"/>
    </xf>
    <xf numFmtId="41" fontId="36" fillId="0" borderId="0" xfId="6" applyFont="1" applyFill="1" applyBorder="1" applyAlignment="1">
      <alignment vertical="center"/>
    </xf>
    <xf numFmtId="41" fontId="36" fillId="0" borderId="0" xfId="0" applyNumberFormat="1" applyFont="1" applyFill="1" applyBorder="1" applyAlignment="1">
      <alignment vertical="center" wrapText="1"/>
    </xf>
    <xf numFmtId="175" fontId="35" fillId="0" borderId="0" xfId="6" applyNumberFormat="1" applyFont="1" applyFill="1" applyBorder="1" applyAlignment="1">
      <alignment vertical="center"/>
    </xf>
    <xf numFmtId="41" fontId="36" fillId="0" borderId="0" xfId="6" applyFont="1" applyFill="1" applyBorder="1" applyAlignment="1">
      <alignment horizontal="center" vertical="center" wrapText="1"/>
    </xf>
    <xf numFmtId="41" fontId="12" fillId="0" borderId="0" xfId="6" applyNumberFormat="1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/>
    </xf>
    <xf numFmtId="0" fontId="25" fillId="26" borderId="1" xfId="0" applyFont="1" applyFill="1" applyBorder="1" applyAlignment="1">
      <alignment horizontal="center" vertical="center" wrapText="1"/>
    </xf>
    <xf numFmtId="8" fontId="23" fillId="26" borderId="1" xfId="0" applyNumberFormat="1" applyFont="1" applyFill="1" applyBorder="1" applyAlignment="1">
      <alignment horizontal="center" vertical="center" wrapText="1"/>
    </xf>
    <xf numFmtId="41" fontId="34" fillId="0" borderId="1" xfId="6" applyFont="1" applyFill="1" applyBorder="1" applyAlignment="1">
      <alignment vertical="center"/>
    </xf>
    <xf numFmtId="10" fontId="3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6" fontId="23" fillId="11" borderId="1" xfId="0" applyNumberFormat="1" applyFont="1" applyFill="1" applyBorder="1" applyAlignment="1">
      <alignment horizontal="center" vertical="center" wrapText="1"/>
    </xf>
    <xf numFmtId="8" fontId="23" fillId="4" borderId="1" xfId="0" applyNumberFormat="1" applyFont="1" applyFill="1" applyBorder="1" applyAlignment="1">
      <alignment horizontal="center" vertical="center"/>
    </xf>
    <xf numFmtId="8" fontId="25" fillId="25" borderId="1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0" fontId="32" fillId="10" borderId="33" xfId="0" applyFont="1" applyFill="1" applyBorder="1" applyAlignment="1">
      <alignment horizontal="center" vertical="center" wrapText="1"/>
    </xf>
    <xf numFmtId="6" fontId="32" fillId="5" borderId="33" xfId="6" applyNumberFormat="1" applyFont="1" applyFill="1" applyBorder="1" applyAlignment="1">
      <alignment vertical="center"/>
    </xf>
    <xf numFmtId="174" fontId="32" fillId="22" borderId="1" xfId="6" applyNumberFormat="1" applyFont="1" applyFill="1" applyBorder="1" applyAlignment="1">
      <alignment horizontal="right" vertical="center"/>
    </xf>
    <xf numFmtId="0" fontId="25" fillId="5" borderId="34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8" fillId="27" borderId="35" xfId="8" applyFont="1" applyFill="1" applyBorder="1" applyAlignment="1">
      <alignment horizontal="center" vertical="center"/>
    </xf>
    <xf numFmtId="0" fontId="38" fillId="27" borderId="35" xfId="8" applyFont="1" applyFill="1" applyBorder="1" applyAlignment="1">
      <alignment vertical="center" wrapText="1"/>
    </xf>
    <xf numFmtId="0" fontId="38" fillId="27" borderId="35" xfId="8" applyFont="1" applyFill="1" applyBorder="1" applyAlignment="1">
      <alignment vertical="center"/>
    </xf>
    <xf numFmtId="0" fontId="38" fillId="0" borderId="1" xfId="9" applyFont="1" applyBorder="1" applyAlignment="1">
      <alignment horizontal="center" vertical="center"/>
    </xf>
    <xf numFmtId="0" fontId="37" fillId="0" borderId="1" xfId="9" applyFont="1" applyBorder="1" applyAlignment="1">
      <alignment horizontal="center" vertical="center"/>
    </xf>
    <xf numFmtId="4" fontId="38" fillId="0" borderId="1" xfId="10" applyNumberFormat="1" applyFont="1" applyBorder="1" applyAlignment="1">
      <alignment vertical="center" wrapText="1"/>
    </xf>
    <xf numFmtId="4" fontId="37" fillId="0" borderId="1" xfId="10" applyNumberFormat="1" applyFont="1" applyBorder="1" applyAlignment="1">
      <alignment vertical="center" wrapText="1"/>
    </xf>
    <xf numFmtId="0" fontId="37" fillId="0" borderId="1" xfId="11" applyFont="1" applyBorder="1" applyAlignment="1">
      <alignment horizontal="center" vertical="center"/>
    </xf>
    <xf numFmtId="0" fontId="38" fillId="0" borderId="1" xfId="11" applyFont="1" applyBorder="1" applyAlignment="1">
      <alignment horizontal="center" vertical="center"/>
    </xf>
    <xf numFmtId="0" fontId="31" fillId="0" borderId="1" xfId="9" applyFont="1" applyBorder="1" applyAlignment="1">
      <alignment horizontal="center" vertical="center"/>
    </xf>
    <xf numFmtId="0" fontId="31" fillId="0" borderId="1" xfId="9" applyFont="1" applyBorder="1" applyAlignment="1">
      <alignment horizontal="left" vertical="center" wrapText="1"/>
    </xf>
    <xf numFmtId="0" fontId="33" fillId="0" borderId="1" xfId="9" applyFont="1" applyBorder="1" applyAlignment="1">
      <alignment horizontal="center" vertical="center"/>
    </xf>
    <xf numFmtId="4" fontId="33" fillId="0" borderId="1" xfId="10" applyNumberFormat="1" applyFont="1" applyBorder="1" applyAlignment="1">
      <alignment vertical="center" wrapText="1"/>
    </xf>
    <xf numFmtId="0" fontId="33" fillId="0" borderId="1" xfId="9" applyFont="1" applyBorder="1" applyAlignment="1">
      <alignment horizontal="left" vertical="center" wrapText="1"/>
    </xf>
    <xf numFmtId="0" fontId="33" fillId="0" borderId="1" xfId="11" applyFont="1" applyBorder="1" applyAlignment="1">
      <alignment horizontal="center" vertical="center"/>
    </xf>
    <xf numFmtId="0" fontId="31" fillId="0" borderId="1" xfId="11" applyFont="1" applyBorder="1" applyAlignment="1">
      <alignment horizontal="center" vertical="center"/>
    </xf>
    <xf numFmtId="0" fontId="31" fillId="0" borderId="1" xfId="11" applyFont="1" applyBorder="1" applyAlignment="1">
      <alignment horizontal="left" vertical="center" wrapText="1"/>
    </xf>
    <xf numFmtId="0" fontId="33" fillId="0" borderId="1" xfId="9" applyFont="1" applyFill="1" applyBorder="1" applyAlignment="1">
      <alignment horizontal="center" vertical="center"/>
    </xf>
    <xf numFmtId="0" fontId="33" fillId="0" borderId="1" xfId="9" applyFont="1" applyFill="1" applyBorder="1" applyAlignment="1">
      <alignment horizontal="left" vertical="center" wrapText="1"/>
    </xf>
    <xf numFmtId="0" fontId="37" fillId="0" borderId="1" xfId="9" applyFont="1" applyFill="1" applyBorder="1" applyAlignment="1">
      <alignment horizontal="center" vertical="center"/>
    </xf>
    <xf numFmtId="4" fontId="37" fillId="0" borderId="1" xfId="10" applyNumberFormat="1" applyFont="1" applyFill="1" applyBorder="1" applyAlignment="1">
      <alignment vertical="center" wrapText="1"/>
    </xf>
    <xf numFmtId="4" fontId="31" fillId="0" borderId="1" xfId="10" applyNumberFormat="1" applyFont="1" applyBorder="1" applyAlignment="1">
      <alignment vertical="center" wrapText="1"/>
    </xf>
    <xf numFmtId="4" fontId="33" fillId="0" borderId="1" xfId="10" applyNumberFormat="1" applyFont="1" applyFill="1" applyBorder="1" applyAlignment="1">
      <alignment vertical="center" wrapText="1"/>
    </xf>
    <xf numFmtId="0" fontId="33" fillId="0" borderId="34" xfId="9" applyFont="1" applyBorder="1" applyAlignment="1">
      <alignment horizontal="left" vertical="center" wrapText="1"/>
    </xf>
    <xf numFmtId="0" fontId="31" fillId="0" borderId="33" xfId="11" applyFont="1" applyBorder="1" applyAlignment="1">
      <alignment horizontal="left" vertical="center" wrapText="1"/>
    </xf>
    <xf numFmtId="0" fontId="33" fillId="0" borderId="34" xfId="11" applyFont="1" applyBorder="1" applyAlignment="1">
      <alignment horizontal="center" vertical="center"/>
    </xf>
    <xf numFmtId="0" fontId="33" fillId="0" borderId="34" xfId="9" applyFont="1" applyBorder="1" applyAlignment="1">
      <alignment horizontal="center" vertical="center"/>
    </xf>
    <xf numFmtId="2" fontId="33" fillId="0" borderId="34" xfId="9" applyNumberFormat="1" applyFont="1" applyBorder="1" applyAlignment="1">
      <alignment horizontal="right" vertical="center" wrapText="1"/>
    </xf>
    <xf numFmtId="0" fontId="37" fillId="0" borderId="34" xfId="9" applyFont="1" applyBorder="1" applyAlignment="1">
      <alignment horizontal="center" vertical="center"/>
    </xf>
    <xf numFmtId="4" fontId="37" fillId="0" borderId="34" xfId="10" applyNumberFormat="1" applyFont="1" applyBorder="1" applyAlignment="1">
      <alignment vertical="center" wrapText="1"/>
    </xf>
    <xf numFmtId="0" fontId="31" fillId="0" borderId="33" xfId="11" applyFont="1" applyBorder="1" applyAlignment="1">
      <alignment horizontal="center" vertical="center"/>
    </xf>
    <xf numFmtId="0" fontId="38" fillId="0" borderId="33" xfId="9" applyFont="1" applyBorder="1" applyAlignment="1">
      <alignment horizontal="center" vertical="center"/>
    </xf>
    <xf numFmtId="0" fontId="38" fillId="0" borderId="33" xfId="11" applyFont="1" applyBorder="1" applyAlignment="1">
      <alignment horizontal="left" vertical="center" wrapText="1"/>
    </xf>
    <xf numFmtId="0" fontId="37" fillId="0" borderId="33" xfId="11" applyFont="1" applyBorder="1" applyAlignment="1">
      <alignment horizontal="center" vertical="center"/>
    </xf>
    <xf numFmtId="4" fontId="37" fillId="0" borderId="33" xfId="10" applyNumberFormat="1" applyFont="1" applyBorder="1" applyAlignment="1">
      <alignment vertical="center" wrapText="1"/>
    </xf>
    <xf numFmtId="0" fontId="38" fillId="27" borderId="27" xfId="8" applyFont="1" applyFill="1" applyBorder="1" applyAlignment="1">
      <alignment horizontal="center" vertical="center"/>
    </xf>
    <xf numFmtId="0" fontId="38" fillId="27" borderId="28" xfId="8" applyFont="1" applyFill="1" applyBorder="1" applyAlignment="1">
      <alignment vertical="center"/>
    </xf>
    <xf numFmtId="0" fontId="31" fillId="27" borderId="35" xfId="8" applyFont="1" applyFill="1" applyBorder="1" applyAlignment="1">
      <alignment horizontal="center" vertical="center"/>
    </xf>
    <xf numFmtId="0" fontId="31" fillId="27" borderId="35" xfId="8" applyFont="1" applyFill="1" applyBorder="1" applyAlignment="1">
      <alignment vertical="center" wrapText="1"/>
    </xf>
    <xf numFmtId="0" fontId="31" fillId="27" borderId="27" xfId="8" applyFont="1" applyFill="1" applyBorder="1" applyAlignment="1">
      <alignment horizontal="center" vertical="center"/>
    </xf>
    <xf numFmtId="0" fontId="31" fillId="27" borderId="35" xfId="8" applyFont="1" applyFill="1" applyBorder="1" applyAlignment="1">
      <alignment vertical="center"/>
    </xf>
    <xf numFmtId="0" fontId="33" fillId="0" borderId="1" xfId="11" applyFont="1" applyFill="1" applyBorder="1" applyAlignment="1">
      <alignment horizontal="center" vertical="center"/>
    </xf>
    <xf numFmtId="0" fontId="31" fillId="0" borderId="0" xfId="8" applyFont="1" applyFill="1" applyBorder="1" applyAlignment="1">
      <alignment horizontal="center" vertical="center"/>
    </xf>
    <xf numFmtId="0" fontId="31" fillId="0" borderId="0" xfId="11" applyFont="1" applyBorder="1" applyAlignment="1">
      <alignment horizontal="center" vertical="center"/>
    </xf>
    <xf numFmtId="0" fontId="33" fillId="0" borderId="0" xfId="11" applyFont="1" applyBorder="1" applyAlignment="1">
      <alignment horizontal="center" vertical="center"/>
    </xf>
    <xf numFmtId="0" fontId="31" fillId="0" borderId="36" xfId="11" applyFont="1" applyBorder="1" applyAlignment="1">
      <alignment horizontal="center" vertical="center"/>
    </xf>
    <xf numFmtId="0" fontId="33" fillId="0" borderId="37" xfId="11" applyFont="1" applyBorder="1" applyAlignment="1">
      <alignment horizontal="center" vertical="center"/>
    </xf>
    <xf numFmtId="4" fontId="33" fillId="0" borderId="14" xfId="10" applyNumberFormat="1" applyFont="1" applyBorder="1" applyAlignment="1">
      <alignment vertical="center" wrapText="1"/>
    </xf>
    <xf numFmtId="4" fontId="37" fillId="0" borderId="16" xfId="10" applyNumberFormat="1" applyFont="1" applyBorder="1" applyAlignment="1">
      <alignment vertical="center" wrapText="1"/>
    </xf>
    <xf numFmtId="0" fontId="33" fillId="0" borderId="0" xfId="11" applyFont="1" applyFill="1" applyBorder="1" applyAlignment="1">
      <alignment horizontal="center" vertical="center"/>
    </xf>
    <xf numFmtId="0" fontId="33" fillId="0" borderId="36" xfId="11" applyFont="1" applyFill="1" applyBorder="1" applyAlignment="1">
      <alignment horizontal="center" vertical="center"/>
    </xf>
    <xf numFmtId="0" fontId="31" fillId="27" borderId="27" xfId="8" applyFont="1" applyFill="1" applyBorder="1" applyAlignment="1">
      <alignment vertical="center"/>
    </xf>
    <xf numFmtId="0" fontId="33" fillId="23" borderId="1" xfId="11" applyFont="1" applyFill="1" applyBorder="1" applyAlignment="1">
      <alignment horizontal="center" vertical="center"/>
    </xf>
    <xf numFmtId="168" fontId="33" fillId="0" borderId="1" xfId="11" applyNumberFormat="1" applyFont="1" applyBorder="1" applyAlignment="1">
      <alignment horizontal="center" vertical="center"/>
    </xf>
    <xf numFmtId="0" fontId="31" fillId="27" borderId="28" xfId="8" applyFont="1" applyFill="1" applyBorder="1" applyAlignment="1">
      <alignment vertical="center"/>
    </xf>
    <xf numFmtId="0" fontId="31" fillId="0" borderId="1" xfId="11" applyFont="1" applyFill="1" applyBorder="1" applyAlignment="1">
      <alignment horizontal="center" vertical="center"/>
    </xf>
    <xf numFmtId="0" fontId="31" fillId="0" borderId="1" xfId="9" applyFont="1" applyFill="1" applyBorder="1" applyAlignment="1">
      <alignment horizontal="left" vertical="center" wrapText="1"/>
    </xf>
    <xf numFmtId="0" fontId="33" fillId="0" borderId="34" xfId="11" applyFont="1" applyFill="1" applyBorder="1" applyAlignment="1">
      <alignment horizontal="center" vertical="center"/>
    </xf>
    <xf numFmtId="0" fontId="33" fillId="0" borderId="34" xfId="9" applyFont="1" applyFill="1" applyBorder="1" applyAlignment="1">
      <alignment horizontal="left" vertical="center" wrapText="1"/>
    </xf>
    <xf numFmtId="0" fontId="33" fillId="0" borderId="34" xfId="9" applyFont="1" applyFill="1" applyBorder="1" applyAlignment="1">
      <alignment horizontal="center" vertical="center"/>
    </xf>
    <xf numFmtId="4" fontId="33" fillId="0" borderId="34" xfId="10" applyNumberFormat="1" applyFont="1" applyFill="1" applyBorder="1" applyAlignment="1">
      <alignment vertical="center" wrapText="1"/>
    </xf>
    <xf numFmtId="0" fontId="37" fillId="0" borderId="33" xfId="9" applyFont="1" applyBorder="1" applyAlignment="1">
      <alignment horizontal="center" vertical="center"/>
    </xf>
    <xf numFmtId="0" fontId="37" fillId="0" borderId="33" xfId="9" applyFont="1" applyBorder="1" applyAlignment="1">
      <alignment horizontal="left" vertical="center" wrapText="1"/>
    </xf>
    <xf numFmtId="0" fontId="33" fillId="0" borderId="33" xfId="9" applyFont="1" applyBorder="1" applyAlignment="1">
      <alignment horizontal="center" vertical="center"/>
    </xf>
    <xf numFmtId="4" fontId="33" fillId="0" borderId="33" xfId="10" applyNumberFormat="1" applyFont="1" applyBorder="1" applyAlignment="1">
      <alignment vertical="center" wrapText="1"/>
    </xf>
    <xf numFmtId="0" fontId="38" fillId="0" borderId="33" xfId="11" applyFont="1" applyBorder="1" applyAlignment="1">
      <alignment horizontal="center" vertical="center"/>
    </xf>
    <xf numFmtId="4" fontId="38" fillId="0" borderId="33" xfId="10" applyNumberFormat="1" applyFont="1" applyBorder="1" applyAlignment="1">
      <alignment vertical="center" wrapText="1"/>
    </xf>
    <xf numFmtId="4" fontId="37" fillId="0" borderId="34" xfId="10" applyNumberFormat="1" applyFont="1" applyFill="1" applyBorder="1" applyAlignment="1">
      <alignment vertical="center" wrapText="1"/>
    </xf>
    <xf numFmtId="0" fontId="31" fillId="0" borderId="33" xfId="9" applyFont="1" applyBorder="1" applyAlignment="1">
      <alignment horizontal="left" vertical="center" wrapText="1"/>
    </xf>
    <xf numFmtId="0" fontId="31" fillId="0" borderId="0" xfId="8" applyFont="1" applyFill="1" applyBorder="1" applyAlignment="1">
      <alignment vertical="center"/>
    </xf>
    <xf numFmtId="0" fontId="38" fillId="0" borderId="0" xfId="8" applyFont="1" applyFill="1" applyBorder="1" applyAlignment="1">
      <alignment vertical="center"/>
    </xf>
    <xf numFmtId="4" fontId="31" fillId="0" borderId="33" xfId="10" applyNumberFormat="1" applyFont="1" applyBorder="1" applyAlignment="1">
      <alignment vertical="center" wrapText="1"/>
    </xf>
    <xf numFmtId="4" fontId="37" fillId="0" borderId="1" xfId="12" applyNumberFormat="1" applyFont="1" applyBorder="1" applyAlignment="1">
      <alignment vertical="center" wrapText="1"/>
    </xf>
    <xf numFmtId="4" fontId="33" fillId="0" borderId="1" xfId="12" applyNumberFormat="1" applyFont="1" applyBorder="1" applyAlignment="1">
      <alignment vertical="center" wrapText="1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 wrapText="1"/>
    </xf>
    <xf numFmtId="8" fontId="12" fillId="1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8" fontId="22" fillId="0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32" fillId="10" borderId="14" xfId="0" applyFont="1" applyFill="1" applyBorder="1" applyAlignment="1">
      <alignment horizontal="left" vertical="center" wrapText="1"/>
    </xf>
    <xf numFmtId="0" fontId="32" fillId="10" borderId="15" xfId="0" applyFont="1" applyFill="1" applyBorder="1" applyAlignment="1">
      <alignment horizontal="left" vertical="center" wrapText="1"/>
    </xf>
    <xf numFmtId="0" fontId="32" fillId="10" borderId="16" xfId="0" applyFont="1" applyFill="1" applyBorder="1" applyAlignment="1">
      <alignment horizontal="left" vertical="center" wrapText="1"/>
    </xf>
    <xf numFmtId="0" fontId="31" fillId="21" borderId="1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left" vertical="center" wrapText="1"/>
    </xf>
    <xf numFmtId="0" fontId="31" fillId="3" borderId="31" xfId="0" applyFont="1" applyFill="1" applyBorder="1" applyAlignment="1">
      <alignment horizontal="left" vertical="center" wrapText="1"/>
    </xf>
    <xf numFmtId="0" fontId="31" fillId="3" borderId="18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31" fillId="3" borderId="32" xfId="0" applyFont="1" applyFill="1" applyBorder="1" applyAlignment="1">
      <alignment horizontal="left" vertical="center" wrapText="1"/>
    </xf>
    <xf numFmtId="0" fontId="31" fillId="3" borderId="20" xfId="0" applyFont="1" applyFill="1" applyBorder="1" applyAlignment="1">
      <alignment horizontal="left" vertical="center" wrapText="1"/>
    </xf>
    <xf numFmtId="41" fontId="32" fillId="0" borderId="14" xfId="6" applyFont="1" applyBorder="1" applyAlignment="1">
      <alignment horizontal="center" vertical="center"/>
    </xf>
    <xf numFmtId="41" fontId="32" fillId="0" borderId="15" xfId="6" applyFont="1" applyBorder="1" applyAlignment="1">
      <alignment horizontal="center" vertical="center"/>
    </xf>
    <xf numFmtId="41" fontId="32" fillId="0" borderId="16" xfId="6" applyFont="1" applyBorder="1" applyAlignment="1">
      <alignment horizontal="center" vertical="center"/>
    </xf>
    <xf numFmtId="0" fontId="33" fillId="0" borderId="14" xfId="6" applyNumberFormat="1" applyFont="1" applyBorder="1" applyAlignment="1">
      <alignment horizontal="left" vertical="center" wrapText="1"/>
    </xf>
    <xf numFmtId="0" fontId="33" fillId="0" borderId="15" xfId="6" applyNumberFormat="1" applyFont="1" applyBorder="1" applyAlignment="1">
      <alignment horizontal="left" vertical="center" wrapText="1"/>
    </xf>
    <xf numFmtId="0" fontId="33" fillId="0" borderId="16" xfId="6" applyNumberFormat="1" applyFont="1" applyBorder="1" applyAlignment="1">
      <alignment horizontal="left" vertical="center" wrapText="1"/>
    </xf>
    <xf numFmtId="41" fontId="33" fillId="0" borderId="14" xfId="6" applyFont="1" applyBorder="1" applyAlignment="1">
      <alignment horizontal="left" vertical="center" wrapText="1"/>
    </xf>
    <xf numFmtId="41" fontId="33" fillId="0" borderId="15" xfId="6" applyFont="1" applyBorder="1" applyAlignment="1">
      <alignment horizontal="left" vertical="center" wrapText="1"/>
    </xf>
    <xf numFmtId="41" fontId="33" fillId="0" borderId="16" xfId="6" applyFont="1" applyBorder="1" applyAlignment="1">
      <alignment horizontal="left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41" fontId="32" fillId="22" borderId="14" xfId="6" applyFont="1" applyFill="1" applyBorder="1" applyAlignment="1">
      <alignment horizontal="center" vertical="center" wrapText="1"/>
    </xf>
    <xf numFmtId="41" fontId="32" fillId="22" borderId="15" xfId="6" applyFont="1" applyFill="1" applyBorder="1" applyAlignment="1">
      <alignment horizontal="center" vertical="center" wrapText="1"/>
    </xf>
    <xf numFmtId="41" fontId="32" fillId="22" borderId="16" xfId="6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9" fontId="34" fillId="0" borderId="14" xfId="0" applyNumberFormat="1" applyFont="1" applyBorder="1" applyAlignment="1">
      <alignment horizontal="center" vertical="center" wrapText="1"/>
    </xf>
    <xf numFmtId="9" fontId="34" fillId="0" borderId="16" xfId="0" applyNumberFormat="1" applyFont="1" applyBorder="1" applyAlignment="1">
      <alignment horizontal="center" vertical="center" wrapText="1"/>
    </xf>
    <xf numFmtId="49" fontId="12" fillId="24" borderId="0" xfId="0" applyNumberFormat="1" applyFont="1" applyFill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</cellXfs>
  <cellStyles count="13">
    <cellStyle name="Excel Built-in Normal" xfId="2" xr:uid="{00000000-0005-0000-0000-000000000000}"/>
    <cellStyle name="Millares" xfId="5" builtinId="3"/>
    <cellStyle name="Millares [0]" xfId="6" builtinId="6"/>
    <cellStyle name="Millares 2" xfId="3" xr:uid="{00000000-0005-0000-0000-000003000000}"/>
    <cellStyle name="Millares 2 11" xfId="10" xr:uid="{BA0C06BF-C58F-4808-935C-1154239B4216}"/>
    <cellStyle name="Millares 2 14" xfId="12" xr:uid="{BB4B96C2-75C9-47C7-A04E-4AADAA1FFACD}"/>
    <cellStyle name="Moneda" xfId="4" builtinId="4"/>
    <cellStyle name="Moneda [0] 2" xfId="7" xr:uid="{00000000-0005-0000-0000-000005000000}"/>
    <cellStyle name="Normal" xfId="0" builtinId="0"/>
    <cellStyle name="Normal 2 10 2 2" xfId="11" xr:uid="{84D967B2-0819-46C9-9320-56F1A266A8ED}"/>
    <cellStyle name="Normal 2 10 3" xfId="9" xr:uid="{B72853DB-2716-4720-B430-4020EA9EC42B}"/>
    <cellStyle name="Normal 2 2" xfId="8" xr:uid="{D7F494E4-91F7-4DAD-B34F-BC18EAC6ED3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636598</xdr:colOff>
      <xdr:row>27</xdr:row>
      <xdr:rowOff>169334</xdr:rowOff>
    </xdr:from>
    <xdr:to>
      <xdr:col>21</xdr:col>
      <xdr:colOff>188384</xdr:colOff>
      <xdr:row>33</xdr:row>
      <xdr:rowOff>63503</xdr:rowOff>
    </xdr:to>
    <xdr:pic>
      <xdr:nvPicPr>
        <xdr:cNvPr id="2" name="Imagen 1" descr="CARCAMOS EN CONCRETO - MUNDO PREFABRICADOS S.A.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2681" y="8117417"/>
          <a:ext cx="2599786" cy="147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638527</xdr:colOff>
      <xdr:row>38</xdr:row>
      <xdr:rowOff>137582</xdr:rowOff>
    </xdr:from>
    <xdr:to>
      <xdr:col>21</xdr:col>
      <xdr:colOff>222251</xdr:colOff>
      <xdr:row>52</xdr:row>
      <xdr:rowOff>15875</xdr:rowOff>
    </xdr:to>
    <xdr:pic>
      <xdr:nvPicPr>
        <xdr:cNvPr id="4" name="Imagen 3" descr="TOPE-LLANTAS EN CONCRETO - MUNDO PREFABRICADOS S.A.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2610" y="10128249"/>
          <a:ext cx="3393724" cy="254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657270</xdr:colOff>
      <xdr:row>15</xdr:row>
      <xdr:rowOff>95251</xdr:rowOff>
    </xdr:from>
    <xdr:to>
      <xdr:col>21</xdr:col>
      <xdr:colOff>275167</xdr:colOff>
      <xdr:row>16</xdr:row>
      <xdr:rowOff>102905</xdr:rowOff>
    </xdr:to>
    <xdr:pic>
      <xdr:nvPicPr>
        <xdr:cNvPr id="6" name="Imagen 5" descr="Adoquín en concreto - tráfico pesado - prefabricados de calida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7353" y="1809751"/>
          <a:ext cx="1141897" cy="65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105834</xdr:colOff>
      <xdr:row>14</xdr:row>
      <xdr:rowOff>42334</xdr:rowOff>
    </xdr:from>
    <xdr:to>
      <xdr:col>21</xdr:col>
      <xdr:colOff>402167</xdr:colOff>
      <xdr:row>15</xdr:row>
      <xdr:rowOff>312209</xdr:rowOff>
    </xdr:to>
    <xdr:pic>
      <xdr:nvPicPr>
        <xdr:cNvPr id="12" name="Imagen 11" descr="Gramoquines - Prefabricados Omeg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7" y="941917"/>
          <a:ext cx="1058333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300781</xdr:colOff>
      <xdr:row>20</xdr:row>
      <xdr:rowOff>31750</xdr:rowOff>
    </xdr:from>
    <xdr:to>
      <xdr:col>23</xdr:col>
      <xdr:colOff>709085</xdr:colOff>
      <xdr:row>22</xdr:row>
      <xdr:rowOff>336734</xdr:rowOff>
    </xdr:to>
    <xdr:pic>
      <xdr:nvPicPr>
        <xdr:cNvPr id="14" name="Imagen 13" descr="Sardinel A-10 - preconcretos de la saban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6864" y="5196417"/>
          <a:ext cx="1170304" cy="1119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261192</xdr:colOff>
      <xdr:row>22</xdr:row>
      <xdr:rowOff>2</xdr:rowOff>
    </xdr:from>
    <xdr:to>
      <xdr:col>22</xdr:col>
      <xdr:colOff>18784</xdr:colOff>
      <xdr:row>25</xdr:row>
      <xdr:rowOff>89960</xdr:rowOff>
    </xdr:to>
    <xdr:pic>
      <xdr:nvPicPr>
        <xdr:cNvPr id="16" name="Imagen 15" descr="Alcaldía de Bucaramanga explica la construcción de resaltos que han  generado polémica | Vanguardia.com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75" y="5979585"/>
          <a:ext cx="2043592" cy="1259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673766</xdr:colOff>
      <xdr:row>17</xdr:row>
      <xdr:rowOff>423334</xdr:rowOff>
    </xdr:from>
    <xdr:to>
      <xdr:col>23</xdr:col>
      <xdr:colOff>656166</xdr:colOff>
      <xdr:row>19</xdr:row>
      <xdr:rowOff>254001</xdr:rowOff>
    </xdr:to>
    <xdr:pic>
      <xdr:nvPicPr>
        <xdr:cNvPr id="18" name="Imagen 17" descr="CAÑUELAS EN CONCRETO - MUNDO PREFABRICADOS S.A.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849" y="2783417"/>
          <a:ext cx="1506400" cy="113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7"/>
  <sheetViews>
    <sheetView topLeftCell="G7" zoomScale="90" zoomScaleNormal="90" workbookViewId="0">
      <selection activeCell="K18" sqref="K18"/>
    </sheetView>
  </sheetViews>
  <sheetFormatPr baseColWidth="10" defaultRowHeight="15" x14ac:dyDescent="0.25"/>
  <cols>
    <col min="1" max="1" width="5" customWidth="1"/>
    <col min="3" max="3" width="34.28515625" customWidth="1"/>
    <col min="5" max="7" width="15.7109375" customWidth="1"/>
    <col min="8" max="8" width="18.140625" customWidth="1"/>
    <col min="9" max="9" width="23" customWidth="1"/>
    <col min="10" max="10" width="18.85546875" customWidth="1"/>
    <col min="11" max="11" width="21.28515625" customWidth="1"/>
    <col min="12" max="12" width="13.85546875" bestFit="1" customWidth="1"/>
  </cols>
  <sheetData>
    <row r="2" spans="2:12" x14ac:dyDescent="0.25">
      <c r="B2" s="305" t="s">
        <v>0</v>
      </c>
      <c r="C2" s="306"/>
      <c r="D2" s="306"/>
      <c r="E2" s="306"/>
      <c r="F2" s="306"/>
      <c r="G2" s="306"/>
      <c r="H2" s="306"/>
    </row>
    <row r="3" spans="2:12" ht="51" customHeight="1" x14ac:dyDescent="0.25">
      <c r="B3" s="1" t="s">
        <v>1</v>
      </c>
      <c r="C3" s="1" t="s">
        <v>2</v>
      </c>
      <c r="D3" s="1" t="s">
        <v>3</v>
      </c>
      <c r="E3" s="117" t="s">
        <v>181</v>
      </c>
      <c r="F3" s="117" t="s">
        <v>182</v>
      </c>
      <c r="G3" s="172" t="s">
        <v>183</v>
      </c>
      <c r="H3" s="117" t="s">
        <v>184</v>
      </c>
      <c r="I3" s="172" t="s">
        <v>178</v>
      </c>
      <c r="J3" s="172" t="s">
        <v>180</v>
      </c>
    </row>
    <row r="4" spans="2:12" x14ac:dyDescent="0.25">
      <c r="B4" s="1"/>
      <c r="C4" s="171"/>
      <c r="D4" s="170" t="s">
        <v>13</v>
      </c>
      <c r="E4" s="117"/>
      <c r="F4" s="117"/>
      <c r="G4" s="1"/>
      <c r="H4" s="2"/>
    </row>
    <row r="5" spans="2:12" ht="26.25" x14ac:dyDescent="0.25">
      <c r="B5" s="18">
        <v>22</v>
      </c>
      <c r="C5" s="7" t="s">
        <v>187</v>
      </c>
      <c r="D5" s="8" t="s">
        <v>13</v>
      </c>
      <c r="E5" s="13">
        <v>1645.65</v>
      </c>
      <c r="F5" s="121">
        <v>1177</v>
      </c>
      <c r="G5" s="29">
        <v>7695</v>
      </c>
      <c r="H5" s="14">
        <f>+G5*E5</f>
        <v>12663276.75</v>
      </c>
      <c r="I5" s="184">
        <f>G5*1.0321</f>
        <v>7942.0095000000001</v>
      </c>
      <c r="J5" s="180">
        <f>F5*I5</f>
        <v>9347745.1815000009</v>
      </c>
    </row>
    <row r="6" spans="2:12" ht="39" x14ac:dyDescent="0.25">
      <c r="B6" s="18">
        <v>23</v>
      </c>
      <c r="C6" s="7" t="s">
        <v>188</v>
      </c>
      <c r="D6" s="8" t="s">
        <v>29</v>
      </c>
      <c r="E6" s="13"/>
      <c r="F6" s="121">
        <f>1177*0.15</f>
        <v>176.54999999999998</v>
      </c>
      <c r="G6" s="29"/>
      <c r="H6" s="14"/>
      <c r="I6" s="184">
        <v>54000</v>
      </c>
      <c r="J6" s="180">
        <f>F6*I6</f>
        <v>9533700</v>
      </c>
      <c r="L6" t="s">
        <v>192</v>
      </c>
    </row>
    <row r="7" spans="2:12" ht="64.5" x14ac:dyDescent="0.25">
      <c r="B7" s="18">
        <v>24</v>
      </c>
      <c r="C7" s="183" t="s">
        <v>193</v>
      </c>
      <c r="D7" s="8" t="s">
        <v>29</v>
      </c>
      <c r="E7" s="13">
        <v>1722</v>
      </c>
      <c r="F7" s="121">
        <f>1177*0.15</f>
        <v>176.54999999999998</v>
      </c>
      <c r="G7" s="10">
        <v>96200</v>
      </c>
      <c r="H7" s="14">
        <f>+G7*E7</f>
        <v>165656400</v>
      </c>
      <c r="I7" s="184">
        <f>621150</f>
        <v>621150</v>
      </c>
      <c r="J7" s="180">
        <f>F7*I7</f>
        <v>109664032.49999999</v>
      </c>
    </row>
    <row r="8" spans="2:12" x14ac:dyDescent="0.25">
      <c r="B8" s="18">
        <v>25</v>
      </c>
      <c r="C8" s="7" t="s">
        <v>19</v>
      </c>
      <c r="D8" s="8" t="s">
        <v>18</v>
      </c>
      <c r="E8" s="13">
        <v>1</v>
      </c>
      <c r="F8" s="15">
        <v>1</v>
      </c>
      <c r="G8" s="19">
        <v>5471416.75</v>
      </c>
      <c r="H8" s="14">
        <f t="shared" ref="H8:H12" si="0">+G8*E8</f>
        <v>5471416.75</v>
      </c>
      <c r="I8" s="184">
        <f t="shared" ref="I8:I12" si="1">G8*1.0321</f>
        <v>5647049.2276750002</v>
      </c>
      <c r="J8" s="180">
        <f t="shared" ref="J8:J14" si="2">F8*I8</f>
        <v>5647049.2276750002</v>
      </c>
    </row>
    <row r="9" spans="2:12" ht="39" x14ac:dyDescent="0.25">
      <c r="B9" s="18">
        <v>26</v>
      </c>
      <c r="C9" s="7" t="s">
        <v>194</v>
      </c>
      <c r="D9" s="8" t="s">
        <v>18</v>
      </c>
      <c r="E9" s="31">
        <v>7.1999999999999993</v>
      </c>
      <c r="F9" s="161">
        <v>8</v>
      </c>
      <c r="G9" s="19">
        <v>1236700</v>
      </c>
      <c r="H9" s="14">
        <f t="shared" si="0"/>
        <v>8904240</v>
      </c>
      <c r="I9" s="184">
        <f>'parqueadero ELV'!I24</f>
        <v>1327453.9928000001</v>
      </c>
      <c r="J9" s="180">
        <f t="shared" si="2"/>
        <v>10619631.942400001</v>
      </c>
    </row>
    <row r="10" spans="2:12" x14ac:dyDescent="0.25">
      <c r="B10" s="18">
        <v>27</v>
      </c>
      <c r="C10" s="7" t="s">
        <v>44</v>
      </c>
      <c r="D10" s="8" t="s">
        <v>3</v>
      </c>
      <c r="E10" s="13">
        <v>10</v>
      </c>
      <c r="F10" s="15">
        <v>28</v>
      </c>
      <c r="G10" s="29">
        <v>576571</v>
      </c>
      <c r="H10" s="14">
        <f t="shared" si="0"/>
        <v>5765710</v>
      </c>
      <c r="I10" s="184">
        <f t="shared" si="1"/>
        <v>595078.92910000007</v>
      </c>
      <c r="J10" s="180">
        <f t="shared" si="2"/>
        <v>16662210.014800001</v>
      </c>
    </row>
    <row r="11" spans="2:12" x14ac:dyDescent="0.25">
      <c r="B11" s="18">
        <v>28</v>
      </c>
      <c r="C11" s="7" t="s">
        <v>46</v>
      </c>
      <c r="D11" s="8" t="s">
        <v>18</v>
      </c>
      <c r="E11" s="13">
        <v>1</v>
      </c>
      <c r="F11" s="15">
        <v>1</v>
      </c>
      <c r="G11" s="29">
        <f>'parqueadero ELV'!G27</f>
        <v>832000</v>
      </c>
      <c r="H11" s="14">
        <f t="shared" si="0"/>
        <v>832000</v>
      </c>
      <c r="I11" s="184">
        <f t="shared" si="1"/>
        <v>858707.20000000007</v>
      </c>
      <c r="J11" s="180">
        <f t="shared" si="2"/>
        <v>858707.20000000007</v>
      </c>
    </row>
    <row r="12" spans="2:12" x14ac:dyDescent="0.25">
      <c r="B12" s="18">
        <v>29</v>
      </c>
      <c r="C12" s="7" t="s">
        <v>48</v>
      </c>
      <c r="D12" s="8" t="s">
        <v>18</v>
      </c>
      <c r="E12" s="13">
        <v>10</v>
      </c>
      <c r="F12" s="15">
        <v>28</v>
      </c>
      <c r="G12" s="19">
        <v>54680</v>
      </c>
      <c r="H12" s="14">
        <f t="shared" si="0"/>
        <v>546800</v>
      </c>
      <c r="I12" s="184">
        <f t="shared" si="1"/>
        <v>56435.228000000003</v>
      </c>
      <c r="J12" s="180">
        <f t="shared" si="2"/>
        <v>1580186.3840000001</v>
      </c>
    </row>
    <row r="13" spans="2:12" x14ac:dyDescent="0.25">
      <c r="B13" s="18">
        <v>30</v>
      </c>
      <c r="C13" s="7" t="s">
        <v>204</v>
      </c>
      <c r="D13" s="8" t="s">
        <v>18</v>
      </c>
      <c r="E13" s="13"/>
      <c r="F13" s="15">
        <v>4</v>
      </c>
      <c r="G13" s="19"/>
      <c r="H13" s="14"/>
      <c r="I13" s="184">
        <v>1000000</v>
      </c>
      <c r="J13" s="180">
        <f t="shared" si="2"/>
        <v>4000000</v>
      </c>
      <c r="K13" s="124" t="e">
        <f>+#REF!+J13</f>
        <v>#REF!</v>
      </c>
    </row>
    <row r="14" spans="2:12" x14ac:dyDescent="0.25">
      <c r="B14" s="18"/>
      <c r="C14" s="7" t="s">
        <v>206</v>
      </c>
      <c r="D14" s="8" t="s">
        <v>24</v>
      </c>
      <c r="E14" s="13"/>
      <c r="F14" s="15">
        <v>8</v>
      </c>
      <c r="G14" s="19">
        <v>101374</v>
      </c>
      <c r="H14" s="14"/>
      <c r="I14" s="194">
        <v>101374</v>
      </c>
      <c r="J14" s="180">
        <f t="shared" si="2"/>
        <v>810992</v>
      </c>
      <c r="K14" s="124"/>
    </row>
    <row r="15" spans="2:12" x14ac:dyDescent="0.25">
      <c r="B15" s="18">
        <v>32</v>
      </c>
      <c r="C15" s="7" t="s">
        <v>195</v>
      </c>
      <c r="D15" s="8" t="s">
        <v>196</v>
      </c>
      <c r="E15" s="13">
        <v>1</v>
      </c>
      <c r="F15" s="15">
        <v>1</v>
      </c>
      <c r="G15" s="19"/>
      <c r="H15" s="14">
        <f t="shared" ref="H15" si="3">+G15*E15</f>
        <v>0</v>
      </c>
      <c r="I15" s="184">
        <v>2000000</v>
      </c>
      <c r="J15" s="180">
        <f t="shared" ref="J15" si="4">F15*I15</f>
        <v>2000000</v>
      </c>
    </row>
    <row r="16" spans="2:12" x14ac:dyDescent="0.25">
      <c r="B16" s="47"/>
      <c r="C16" s="48"/>
      <c r="D16" s="47"/>
      <c r="E16" s="49"/>
      <c r="F16" s="49"/>
      <c r="G16" s="49"/>
      <c r="H16" s="49"/>
    </row>
    <row r="17" spans="2:12" x14ac:dyDescent="0.25">
      <c r="B17" s="47"/>
      <c r="C17" s="48"/>
      <c r="D17" s="47"/>
      <c r="E17" s="49"/>
      <c r="F17" s="49"/>
      <c r="G17" s="49"/>
      <c r="H17" s="49"/>
      <c r="K17" t="s">
        <v>191</v>
      </c>
    </row>
    <row r="18" spans="2:12" x14ac:dyDescent="0.25">
      <c r="B18" s="47"/>
      <c r="C18" s="50" t="s">
        <v>59</v>
      </c>
      <c r="D18" s="51"/>
      <c r="E18" s="55"/>
      <c r="F18" s="55"/>
      <c r="G18" s="55"/>
      <c r="H18" s="56">
        <f>+SUM(H7:H16)</f>
        <v>187176566.75</v>
      </c>
      <c r="J18" s="184">
        <f>SUM(J5:J15)</f>
        <v>170724254.45037499</v>
      </c>
      <c r="K18" s="184">
        <f>+J18/1270</f>
        <v>134428.5468113189</v>
      </c>
      <c r="L18" s="124"/>
    </row>
    <row r="19" spans="2:12" x14ac:dyDescent="0.25">
      <c r="B19" s="73"/>
      <c r="C19" s="57" t="s">
        <v>60</v>
      </c>
      <c r="D19" s="58"/>
      <c r="E19" s="55"/>
      <c r="F19" s="55"/>
      <c r="G19" s="55"/>
      <c r="H19" s="62">
        <f>+SUM(H20:H23)</f>
        <v>49077695.801849999</v>
      </c>
      <c r="J19" s="180">
        <f>SUM(J20:J23)</f>
        <v>44763899.516888328</v>
      </c>
    </row>
    <row r="20" spans="2:12" x14ac:dyDescent="0.25">
      <c r="B20" s="73"/>
      <c r="C20" s="63" t="s">
        <v>61</v>
      </c>
      <c r="D20" s="64">
        <v>0.17269999999999999</v>
      </c>
      <c r="E20" s="55"/>
      <c r="F20" s="55"/>
      <c r="G20" s="55"/>
      <c r="H20" s="62">
        <f>+D20*H18</f>
        <v>32325393.077724997</v>
      </c>
      <c r="J20" s="180">
        <f>J18*D20</f>
        <v>29484078.74357976</v>
      </c>
    </row>
    <row r="21" spans="2:12" x14ac:dyDescent="0.25">
      <c r="B21" s="73"/>
      <c r="C21" s="63" t="s">
        <v>62</v>
      </c>
      <c r="D21" s="64">
        <v>0.03</v>
      </c>
      <c r="E21" s="55"/>
      <c r="F21" s="55"/>
      <c r="G21" s="55"/>
      <c r="H21" s="62">
        <f>+D21*H18</f>
        <v>5615297.0024999995</v>
      </c>
      <c r="J21" s="180">
        <f>J18*D21</f>
        <v>5121727.6335112499</v>
      </c>
    </row>
    <row r="22" spans="2:12" x14ac:dyDescent="0.25">
      <c r="B22" s="73"/>
      <c r="C22" s="63" t="s">
        <v>63</v>
      </c>
      <c r="D22" s="64">
        <v>0.05</v>
      </c>
      <c r="E22" s="55"/>
      <c r="F22" s="55"/>
      <c r="G22" s="55"/>
      <c r="H22" s="62">
        <f>+D22*H18</f>
        <v>9358828.3375000004</v>
      </c>
      <c r="J22" s="181">
        <f>D22*J18</f>
        <v>8536212.7225187495</v>
      </c>
    </row>
    <row r="23" spans="2:12" x14ac:dyDescent="0.25">
      <c r="B23" s="73"/>
      <c r="C23" s="65" t="s">
        <v>64</v>
      </c>
      <c r="D23" s="67">
        <v>0.19</v>
      </c>
      <c r="E23" s="55"/>
      <c r="F23" s="55"/>
      <c r="G23" s="55"/>
      <c r="H23" s="70">
        <f>+D23*H22</f>
        <v>1778177.3841250001</v>
      </c>
      <c r="J23" s="181">
        <f>J22*D23</f>
        <v>1621880.4172785624</v>
      </c>
    </row>
    <row r="24" spans="2:12" x14ac:dyDescent="0.25">
      <c r="B24" s="73"/>
      <c r="C24" s="73"/>
      <c r="D24" s="73"/>
      <c r="E24" s="73"/>
      <c r="F24" s="73"/>
      <c r="G24" s="73"/>
      <c r="H24" s="73"/>
    </row>
    <row r="25" spans="2:12" x14ac:dyDescent="0.25">
      <c r="B25" s="73"/>
      <c r="C25" s="73"/>
      <c r="D25" s="73"/>
      <c r="E25" s="76"/>
      <c r="F25" s="76"/>
      <c r="G25" s="76"/>
      <c r="H25" s="78">
        <f>+H19+H18</f>
        <v>236254262.55184999</v>
      </c>
      <c r="J25" s="179">
        <f>J18+J19</f>
        <v>215488153.96726331</v>
      </c>
    </row>
    <row r="26" spans="2:12" x14ac:dyDescent="0.25">
      <c r="B26" s="73"/>
      <c r="C26" s="73"/>
      <c r="D26" s="73"/>
      <c r="E26" s="73"/>
      <c r="F26" s="73"/>
      <c r="G26" s="73"/>
      <c r="H26" s="119"/>
    </row>
    <row r="27" spans="2:12" x14ac:dyDescent="0.25">
      <c r="B27" s="73"/>
      <c r="C27" s="73"/>
      <c r="D27" s="73"/>
      <c r="E27" s="73"/>
      <c r="F27" s="73"/>
      <c r="G27" s="73"/>
      <c r="H27" s="81"/>
    </row>
  </sheetData>
  <protectedRanges>
    <protectedRange sqref="D20:D22" name="Rango3_2_1_3"/>
  </protectedRanges>
  <mergeCells count="1"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W49"/>
  <sheetViews>
    <sheetView topLeftCell="G25" zoomScale="90" zoomScaleNormal="90" workbookViewId="0">
      <selection activeCell="G7" sqref="G7"/>
    </sheetView>
  </sheetViews>
  <sheetFormatPr baseColWidth="10" defaultRowHeight="15" x14ac:dyDescent="0.25"/>
  <cols>
    <col min="1" max="1" width="5" customWidth="1"/>
    <col min="3" max="3" width="61" customWidth="1"/>
    <col min="5" max="5" width="16.7109375" customWidth="1"/>
    <col min="6" max="6" width="18" customWidth="1"/>
    <col min="7" max="7" width="16.28515625" customWidth="1"/>
    <col min="8" max="10" width="19.140625" customWidth="1"/>
    <col min="11" max="11" width="24.28515625" customWidth="1"/>
    <col min="12" max="12" width="15.85546875" customWidth="1"/>
    <col min="13" max="13" width="26.5703125" customWidth="1"/>
    <col min="14" max="14" width="20.5703125" customWidth="1"/>
    <col min="16" max="16" width="13.85546875" customWidth="1"/>
  </cols>
  <sheetData>
    <row r="1" spans="2:23" x14ac:dyDescent="0.25">
      <c r="E1" t="s">
        <v>165</v>
      </c>
      <c r="G1">
        <f>10.93+23.02+79.07</f>
        <v>113.02</v>
      </c>
      <c r="M1" s="149"/>
      <c r="N1" s="150">
        <v>198</v>
      </c>
      <c r="P1" s="308" t="s">
        <v>174</v>
      </c>
      <c r="Q1" s="309"/>
      <c r="R1" s="157">
        <v>42</v>
      </c>
      <c r="S1" s="157">
        <v>5.4</v>
      </c>
      <c r="T1" s="157" t="s">
        <v>170</v>
      </c>
      <c r="U1" s="157"/>
      <c r="V1" s="150">
        <f>+S1*R1</f>
        <v>226.8</v>
      </c>
    </row>
    <row r="2" spans="2:23" x14ac:dyDescent="0.25">
      <c r="E2" s="73" t="s">
        <v>162</v>
      </c>
      <c r="G2">
        <f>192.5+208+31.5+13.63+17.44+10.57</f>
        <v>473.64</v>
      </c>
      <c r="M2" s="151" t="s">
        <v>168</v>
      </c>
      <c r="N2" s="152">
        <f>62.5*2</f>
        <v>125</v>
      </c>
      <c r="P2" s="310"/>
      <c r="Q2" s="311"/>
      <c r="R2" s="158">
        <v>41</v>
      </c>
      <c r="S2" s="158">
        <v>2.5499999999999998</v>
      </c>
      <c r="T2" s="158" t="s">
        <v>171</v>
      </c>
      <c r="U2" s="158"/>
      <c r="V2" s="152">
        <f>+S2*R2</f>
        <v>104.55</v>
      </c>
    </row>
    <row r="3" spans="2:23" x14ac:dyDescent="0.25">
      <c r="E3" s="160" t="s">
        <v>161</v>
      </c>
      <c r="F3" s="136"/>
      <c r="G3" s="136">
        <f>339.6+235.8</f>
        <v>575.40000000000009</v>
      </c>
      <c r="M3" s="151"/>
      <c r="N3" s="152">
        <v>5.6</v>
      </c>
      <c r="P3" s="151"/>
      <c r="Q3" s="158"/>
      <c r="R3" s="158"/>
      <c r="S3" s="158"/>
      <c r="T3" s="158"/>
      <c r="U3" s="158"/>
      <c r="V3" s="152"/>
    </row>
    <row r="4" spans="2:23" ht="15.75" thickBot="1" x14ac:dyDescent="0.3">
      <c r="E4" s="160" t="s">
        <v>163</v>
      </c>
      <c r="F4" s="136"/>
      <c r="G4" s="136">
        <v>722.2</v>
      </c>
      <c r="M4" s="153"/>
      <c r="N4" s="154">
        <f>SUM(N1:N3)</f>
        <v>328.6</v>
      </c>
      <c r="P4" s="151" t="s">
        <v>172</v>
      </c>
      <c r="Q4" s="158"/>
      <c r="R4" s="158">
        <v>155.41</v>
      </c>
      <c r="S4" s="158"/>
      <c r="T4" s="158"/>
      <c r="U4" s="158"/>
      <c r="V4" s="152"/>
    </row>
    <row r="5" spans="2:23" ht="15.75" thickBot="1" x14ac:dyDescent="0.3">
      <c r="E5" s="160" t="s">
        <v>164</v>
      </c>
      <c r="F5" s="136"/>
      <c r="G5" s="136">
        <v>118.2</v>
      </c>
      <c r="P5" s="153" t="s">
        <v>173</v>
      </c>
      <c r="Q5" s="159"/>
      <c r="R5" s="159">
        <v>38.71</v>
      </c>
      <c r="S5" s="159"/>
      <c r="T5" s="159"/>
      <c r="U5" s="159"/>
      <c r="V5" s="154">
        <f>+V1+V2+R4+R5</f>
        <v>525.47</v>
      </c>
    </row>
    <row r="6" spans="2:23" ht="15.75" thickBot="1" x14ac:dyDescent="0.3">
      <c r="E6" s="73"/>
      <c r="G6">
        <f>+G3+G4+G5</f>
        <v>1415.8000000000002</v>
      </c>
      <c r="M6" s="155" t="s">
        <v>169</v>
      </c>
      <c r="N6" s="156">
        <f>8.1+6.4</f>
        <v>14.5</v>
      </c>
      <c r="P6" t="s">
        <v>175</v>
      </c>
    </row>
    <row r="7" spans="2:23" x14ac:dyDescent="0.25">
      <c r="E7" s="73" t="s">
        <v>207</v>
      </c>
    </row>
    <row r="8" spans="2:23" x14ac:dyDescent="0.25">
      <c r="E8" s="73"/>
    </row>
    <row r="10" spans="2:23" x14ac:dyDescent="0.25">
      <c r="B10" s="305" t="s">
        <v>122</v>
      </c>
      <c r="C10" s="306"/>
      <c r="D10" s="306"/>
      <c r="E10" s="306"/>
      <c r="F10" s="306"/>
      <c r="G10" s="306"/>
      <c r="H10" s="306"/>
      <c r="I10" s="306"/>
      <c r="J10" s="306"/>
      <c r="K10" s="306"/>
      <c r="L10" s="307"/>
      <c r="M10" s="143"/>
      <c r="P10" t="s">
        <v>110</v>
      </c>
    </row>
    <row r="11" spans="2:23" ht="75" x14ac:dyDescent="0.25">
      <c r="B11" s="1" t="s">
        <v>1</v>
      </c>
      <c r="C11" s="1" t="s">
        <v>2</v>
      </c>
      <c r="D11" s="1" t="s">
        <v>3</v>
      </c>
      <c r="E11" s="172" t="s">
        <v>185</v>
      </c>
      <c r="F11" s="148" t="s">
        <v>166</v>
      </c>
      <c r="G11" s="172" t="s">
        <v>183</v>
      </c>
      <c r="H11" s="172" t="s">
        <v>184</v>
      </c>
      <c r="I11" s="172" t="s">
        <v>178</v>
      </c>
      <c r="J11" s="172" t="s">
        <v>179</v>
      </c>
      <c r="K11" s="5" t="s">
        <v>10</v>
      </c>
      <c r="L11" s="5" t="s">
        <v>11</v>
      </c>
      <c r="M11" s="144"/>
      <c r="N11" s="145" t="s">
        <v>159</v>
      </c>
    </row>
    <row r="12" spans="2:23" x14ac:dyDescent="0.25">
      <c r="B12" s="6">
        <v>1</v>
      </c>
      <c r="C12" s="128" t="s">
        <v>121</v>
      </c>
      <c r="D12" s="35" t="s">
        <v>13</v>
      </c>
      <c r="E12" s="146">
        <v>1402</v>
      </c>
      <c r="F12" s="146">
        <v>1889.44</v>
      </c>
      <c r="G12" s="138">
        <f>'plazoleta ELV'!G5</f>
        <v>7695</v>
      </c>
      <c r="H12" s="130">
        <f>+G12*E12</f>
        <v>10788390</v>
      </c>
      <c r="I12" s="130">
        <f>G12*1.0321</f>
        <v>7942.0095000000001</v>
      </c>
      <c r="J12" s="130">
        <f>F12*I12</f>
        <v>15005950.429680001</v>
      </c>
      <c r="K12" s="71"/>
      <c r="L12" s="72" t="s">
        <v>32</v>
      </c>
      <c r="M12" s="140"/>
      <c r="N12" s="130">
        <v>4132</v>
      </c>
      <c r="O12" t="s">
        <v>115</v>
      </c>
      <c r="P12" s="124">
        <v>1350</v>
      </c>
      <c r="S12" t="s">
        <v>158</v>
      </c>
    </row>
    <row r="13" spans="2:23" ht="39" customHeight="1" x14ac:dyDescent="0.25">
      <c r="B13" s="6">
        <v>7</v>
      </c>
      <c r="C13" s="134" t="s">
        <v>145</v>
      </c>
      <c r="D13" s="35" t="s">
        <v>29</v>
      </c>
      <c r="E13" s="36">
        <v>1399</v>
      </c>
      <c r="F13" s="162">
        <f>+(G3+G4+G5)*0.5*1.3</f>
        <v>920.2700000000001</v>
      </c>
      <c r="G13" s="129">
        <f>+ROUND(50227*1.04,0)</f>
        <v>52236</v>
      </c>
      <c r="H13" s="130">
        <f>+G13*E13</f>
        <v>73078164</v>
      </c>
      <c r="I13" s="130">
        <v>22500</v>
      </c>
      <c r="J13" s="130">
        <f>F13*I13</f>
        <v>20706075.000000004</v>
      </c>
      <c r="K13" s="71"/>
      <c r="L13" s="72"/>
      <c r="M13" s="140"/>
      <c r="N13" s="130">
        <v>56257</v>
      </c>
      <c r="O13" s="141" t="s">
        <v>146</v>
      </c>
      <c r="P13" s="142">
        <v>43900</v>
      </c>
      <c r="T13" s="136" t="s">
        <v>125</v>
      </c>
      <c r="U13" s="136" t="s">
        <v>130</v>
      </c>
      <c r="V13" s="136"/>
    </row>
    <row r="14" spans="2:23" x14ac:dyDescent="0.25">
      <c r="B14" s="6">
        <v>8</v>
      </c>
      <c r="C14" s="128" t="s">
        <v>197</v>
      </c>
      <c r="D14" s="35" t="s">
        <v>29</v>
      </c>
      <c r="E14" s="36">
        <v>979</v>
      </c>
      <c r="F14" s="162">
        <f>+(G3+G4+G5)*0.35</f>
        <v>495.53000000000003</v>
      </c>
      <c r="G14" s="132">
        <f>+ROUND(84981*1.04,0)</f>
        <v>88380</v>
      </c>
      <c r="H14" s="132">
        <f>+G14*E14</f>
        <v>86524020</v>
      </c>
      <c r="I14" s="130">
        <v>82247</v>
      </c>
      <c r="J14" s="130">
        <f>F14*I14</f>
        <v>40755855.910000004</v>
      </c>
      <c r="K14" s="71"/>
      <c r="L14" s="72"/>
      <c r="M14" s="140"/>
      <c r="N14" s="130">
        <v>68883</v>
      </c>
      <c r="O14" t="s">
        <v>115</v>
      </c>
      <c r="P14" s="124">
        <v>79214</v>
      </c>
      <c r="Q14" t="s">
        <v>119</v>
      </c>
      <c r="W14" s="136" t="s">
        <v>129</v>
      </c>
    </row>
    <row r="15" spans="2:23" ht="39" x14ac:dyDescent="0.25">
      <c r="B15" s="6">
        <v>2</v>
      </c>
      <c r="C15" s="128" t="s">
        <v>147</v>
      </c>
      <c r="D15" s="35" t="s">
        <v>13</v>
      </c>
      <c r="E15" s="146">
        <v>525</v>
      </c>
      <c r="F15" s="146">
        <v>575.4</v>
      </c>
      <c r="G15" s="132">
        <f>ROUND(84115*1.04,0)</f>
        <v>87480</v>
      </c>
      <c r="H15" s="130">
        <f t="shared" ref="H15:H33" si="0">+G15*E15</f>
        <v>45927000</v>
      </c>
      <c r="I15" s="130">
        <f t="shared" ref="I15:I33" si="1">G15*1.0321</f>
        <v>90288.108000000007</v>
      </c>
      <c r="J15" s="130">
        <f t="shared" ref="J15:J33" si="2">F15*I15</f>
        <v>51951777.343200006</v>
      </c>
      <c r="K15" s="71" t="s">
        <v>14</v>
      </c>
      <c r="L15" s="72"/>
      <c r="M15" s="140"/>
      <c r="N15" s="130"/>
      <c r="O15" t="s">
        <v>123</v>
      </c>
      <c r="P15" s="124">
        <v>66360</v>
      </c>
      <c r="Q15" t="s">
        <v>113</v>
      </c>
      <c r="W15" s="141" t="s">
        <v>153</v>
      </c>
    </row>
    <row r="16" spans="2:23" ht="51" x14ac:dyDescent="0.25">
      <c r="B16" s="6">
        <v>3</v>
      </c>
      <c r="C16" s="128" t="s">
        <v>148</v>
      </c>
      <c r="D16" s="35" t="s">
        <v>13</v>
      </c>
      <c r="E16" s="146">
        <v>960</v>
      </c>
      <c r="F16" s="146">
        <v>722.2</v>
      </c>
      <c r="G16" s="132">
        <f>ROUND(95140*1.04,0)</f>
        <v>98946</v>
      </c>
      <c r="H16" s="130">
        <f>+G16*E16</f>
        <v>94988160</v>
      </c>
      <c r="I16" s="130">
        <f t="shared" si="1"/>
        <v>102122.1666</v>
      </c>
      <c r="J16" s="130">
        <f t="shared" si="2"/>
        <v>73752628.718520001</v>
      </c>
      <c r="K16" s="71"/>
      <c r="L16" s="72"/>
      <c r="M16" s="140"/>
      <c r="N16" s="130">
        <v>52528</v>
      </c>
      <c r="O16" t="s">
        <v>115</v>
      </c>
      <c r="P16" s="124">
        <v>90885</v>
      </c>
      <c r="Q16" t="s">
        <v>111</v>
      </c>
      <c r="W16" s="141" t="s">
        <v>154</v>
      </c>
    </row>
    <row r="17" spans="2:23" ht="25.5" x14ac:dyDescent="0.25">
      <c r="B17" s="6" t="s">
        <v>167</v>
      </c>
      <c r="C17" s="189" t="s">
        <v>198</v>
      </c>
      <c r="D17" s="35" t="s">
        <v>13</v>
      </c>
      <c r="E17" s="146"/>
      <c r="F17" s="146">
        <v>118.2</v>
      </c>
      <c r="G17" s="132"/>
      <c r="H17" s="130"/>
      <c r="I17" s="130">
        <f>'plazoleta ELV'!I7</f>
        <v>621150</v>
      </c>
      <c r="J17" s="130">
        <f t="shared" si="2"/>
        <v>73419930</v>
      </c>
      <c r="K17" s="71"/>
      <c r="L17" s="72"/>
      <c r="M17" s="140"/>
      <c r="N17" s="130"/>
      <c r="P17" s="124"/>
      <c r="W17" s="141"/>
    </row>
    <row r="18" spans="2:23" ht="76.5" x14ac:dyDescent="0.25">
      <c r="B18" s="6">
        <v>4</v>
      </c>
      <c r="C18" s="128" t="s">
        <v>128</v>
      </c>
      <c r="D18" s="35" t="s">
        <v>18</v>
      </c>
      <c r="E18" s="146">
        <v>2</v>
      </c>
      <c r="F18" s="146">
        <v>1</v>
      </c>
      <c r="G18" s="129">
        <v>5471416.75</v>
      </c>
      <c r="H18" s="130">
        <f t="shared" si="0"/>
        <v>10942833.5</v>
      </c>
      <c r="I18" s="130">
        <f t="shared" si="1"/>
        <v>5647049.2276750002</v>
      </c>
      <c r="J18" s="130">
        <f t="shared" si="2"/>
        <v>5647049.2276750002</v>
      </c>
      <c r="K18" s="71"/>
      <c r="L18" s="72"/>
      <c r="M18" s="140"/>
      <c r="N18" s="130"/>
      <c r="P18" s="124"/>
      <c r="Q18" t="s">
        <v>127</v>
      </c>
    </row>
    <row r="19" spans="2:23" ht="25.5" x14ac:dyDescent="0.25">
      <c r="B19" s="6">
        <v>5</v>
      </c>
      <c r="C19" s="128" t="s">
        <v>149</v>
      </c>
      <c r="D19" s="35" t="s">
        <v>24</v>
      </c>
      <c r="E19" s="36">
        <v>211</v>
      </c>
      <c r="F19" s="147">
        <f>176+21.7</f>
        <v>197.7</v>
      </c>
      <c r="G19" s="132">
        <f>+ROUND(120000*1.04,0)</f>
        <v>124800</v>
      </c>
      <c r="H19" s="130">
        <f t="shared" si="0"/>
        <v>26332800</v>
      </c>
      <c r="I19" s="130">
        <f t="shared" si="1"/>
        <v>128806.08</v>
      </c>
      <c r="J19" s="130">
        <f t="shared" si="2"/>
        <v>25464962.015999999</v>
      </c>
      <c r="K19" s="71"/>
      <c r="L19" s="72"/>
      <c r="M19" s="140"/>
      <c r="N19" s="130">
        <v>43504</v>
      </c>
      <c r="O19" t="s">
        <v>115</v>
      </c>
      <c r="P19" s="124">
        <v>100318</v>
      </c>
      <c r="Q19" s="141" t="s">
        <v>152</v>
      </c>
      <c r="R19" s="141"/>
      <c r="S19" s="141"/>
      <c r="T19" s="141" t="s">
        <v>151</v>
      </c>
      <c r="U19" s="141">
        <v>56000</v>
      </c>
    </row>
    <row r="20" spans="2:23" ht="39" x14ac:dyDescent="0.25">
      <c r="B20" s="6">
        <v>6</v>
      </c>
      <c r="C20" s="128" t="s">
        <v>150</v>
      </c>
      <c r="D20" s="35" t="s">
        <v>13</v>
      </c>
      <c r="E20" s="146">
        <v>525</v>
      </c>
      <c r="F20" s="146">
        <f>+F15</f>
        <v>575.4</v>
      </c>
      <c r="G20" s="133">
        <f>ROUND(11230*1.04,0)</f>
        <v>11679</v>
      </c>
      <c r="H20" s="130">
        <f t="shared" si="0"/>
        <v>6131475</v>
      </c>
      <c r="I20" s="130">
        <f t="shared" si="1"/>
        <v>12053.8959</v>
      </c>
      <c r="J20" s="130">
        <f t="shared" si="2"/>
        <v>6935811.7008599993</v>
      </c>
      <c r="K20" s="71" t="s">
        <v>14</v>
      </c>
      <c r="L20" s="72"/>
      <c r="M20" s="140"/>
      <c r="N20" s="130"/>
      <c r="O20" t="s">
        <v>115</v>
      </c>
      <c r="P20" s="124">
        <v>9938</v>
      </c>
      <c r="Q20" t="s">
        <v>124</v>
      </c>
    </row>
    <row r="21" spans="2:23" ht="25.5" x14ac:dyDescent="0.25">
      <c r="B21" s="6">
        <v>9</v>
      </c>
      <c r="C21" s="128" t="s">
        <v>131</v>
      </c>
      <c r="D21" s="35" t="s">
        <v>24</v>
      </c>
      <c r="E21" s="41">
        <v>334</v>
      </c>
      <c r="F21" s="146">
        <v>334</v>
      </c>
      <c r="G21" s="132">
        <f>+ROUND(46331*1.04,0)</f>
        <v>48184</v>
      </c>
      <c r="H21" s="130">
        <f t="shared" si="0"/>
        <v>16093456</v>
      </c>
      <c r="I21" s="130">
        <f t="shared" si="1"/>
        <v>49730.706400000003</v>
      </c>
      <c r="J21" s="130">
        <f t="shared" si="2"/>
        <v>16610055.937600002</v>
      </c>
      <c r="K21" s="71"/>
      <c r="L21" s="72"/>
      <c r="M21" s="140"/>
      <c r="N21" s="130"/>
      <c r="O21" s="141" t="s">
        <v>115</v>
      </c>
      <c r="P21" s="142">
        <v>46169</v>
      </c>
      <c r="R21" s="135" t="s">
        <v>151</v>
      </c>
      <c r="S21" s="135">
        <v>60100</v>
      </c>
    </row>
    <row r="22" spans="2:23" ht="38.25" x14ac:dyDescent="0.25">
      <c r="B22" s="6">
        <v>10</v>
      </c>
      <c r="C22" s="128" t="s">
        <v>134</v>
      </c>
      <c r="D22" s="35" t="s">
        <v>13</v>
      </c>
      <c r="E22" s="41">
        <v>126</v>
      </c>
      <c r="F22" s="163">
        <f>90+15</f>
        <v>105</v>
      </c>
      <c r="G22" s="137">
        <f>ROUND(136676*1.04,0)</f>
        <v>142143</v>
      </c>
      <c r="H22" s="130">
        <f t="shared" si="0"/>
        <v>17910018</v>
      </c>
      <c r="I22" s="130">
        <f t="shared" si="1"/>
        <v>146705.79029999999</v>
      </c>
      <c r="J22" s="130">
        <f t="shared" si="2"/>
        <v>15404107.9815</v>
      </c>
      <c r="K22" s="71"/>
      <c r="L22" s="72"/>
      <c r="M22" s="140"/>
      <c r="N22" s="130"/>
      <c r="O22" t="s">
        <v>132</v>
      </c>
      <c r="P22" s="124"/>
    </row>
    <row r="23" spans="2:23" ht="38.25" x14ac:dyDescent="0.25">
      <c r="B23" s="6">
        <v>11</v>
      </c>
      <c r="C23" s="128" t="s">
        <v>143</v>
      </c>
      <c r="D23" s="35" t="s">
        <v>13</v>
      </c>
      <c r="E23" s="146">
        <v>32</v>
      </c>
      <c r="F23" s="147">
        <v>15</v>
      </c>
      <c r="G23" s="137">
        <f>+ROUND(149868*1.04,0)</f>
        <v>155863</v>
      </c>
      <c r="H23" s="130">
        <f t="shared" si="0"/>
        <v>4987616</v>
      </c>
      <c r="I23" s="130">
        <f t="shared" si="1"/>
        <v>160866.2023</v>
      </c>
      <c r="J23" s="130">
        <f t="shared" si="2"/>
        <v>2412993.0345000001</v>
      </c>
      <c r="K23" s="71"/>
      <c r="L23" s="72"/>
      <c r="M23" s="140"/>
      <c r="N23" s="130"/>
      <c r="O23" t="s">
        <v>133</v>
      </c>
    </row>
    <row r="24" spans="2:23" ht="39" x14ac:dyDescent="0.25">
      <c r="B24" s="6">
        <v>12</v>
      </c>
      <c r="C24" s="128" t="s">
        <v>135</v>
      </c>
      <c r="D24" s="35" t="s">
        <v>18</v>
      </c>
      <c r="E24" s="36">
        <v>17</v>
      </c>
      <c r="F24" s="147">
        <v>17</v>
      </c>
      <c r="G24" s="138">
        <f>ROUND(1236700*1.04,0)</f>
        <v>1286168</v>
      </c>
      <c r="H24" s="130">
        <f>+G24*E24</f>
        <v>21864856</v>
      </c>
      <c r="I24" s="130">
        <f t="shared" si="1"/>
        <v>1327453.9928000001</v>
      </c>
      <c r="J24" s="130">
        <f t="shared" si="2"/>
        <v>22566717.877600003</v>
      </c>
      <c r="K24" s="71" t="s">
        <v>41</v>
      </c>
      <c r="L24" s="72"/>
      <c r="M24" s="140"/>
      <c r="N24" s="130"/>
      <c r="O24" t="s">
        <v>155</v>
      </c>
    </row>
    <row r="25" spans="2:23" x14ac:dyDescent="0.25">
      <c r="B25" s="6">
        <v>13</v>
      </c>
      <c r="C25" s="128" t="s">
        <v>126</v>
      </c>
      <c r="D25" s="35" t="s">
        <v>24</v>
      </c>
      <c r="E25" s="36">
        <v>50</v>
      </c>
      <c r="F25" s="146">
        <v>50</v>
      </c>
      <c r="G25" s="138">
        <f>ROUND(48580*1.04,0)</f>
        <v>50523</v>
      </c>
      <c r="H25" s="130">
        <f t="shared" si="0"/>
        <v>2526150</v>
      </c>
      <c r="I25" s="130">
        <f t="shared" si="1"/>
        <v>52144.7883</v>
      </c>
      <c r="J25" s="130">
        <f t="shared" si="2"/>
        <v>2607239.415</v>
      </c>
      <c r="K25" s="71"/>
      <c r="L25" s="72"/>
      <c r="M25" s="140"/>
      <c r="N25" s="130"/>
      <c r="O25" t="s">
        <v>155</v>
      </c>
    </row>
    <row r="26" spans="2:23" ht="25.5" x14ac:dyDescent="0.25">
      <c r="B26" s="6">
        <v>14</v>
      </c>
      <c r="C26" s="128" t="s">
        <v>157</v>
      </c>
      <c r="D26" s="35" t="s">
        <v>24</v>
      </c>
      <c r="E26" s="41">
        <v>23</v>
      </c>
      <c r="F26" s="41">
        <v>50</v>
      </c>
      <c r="G26" s="138">
        <f>+ROUND(93406*1.04,0)</f>
        <v>97142</v>
      </c>
      <c r="H26" s="130">
        <f t="shared" si="0"/>
        <v>2234266</v>
      </c>
      <c r="I26" s="130">
        <f t="shared" si="1"/>
        <v>100260.2582</v>
      </c>
      <c r="J26" s="130">
        <f t="shared" si="2"/>
        <v>5013012.91</v>
      </c>
      <c r="K26" s="71"/>
      <c r="L26" s="72"/>
      <c r="M26" s="140"/>
      <c r="N26" s="130">
        <v>93453</v>
      </c>
      <c r="O26" t="s">
        <v>136</v>
      </c>
      <c r="R26" s="141" t="s">
        <v>156</v>
      </c>
      <c r="S26" s="141"/>
      <c r="T26" s="141"/>
      <c r="U26" s="141"/>
      <c r="V26" s="141"/>
      <c r="W26" s="141"/>
    </row>
    <row r="27" spans="2:23" ht="38.25" x14ac:dyDescent="0.25">
      <c r="B27" s="6">
        <v>15</v>
      </c>
      <c r="C27" s="128" t="s">
        <v>160</v>
      </c>
      <c r="D27" s="35" t="s">
        <v>18</v>
      </c>
      <c r="E27" s="146">
        <v>1</v>
      </c>
      <c r="F27" s="146">
        <v>1</v>
      </c>
      <c r="G27" s="129">
        <f>+ROUND(800000*1.04,0)</f>
        <v>832000</v>
      </c>
      <c r="H27" s="130">
        <f t="shared" si="0"/>
        <v>832000</v>
      </c>
      <c r="I27" s="130">
        <f t="shared" si="1"/>
        <v>858707.20000000007</v>
      </c>
      <c r="J27" s="130">
        <f t="shared" si="2"/>
        <v>858707.20000000007</v>
      </c>
      <c r="K27" s="71"/>
      <c r="L27" s="72"/>
      <c r="M27" s="140"/>
      <c r="N27" s="130">
        <v>569500</v>
      </c>
      <c r="O27" t="s">
        <v>137</v>
      </c>
      <c r="R27" t="s">
        <v>110</v>
      </c>
      <c r="S27">
        <v>552000</v>
      </c>
    </row>
    <row r="28" spans="2:23" x14ac:dyDescent="0.25">
      <c r="B28" s="6">
        <v>16</v>
      </c>
      <c r="C28" s="128" t="s">
        <v>138</v>
      </c>
      <c r="D28" s="35" t="s">
        <v>29</v>
      </c>
      <c r="E28" s="36">
        <v>20</v>
      </c>
      <c r="F28" s="41">
        <v>4</v>
      </c>
      <c r="G28" s="129">
        <f>+ROUND(90000*1.04,0)</f>
        <v>93600</v>
      </c>
      <c r="H28" s="130">
        <f t="shared" si="0"/>
        <v>1872000</v>
      </c>
      <c r="I28" s="130">
        <f t="shared" si="1"/>
        <v>96604.56</v>
      </c>
      <c r="J28" s="130">
        <f t="shared" si="2"/>
        <v>386418.24</v>
      </c>
      <c r="K28" s="71"/>
      <c r="L28" s="72"/>
      <c r="M28" s="140"/>
      <c r="N28" s="130"/>
      <c r="O28" t="s">
        <v>139</v>
      </c>
    </row>
    <row r="29" spans="2:23" ht="38.25" x14ac:dyDescent="0.25">
      <c r="B29" s="6">
        <v>17</v>
      </c>
      <c r="C29" s="128" t="s">
        <v>176</v>
      </c>
      <c r="D29" s="35" t="s">
        <v>24</v>
      </c>
      <c r="E29" s="36">
        <v>40</v>
      </c>
      <c r="F29" s="41">
        <v>200</v>
      </c>
      <c r="G29" s="129">
        <v>310000</v>
      </c>
      <c r="H29" s="130">
        <f t="shared" si="0"/>
        <v>12400000</v>
      </c>
      <c r="I29" s="130">
        <f t="shared" si="1"/>
        <v>319951</v>
      </c>
      <c r="J29" s="130">
        <f t="shared" si="2"/>
        <v>63990200</v>
      </c>
      <c r="K29" s="71"/>
      <c r="L29" s="72"/>
      <c r="M29" s="140"/>
      <c r="N29" s="130"/>
      <c r="O29" t="s">
        <v>140</v>
      </c>
    </row>
    <row r="30" spans="2:23" x14ac:dyDescent="0.25">
      <c r="B30" s="6">
        <v>18</v>
      </c>
      <c r="C30" s="128" t="s">
        <v>141</v>
      </c>
      <c r="D30" s="35" t="s">
        <v>18</v>
      </c>
      <c r="E30" s="146">
        <v>82</v>
      </c>
      <c r="F30" s="146">
        <v>82</v>
      </c>
      <c r="G30" s="129">
        <f>+ROUND(46000*1.04,0)</f>
        <v>47840</v>
      </c>
      <c r="H30" s="130">
        <f t="shared" si="0"/>
        <v>3922880</v>
      </c>
      <c r="I30" s="130">
        <f t="shared" si="1"/>
        <v>49375.664000000004</v>
      </c>
      <c r="J30" s="130">
        <f t="shared" si="2"/>
        <v>4048804.4480000003</v>
      </c>
      <c r="K30" s="71"/>
      <c r="L30" s="72"/>
      <c r="M30" s="140"/>
      <c r="N30" s="130"/>
    </row>
    <row r="31" spans="2:23" ht="25.5" x14ac:dyDescent="0.25">
      <c r="B31" s="6">
        <v>19</v>
      </c>
      <c r="C31" s="128" t="s">
        <v>142</v>
      </c>
      <c r="D31" s="35" t="s">
        <v>24</v>
      </c>
      <c r="E31" s="146">
        <v>118</v>
      </c>
      <c r="F31" s="146">
        <v>118</v>
      </c>
      <c r="G31" s="131">
        <f>+ROUND(481700*1.04,0)</f>
        <v>500968</v>
      </c>
      <c r="H31" s="130">
        <f t="shared" si="0"/>
        <v>59114224</v>
      </c>
      <c r="I31" s="130">
        <f t="shared" si="1"/>
        <v>517049.07280000002</v>
      </c>
      <c r="J31" s="130">
        <f t="shared" si="2"/>
        <v>61011790.590400003</v>
      </c>
      <c r="K31" s="71"/>
      <c r="L31" s="72">
        <v>121</v>
      </c>
      <c r="M31" s="140"/>
      <c r="N31" s="130"/>
    </row>
    <row r="32" spans="2:23" x14ac:dyDescent="0.25">
      <c r="B32" s="6"/>
      <c r="C32" s="192" t="s">
        <v>199</v>
      </c>
      <c r="D32" s="35"/>
      <c r="E32" s="146"/>
      <c r="F32" s="146">
        <v>118</v>
      </c>
      <c r="G32" s="131"/>
      <c r="H32" s="130"/>
      <c r="I32" s="130">
        <v>425000</v>
      </c>
      <c r="J32" s="130">
        <f t="shared" si="2"/>
        <v>50150000</v>
      </c>
      <c r="K32" s="139"/>
      <c r="L32" s="140"/>
      <c r="M32" s="140"/>
      <c r="N32" s="130"/>
    </row>
    <row r="33" spans="2:14" x14ac:dyDescent="0.25">
      <c r="B33" s="6">
        <v>20</v>
      </c>
      <c r="C33" s="128" t="s">
        <v>144</v>
      </c>
      <c r="D33" s="35" t="s">
        <v>24</v>
      </c>
      <c r="E33" s="147">
        <f>259+120</f>
        <v>379</v>
      </c>
      <c r="F33" s="147">
        <v>526</v>
      </c>
      <c r="G33" s="131">
        <f>+ROUND(37240*1.04,0)</f>
        <v>38730</v>
      </c>
      <c r="H33" s="130">
        <f t="shared" si="0"/>
        <v>14678670</v>
      </c>
      <c r="I33" s="130">
        <f t="shared" si="1"/>
        <v>39973.233</v>
      </c>
      <c r="J33" s="130">
        <f t="shared" si="2"/>
        <v>21025920.557999998</v>
      </c>
      <c r="K33" s="139"/>
      <c r="L33" s="140"/>
      <c r="M33" s="140"/>
      <c r="N33" s="130"/>
    </row>
    <row r="34" spans="2:14" x14ac:dyDescent="0.25">
      <c r="B34" s="164">
        <v>22</v>
      </c>
      <c r="C34" s="187" t="s">
        <v>177</v>
      </c>
      <c r="D34" s="165" t="s">
        <v>13</v>
      </c>
      <c r="E34" s="166"/>
      <c r="F34" s="167">
        <v>480</v>
      </c>
      <c r="G34" s="168">
        <v>11935.37</v>
      </c>
      <c r="H34" s="169">
        <f>F34*G34</f>
        <v>5728977.6000000006</v>
      </c>
      <c r="I34" s="169">
        <f>G34</f>
        <v>11935.37</v>
      </c>
      <c r="J34" s="130"/>
      <c r="K34" s="73"/>
      <c r="L34" s="73"/>
      <c r="M34" s="73"/>
      <c r="N34" s="169"/>
    </row>
    <row r="35" spans="2:14" x14ac:dyDescent="0.25">
      <c r="B35" s="47"/>
      <c r="C35" s="48"/>
      <c r="D35" s="47"/>
      <c r="E35" s="47"/>
      <c r="F35" s="47"/>
      <c r="G35" s="49"/>
      <c r="H35" s="49"/>
      <c r="I35" s="49"/>
      <c r="J35" s="49"/>
      <c r="K35" s="73"/>
      <c r="L35" s="73"/>
      <c r="M35" s="73"/>
    </row>
    <row r="36" spans="2:14" x14ac:dyDescent="0.25">
      <c r="B36" s="47"/>
      <c r="C36" s="50" t="s">
        <v>59</v>
      </c>
      <c r="D36" s="51"/>
      <c r="E36" s="52"/>
      <c r="F36" s="52"/>
      <c r="G36" s="53"/>
      <c r="H36" s="174">
        <f>SUM(H12:H35)</f>
        <v>518877956.10000002</v>
      </c>
      <c r="I36" s="54"/>
      <c r="J36" s="174">
        <f>SUM(J12:J34)</f>
        <v>579726008.538535</v>
      </c>
      <c r="K36" s="191">
        <f>J36/G6</f>
        <v>409468.85756359296</v>
      </c>
      <c r="L36" s="73"/>
      <c r="M36" s="73"/>
    </row>
    <row r="37" spans="2:14" x14ac:dyDescent="0.25">
      <c r="B37" s="73"/>
      <c r="C37" s="57" t="s">
        <v>60</v>
      </c>
      <c r="D37" s="58"/>
      <c r="E37" s="59"/>
      <c r="F37" s="59"/>
      <c r="G37" s="60"/>
      <c r="H37" s="176">
        <f>+SUM(H38:H41)</f>
        <v>136049800.08942002</v>
      </c>
      <c r="I37" s="55"/>
      <c r="J37" s="175">
        <f>SUM(J38:J41)</f>
        <v>152004159.43880388</v>
      </c>
      <c r="K37" s="73"/>
      <c r="L37" s="73"/>
      <c r="M37" s="73"/>
    </row>
    <row r="38" spans="2:14" x14ac:dyDescent="0.25">
      <c r="B38" s="73"/>
      <c r="C38" s="63" t="s">
        <v>61</v>
      </c>
      <c r="D38" s="58"/>
      <c r="E38" s="64">
        <v>0.17269999999999999</v>
      </c>
      <c r="F38" s="64"/>
      <c r="G38" s="60"/>
      <c r="H38" s="176">
        <f>+E38*H36</f>
        <v>89610223.018470004</v>
      </c>
      <c r="I38" s="55"/>
      <c r="J38" s="175">
        <f>J36*E38</f>
        <v>100118681.674605</v>
      </c>
      <c r="K38" s="73"/>
      <c r="L38" s="73"/>
      <c r="M38" s="73"/>
    </row>
    <row r="39" spans="2:14" x14ac:dyDescent="0.25">
      <c r="B39" s="73"/>
      <c r="C39" s="63" t="s">
        <v>62</v>
      </c>
      <c r="D39" s="58"/>
      <c r="E39" s="64">
        <v>0.03</v>
      </c>
      <c r="F39" s="64"/>
      <c r="G39" s="60"/>
      <c r="H39" s="176">
        <f>+E39*H36</f>
        <v>15566338.683</v>
      </c>
      <c r="I39" s="55"/>
      <c r="J39" s="175">
        <f>J36*E39</f>
        <v>17391780.25615605</v>
      </c>
      <c r="K39" s="73"/>
      <c r="L39" s="73"/>
      <c r="M39" s="73"/>
    </row>
    <row r="40" spans="2:14" x14ac:dyDescent="0.25">
      <c r="B40" s="73"/>
      <c r="C40" s="63" t="s">
        <v>63</v>
      </c>
      <c r="D40" s="58"/>
      <c r="E40" s="64">
        <v>0.05</v>
      </c>
      <c r="F40" s="64"/>
      <c r="G40" s="60"/>
      <c r="H40" s="176">
        <f>+E40*H36</f>
        <v>25943897.805000003</v>
      </c>
      <c r="I40" s="55"/>
      <c r="J40" s="175">
        <f>J36*E40</f>
        <v>28986300.426926751</v>
      </c>
      <c r="K40" s="73"/>
      <c r="L40" s="73"/>
      <c r="M40" s="73"/>
    </row>
    <row r="41" spans="2:14" x14ac:dyDescent="0.25">
      <c r="B41" s="73"/>
      <c r="C41" s="65" t="s">
        <v>64</v>
      </c>
      <c r="D41" s="66"/>
      <c r="E41" s="67">
        <v>0.19</v>
      </c>
      <c r="F41" s="67"/>
      <c r="G41" s="68"/>
      <c r="H41" s="177">
        <f>+E41*H40</f>
        <v>4929340.5829500007</v>
      </c>
      <c r="I41" s="55"/>
      <c r="J41" s="175">
        <f>J40*E41</f>
        <v>5507397.0811160831</v>
      </c>
      <c r="K41" s="73"/>
      <c r="L41" s="73"/>
      <c r="M41" s="73"/>
    </row>
    <row r="42" spans="2:14" x14ac:dyDescent="0.25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2:14" x14ac:dyDescent="0.25">
      <c r="B43" s="73"/>
      <c r="C43" s="73"/>
      <c r="D43" s="73"/>
      <c r="E43" s="73"/>
      <c r="F43" s="73"/>
      <c r="G43" s="74"/>
      <c r="H43" s="173">
        <f>+H36+H37</f>
        <v>654927756.18941998</v>
      </c>
      <c r="I43" s="76"/>
      <c r="J43" s="178">
        <f>J36+J37</f>
        <v>731730167.97733891</v>
      </c>
      <c r="K43" s="73"/>
      <c r="L43" s="73"/>
      <c r="M43" s="73"/>
    </row>
    <row r="44" spans="2:14" x14ac:dyDescent="0.25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2:14" x14ac:dyDescent="0.25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8" spans="2:14" x14ac:dyDescent="0.25">
      <c r="F48" s="185">
        <f>+J36/1416</f>
        <v>409411.02297919139</v>
      </c>
      <c r="H48" s="190">
        <f>I48*F31</f>
        <v>44840000</v>
      </c>
      <c r="I48" s="185">
        <v>380000</v>
      </c>
    </row>
    <row r="49" spans="8:9" x14ac:dyDescent="0.25">
      <c r="H49" s="190">
        <f>+I49*E31</f>
        <v>50150000</v>
      </c>
      <c r="I49" s="185">
        <v>425000</v>
      </c>
    </row>
  </sheetData>
  <protectedRanges>
    <protectedRange sqref="E38:F40" name="Rango3_2_1_3"/>
  </protectedRanges>
  <mergeCells count="2">
    <mergeCell ref="B10:L10"/>
    <mergeCell ref="P1:Q2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2:S59"/>
  <sheetViews>
    <sheetView zoomScale="90" zoomScaleNormal="90" workbookViewId="0">
      <selection activeCell="G47" sqref="G47"/>
    </sheetView>
  </sheetViews>
  <sheetFormatPr baseColWidth="10" defaultRowHeight="15" x14ac:dyDescent="0.25"/>
  <cols>
    <col min="1" max="1" width="5" customWidth="1"/>
    <col min="3" max="3" width="35.85546875" customWidth="1"/>
    <col min="6" max="6" width="16.28515625" customWidth="1"/>
    <col min="7" max="7" width="19.140625" customWidth="1"/>
    <col min="8" max="8" width="15.140625" hidden="1" customWidth="1"/>
    <col min="9" max="9" width="21" hidden="1" customWidth="1"/>
    <col min="10" max="10" width="15.7109375" hidden="1" customWidth="1"/>
    <col min="11" max="11" width="18.140625" hidden="1" customWidth="1"/>
    <col min="12" max="12" width="15.5703125" hidden="1" customWidth="1"/>
    <col min="13" max="13" width="18" hidden="1" customWidth="1"/>
    <col min="14" max="14" width="16.7109375" hidden="1" customWidth="1"/>
    <col min="15" max="15" width="15.85546875" hidden="1" customWidth="1"/>
    <col min="18" max="18" width="13.85546875" customWidth="1"/>
  </cols>
  <sheetData>
    <row r="2" spans="2:19" x14ac:dyDescent="0.25">
      <c r="B2" s="305" t="s">
        <v>0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7"/>
      <c r="R2" t="s">
        <v>110</v>
      </c>
    </row>
    <row r="3" spans="2:19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9" ht="64.5" hidden="1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  <c r="Q4" t="s">
        <v>116</v>
      </c>
      <c r="R4" s="124">
        <v>66360</v>
      </c>
      <c r="S4" t="s">
        <v>113</v>
      </c>
    </row>
    <row r="5" spans="2:19" ht="26.25" hidden="1" x14ac:dyDescent="0.25">
      <c r="B5" s="6">
        <v>2</v>
      </c>
      <c r="C5" s="7" t="s">
        <v>112</v>
      </c>
      <c r="D5" s="8" t="s">
        <v>13</v>
      </c>
      <c r="E5" s="9">
        <v>960</v>
      </c>
      <c r="F5" s="10">
        <v>95140</v>
      </c>
      <c r="G5" s="10">
        <v>91334400</v>
      </c>
      <c r="H5" s="125">
        <v>960</v>
      </c>
      <c r="I5" s="126">
        <v>91334400</v>
      </c>
      <c r="J5" s="13"/>
      <c r="K5" s="14">
        <v>0</v>
      </c>
      <c r="L5" s="15"/>
      <c r="M5" s="16">
        <v>0</v>
      </c>
      <c r="N5" s="71"/>
      <c r="O5" s="72"/>
      <c r="Q5" t="s">
        <v>115</v>
      </c>
      <c r="R5" s="124">
        <v>90885</v>
      </c>
      <c r="S5" t="s">
        <v>111</v>
      </c>
    </row>
    <row r="6" spans="2:19" ht="26.25" hidden="1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  <c r="R6" s="124"/>
    </row>
    <row r="7" spans="2:19" hidden="1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  <c r="R7" s="124"/>
    </row>
    <row r="8" spans="2:19" hidden="1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  <c r="R8" s="124"/>
    </row>
    <row r="9" spans="2:19" ht="26.25" hidden="1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  <c r="R9" s="124"/>
    </row>
    <row r="10" spans="2:19" ht="26.25" hidden="1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  <c r="R10" s="124"/>
    </row>
    <row r="11" spans="2:19" ht="26.25" hidden="1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  <c r="R11" s="124"/>
    </row>
    <row r="12" spans="2:19" ht="26.25" hidden="1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  <c r="R12" s="124"/>
    </row>
    <row r="13" spans="2:19" ht="26.25" hidden="1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  <c r="R13" s="124"/>
    </row>
    <row r="14" spans="2:19" hidden="1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  <c r="Q14" t="s">
        <v>115</v>
      </c>
      <c r="R14" s="124">
        <v>100318</v>
      </c>
      <c r="S14" t="s">
        <v>114</v>
      </c>
    </row>
    <row r="15" spans="2:19" ht="64.5" hidden="1" x14ac:dyDescent="0.25">
      <c r="B15" s="6">
        <v>12</v>
      </c>
      <c r="C15" s="7" t="s">
        <v>27</v>
      </c>
      <c r="D15" s="8" t="s">
        <v>13</v>
      </c>
      <c r="E15" s="9">
        <v>525</v>
      </c>
      <c r="F15" s="127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  <c r="R15" s="124">
        <v>0</v>
      </c>
      <c r="S15" t="s">
        <v>117</v>
      </c>
    </row>
    <row r="16" spans="2:19" ht="26.25" hidden="1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  <c r="Q16" t="s">
        <v>115</v>
      </c>
      <c r="R16" s="124">
        <v>10900</v>
      </c>
      <c r="S16" t="s">
        <v>118</v>
      </c>
    </row>
    <row r="17" spans="2:19" ht="26.25" hidden="1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  <c r="Q17" t="s">
        <v>115</v>
      </c>
      <c r="R17" s="124">
        <v>79214</v>
      </c>
      <c r="S17" t="s">
        <v>119</v>
      </c>
    </row>
    <row r="18" spans="2:19" ht="26.25" hidden="1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  <c r="Q18" t="s">
        <v>115</v>
      </c>
      <c r="R18" s="124">
        <v>1350</v>
      </c>
    </row>
    <row r="19" spans="2:19" hidden="1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  <c r="Q19" t="s">
        <v>115</v>
      </c>
      <c r="R19" s="124">
        <v>46169</v>
      </c>
      <c r="S19" t="s">
        <v>120</v>
      </c>
    </row>
    <row r="20" spans="2:19" ht="26.25" hidden="1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  <c r="R20" s="124"/>
    </row>
    <row r="21" spans="2:19" hidden="1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9" ht="26.25" hidden="1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9" ht="26.25" hidden="1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9" ht="26.25" hidden="1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9" ht="64.5" hidden="1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120">
        <v>16.799999999999997</v>
      </c>
      <c r="I25" s="20">
        <v>20776559.999999996</v>
      </c>
      <c r="J25" s="123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9" ht="26.25" hidden="1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9" ht="26.25" hidden="1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9" hidden="1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9" hidden="1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9" hidden="1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9" hidden="1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9" hidden="1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hidden="1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hidden="1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hidden="1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21">
        <v>12021.653</v>
      </c>
      <c r="M35" s="45">
        <v>152005627.46096</v>
      </c>
      <c r="N35" s="71" t="s">
        <v>52</v>
      </c>
      <c r="O35" s="72"/>
    </row>
    <row r="36" spans="2:15" ht="102.75" hidden="1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21">
        <v>5152.1369999999997</v>
      </c>
      <c r="M36" s="45">
        <v>85955142.918167412</v>
      </c>
      <c r="N36" s="71" t="s">
        <v>52</v>
      </c>
      <c r="O36" s="72"/>
    </row>
    <row r="37" spans="2:15" hidden="1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hidden="1" x14ac:dyDescent="0.25">
      <c r="B38" s="33">
        <v>35</v>
      </c>
      <c r="C38" s="7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21">
        <v>1</v>
      </c>
      <c r="M38" s="122">
        <v>1700750</v>
      </c>
      <c r="N38" s="71"/>
      <c r="O38" s="72"/>
    </row>
    <row r="39" spans="2:15" hidden="1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21"/>
      <c r="M39" s="122">
        <v>0</v>
      </c>
      <c r="N39" s="71"/>
      <c r="O39" s="72"/>
    </row>
    <row r="40" spans="2:15" ht="25.5" x14ac:dyDescent="0.25">
      <c r="B40" s="33">
        <v>1</v>
      </c>
      <c r="C40" s="34" t="s">
        <v>189</v>
      </c>
      <c r="D40" s="35" t="s">
        <v>13</v>
      </c>
      <c r="E40" s="188">
        <v>60</v>
      </c>
      <c r="F40" s="46">
        <v>7610</v>
      </c>
      <c r="G40" s="37">
        <f>+E40*F40</f>
        <v>456600</v>
      </c>
      <c r="H40" s="11"/>
      <c r="I40" s="38">
        <v>0</v>
      </c>
      <c r="J40" s="13"/>
      <c r="K40" s="39">
        <v>0</v>
      </c>
      <c r="L40" s="121">
        <v>6</v>
      </c>
      <c r="M40" s="45">
        <v>1499220</v>
      </c>
      <c r="N40" s="71"/>
      <c r="O40" s="72"/>
    </row>
    <row r="41" spans="2:15" x14ac:dyDescent="0.25">
      <c r="B41" s="33"/>
      <c r="C41" s="34" t="s">
        <v>203</v>
      </c>
      <c r="D41" s="35" t="s">
        <v>18</v>
      </c>
      <c r="E41" s="188">
        <v>6</v>
      </c>
      <c r="F41" s="46">
        <v>45560</v>
      </c>
      <c r="G41" s="37">
        <f>+E41*F41</f>
        <v>273360</v>
      </c>
      <c r="H41" s="11"/>
      <c r="I41" s="38"/>
      <c r="J41" s="13"/>
      <c r="K41" s="39"/>
      <c r="L41" s="121"/>
      <c r="M41" s="45"/>
      <c r="N41" s="71"/>
      <c r="O41" s="72"/>
    </row>
    <row r="42" spans="2:15" ht="25.5" x14ac:dyDescent="0.25">
      <c r="B42" s="33">
        <v>2</v>
      </c>
      <c r="C42" s="34" t="s">
        <v>190</v>
      </c>
      <c r="D42" s="35" t="s">
        <v>13</v>
      </c>
      <c r="E42" s="35">
        <v>60</v>
      </c>
      <c r="F42" s="46">
        <v>40710</v>
      </c>
      <c r="G42" s="37">
        <f t="shared" ref="G42:G47" si="0">+E42*F42</f>
        <v>2442600</v>
      </c>
      <c r="H42" s="11"/>
      <c r="I42" s="38">
        <v>0</v>
      </c>
      <c r="J42" s="13"/>
      <c r="K42" s="39">
        <v>0</v>
      </c>
      <c r="L42" s="121">
        <v>6</v>
      </c>
      <c r="M42" s="45">
        <v>1858824</v>
      </c>
      <c r="N42" s="71"/>
      <c r="O42" s="72"/>
    </row>
    <row r="43" spans="2:15" x14ac:dyDescent="0.25">
      <c r="B43" s="33">
        <v>3</v>
      </c>
      <c r="C43" s="34" t="s">
        <v>200</v>
      </c>
      <c r="D43" s="35" t="s">
        <v>13</v>
      </c>
      <c r="E43" s="35">
        <v>60</v>
      </c>
      <c r="F43" s="46">
        <v>15000</v>
      </c>
      <c r="G43" s="37">
        <f t="shared" si="0"/>
        <v>900000</v>
      </c>
      <c r="H43" s="11"/>
      <c r="I43" s="38"/>
      <c r="J43" s="13"/>
      <c r="K43" s="39"/>
      <c r="L43" s="121"/>
      <c r="M43" s="45"/>
      <c r="N43" s="71"/>
      <c r="O43" s="72"/>
    </row>
    <row r="44" spans="2:15" x14ac:dyDescent="0.25">
      <c r="B44" s="33">
        <v>4</v>
      </c>
      <c r="C44" s="34" t="s">
        <v>201</v>
      </c>
      <c r="D44" s="35" t="s">
        <v>13</v>
      </c>
      <c r="E44" s="35">
        <v>60</v>
      </c>
      <c r="F44" s="46">
        <v>21000</v>
      </c>
      <c r="G44" s="37">
        <f t="shared" si="0"/>
        <v>1260000</v>
      </c>
      <c r="H44" s="11"/>
      <c r="I44" s="38"/>
      <c r="J44" s="13"/>
      <c r="K44" s="39"/>
      <c r="L44" s="121"/>
      <c r="M44" s="45"/>
      <c r="N44" s="71"/>
      <c r="O44" s="72"/>
    </row>
    <row r="45" spans="2:15" x14ac:dyDescent="0.25">
      <c r="B45" s="33">
        <v>5</v>
      </c>
      <c r="C45" s="34" t="s">
        <v>202</v>
      </c>
      <c r="D45" s="35" t="s">
        <v>24</v>
      </c>
      <c r="E45" s="35">
        <v>20.34</v>
      </c>
      <c r="F45" s="46">
        <v>9500</v>
      </c>
      <c r="G45" s="37">
        <f t="shared" si="0"/>
        <v>193230</v>
      </c>
      <c r="H45" s="11"/>
      <c r="I45" s="38"/>
      <c r="J45" s="13"/>
      <c r="K45" s="39"/>
      <c r="L45" s="121"/>
      <c r="M45" s="45"/>
      <c r="N45" s="71"/>
      <c r="O45" s="72"/>
    </row>
    <row r="46" spans="2:15" x14ac:dyDescent="0.25">
      <c r="B46" s="33"/>
      <c r="C46" s="34" t="s">
        <v>205</v>
      </c>
      <c r="D46" s="35" t="s">
        <v>18</v>
      </c>
      <c r="E46" s="188">
        <v>6</v>
      </c>
      <c r="F46" s="46">
        <v>45560</v>
      </c>
      <c r="G46" s="37">
        <f>+E46*F46</f>
        <v>273360</v>
      </c>
      <c r="H46" s="11"/>
      <c r="I46" s="38"/>
      <c r="J46" s="13"/>
      <c r="K46" s="39"/>
      <c r="L46" s="121"/>
      <c r="M46" s="45"/>
      <c r="N46" s="71"/>
      <c r="O46" s="72"/>
    </row>
    <row r="47" spans="2:15" ht="25.5" x14ac:dyDescent="0.25">
      <c r="B47" s="33">
        <v>6</v>
      </c>
      <c r="C47" s="34" t="s">
        <v>58</v>
      </c>
      <c r="D47" s="35" t="s">
        <v>24</v>
      </c>
      <c r="E47" s="41">
        <v>34</v>
      </c>
      <c r="F47" s="46">
        <v>111676</v>
      </c>
      <c r="G47" s="37">
        <f t="shared" si="0"/>
        <v>3796984</v>
      </c>
      <c r="H47" s="11"/>
      <c r="I47" s="38">
        <v>0</v>
      </c>
      <c r="J47" s="13"/>
      <c r="K47" s="39">
        <v>0</v>
      </c>
      <c r="L47" s="121">
        <v>15</v>
      </c>
      <c r="M47" s="45">
        <v>1675140</v>
      </c>
      <c r="N47" s="71"/>
      <c r="O47" s="72"/>
    </row>
    <row r="48" spans="2:15" x14ac:dyDescent="0.25">
      <c r="B48" s="47"/>
      <c r="C48" s="193"/>
      <c r="D48" s="47"/>
      <c r="E48" s="47"/>
      <c r="F48" s="49"/>
      <c r="G48" s="49"/>
      <c r="H48" s="49"/>
      <c r="I48" s="49"/>
      <c r="J48" s="49"/>
      <c r="K48" s="49"/>
      <c r="L48" s="49"/>
      <c r="M48" s="49"/>
      <c r="N48" s="73"/>
      <c r="O48" s="73"/>
    </row>
    <row r="49" spans="2:15" x14ac:dyDescent="0.25">
      <c r="B49" s="47"/>
      <c r="C49" s="48"/>
      <c r="D49" s="47"/>
      <c r="E49" s="47"/>
      <c r="F49" s="49"/>
      <c r="G49" s="49"/>
      <c r="H49" s="49"/>
      <c r="I49" s="49"/>
      <c r="J49" s="49"/>
      <c r="K49" s="49"/>
      <c r="L49" s="49"/>
      <c r="M49" s="49"/>
      <c r="N49" s="73"/>
      <c r="O49" s="73"/>
    </row>
    <row r="50" spans="2:15" hidden="1" x14ac:dyDescent="0.25">
      <c r="B50" s="47"/>
      <c r="C50" s="50" t="s">
        <v>59</v>
      </c>
      <c r="D50" s="51"/>
      <c r="E50" s="52"/>
      <c r="F50" s="53"/>
      <c r="G50" s="54">
        <v>959562063.90912747</v>
      </c>
      <c r="H50" s="55"/>
      <c r="I50" s="56">
        <v>472345236.02999997</v>
      </c>
      <c r="J50" s="55"/>
      <c r="K50" s="56">
        <v>242522123.5</v>
      </c>
      <c r="L50" s="55"/>
      <c r="M50" s="56">
        <v>244694704.37912741</v>
      </c>
      <c r="N50" s="73"/>
      <c r="O50" s="73"/>
    </row>
    <row r="51" spans="2:15" hidden="1" x14ac:dyDescent="0.25">
      <c r="B51" s="73"/>
      <c r="C51" s="57" t="s">
        <v>60</v>
      </c>
      <c r="D51" s="58"/>
      <c r="E51" s="59"/>
      <c r="F51" s="60"/>
      <c r="G51" s="61">
        <v>251597173</v>
      </c>
      <c r="H51" s="55"/>
      <c r="I51" s="62">
        <v>123848921</v>
      </c>
      <c r="J51" s="55"/>
      <c r="K51" s="62">
        <v>63589301</v>
      </c>
      <c r="L51" s="55"/>
      <c r="M51" s="62">
        <v>64158951</v>
      </c>
      <c r="N51" s="73"/>
      <c r="O51" s="73"/>
    </row>
    <row r="52" spans="2:15" hidden="1" x14ac:dyDescent="0.25">
      <c r="B52" s="73"/>
      <c r="C52" s="63" t="s">
        <v>61</v>
      </c>
      <c r="D52" s="58"/>
      <c r="E52" s="64">
        <v>0.17269999999999999</v>
      </c>
      <c r="F52" s="60"/>
      <c r="G52" s="61">
        <v>165716368</v>
      </c>
      <c r="H52" s="55"/>
      <c r="I52" s="62">
        <v>81574022</v>
      </c>
      <c r="J52" s="55"/>
      <c r="K52" s="62">
        <v>41883571</v>
      </c>
      <c r="L52" s="55"/>
      <c r="M52" s="62">
        <v>42258775</v>
      </c>
      <c r="N52" s="73"/>
      <c r="O52" s="73"/>
    </row>
    <row r="53" spans="2:15" hidden="1" x14ac:dyDescent="0.25">
      <c r="B53" s="73"/>
      <c r="C53" s="63" t="s">
        <v>62</v>
      </c>
      <c r="D53" s="58"/>
      <c r="E53" s="64">
        <v>0.03</v>
      </c>
      <c r="F53" s="60"/>
      <c r="G53" s="61">
        <v>28786862</v>
      </c>
      <c r="H53" s="55"/>
      <c r="I53" s="62">
        <v>14170357</v>
      </c>
      <c r="J53" s="55"/>
      <c r="K53" s="62">
        <v>7275664</v>
      </c>
      <c r="L53" s="55"/>
      <c r="M53" s="62">
        <v>7340841</v>
      </c>
      <c r="N53" s="73"/>
      <c r="O53" s="73"/>
    </row>
    <row r="54" spans="2:15" hidden="1" x14ac:dyDescent="0.25">
      <c r="B54" s="73"/>
      <c r="C54" s="63" t="s">
        <v>63</v>
      </c>
      <c r="D54" s="58"/>
      <c r="E54" s="64">
        <v>0.05</v>
      </c>
      <c r="F54" s="60"/>
      <c r="G54" s="61">
        <v>47978103</v>
      </c>
      <c r="H54" s="55"/>
      <c r="I54" s="62">
        <v>23617262</v>
      </c>
      <c r="J54" s="55"/>
      <c r="K54" s="62">
        <v>12126106</v>
      </c>
      <c r="L54" s="55"/>
      <c r="M54" s="62">
        <v>12234735</v>
      </c>
      <c r="N54" s="73"/>
      <c r="O54" s="73"/>
    </row>
    <row r="55" spans="2:15" hidden="1" x14ac:dyDescent="0.25">
      <c r="B55" s="73"/>
      <c r="C55" s="65" t="s">
        <v>64</v>
      </c>
      <c r="D55" s="66"/>
      <c r="E55" s="67">
        <v>0.19</v>
      </c>
      <c r="F55" s="68"/>
      <c r="G55" s="69">
        <v>9115840</v>
      </c>
      <c r="H55" s="55"/>
      <c r="I55" s="70">
        <v>4487280</v>
      </c>
      <c r="J55" s="55"/>
      <c r="K55" s="70">
        <v>2303960</v>
      </c>
      <c r="L55" s="55"/>
      <c r="M55" s="70">
        <v>2324600</v>
      </c>
      <c r="N55" s="73"/>
      <c r="O55" s="73"/>
    </row>
    <row r="56" spans="2:15" x14ac:dyDescent="0.25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2:15" x14ac:dyDescent="0.25">
      <c r="B57" s="73"/>
      <c r="C57" s="73"/>
      <c r="D57" s="73"/>
      <c r="E57" s="73"/>
      <c r="F57" s="74"/>
      <c r="G57" s="75">
        <f>SUM(G40:O47)</f>
        <v>14629345</v>
      </c>
      <c r="H57" s="76"/>
      <c r="I57" s="77">
        <v>596194157.02999997</v>
      </c>
      <c r="J57" s="76"/>
      <c r="K57" s="78">
        <v>306111424.5</v>
      </c>
      <c r="L57" s="76"/>
      <c r="M57" s="79">
        <v>308853655.37912738</v>
      </c>
      <c r="N57" s="73"/>
      <c r="O57" s="73"/>
    </row>
    <row r="58" spans="2:15" x14ac:dyDescent="0.25">
      <c r="B58" s="73"/>
      <c r="C58" s="73"/>
      <c r="D58" s="73"/>
      <c r="E58" s="73"/>
      <c r="F58" s="73"/>
      <c r="G58" s="73"/>
      <c r="H58" s="80" t="s">
        <v>107</v>
      </c>
      <c r="I58" s="119">
        <v>1548</v>
      </c>
      <c r="J58" s="73"/>
      <c r="K58" s="119">
        <v>2017</v>
      </c>
      <c r="L58" s="73"/>
      <c r="M58" s="119">
        <v>1</v>
      </c>
      <c r="N58" s="73"/>
      <c r="O58" s="73"/>
    </row>
    <row r="59" spans="2:15" x14ac:dyDescent="0.25">
      <c r="B59" s="73"/>
      <c r="C59" s="73"/>
      <c r="D59" s="73"/>
      <c r="E59" s="73"/>
      <c r="F59" s="73"/>
      <c r="G59" s="73"/>
      <c r="H59" s="80" t="s">
        <v>65</v>
      </c>
      <c r="I59" s="81">
        <v>385138.344334625</v>
      </c>
      <c r="J59" s="73"/>
      <c r="K59" s="81">
        <v>151765.70376797224</v>
      </c>
      <c r="L59" s="73"/>
      <c r="M59" s="81">
        <v>308853655.37912738</v>
      </c>
      <c r="N59" s="73"/>
      <c r="O59" s="73"/>
    </row>
  </sheetData>
  <protectedRanges>
    <protectedRange sqref="E52:E54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O54"/>
  <sheetViews>
    <sheetView topLeftCell="B37" zoomScale="90" zoomScaleNormal="90" workbookViewId="0">
      <selection activeCell="G45" sqref="G45"/>
    </sheetView>
  </sheetViews>
  <sheetFormatPr baseColWidth="10" defaultRowHeight="15" x14ac:dyDescent="0.25"/>
  <cols>
    <col min="1" max="1" width="5" customWidth="1"/>
    <col min="3" max="3" width="34.28515625" customWidth="1"/>
    <col min="6" max="6" width="16.28515625" customWidth="1"/>
    <col min="7" max="7" width="19.140625" customWidth="1"/>
    <col min="8" max="8" width="15.140625" customWidth="1"/>
    <col min="9" max="9" width="21" customWidth="1"/>
    <col min="10" max="10" width="15.7109375" customWidth="1"/>
    <col min="11" max="11" width="18.140625" customWidth="1"/>
    <col min="12" max="12" width="15.5703125" customWidth="1"/>
    <col min="13" max="13" width="18" customWidth="1"/>
    <col min="14" max="14" width="16.7109375" customWidth="1"/>
    <col min="15" max="15" width="15.85546875" customWidth="1"/>
  </cols>
  <sheetData>
    <row r="2" spans="2:15" x14ac:dyDescent="0.25">
      <c r="B2" s="305" t="s">
        <v>0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7"/>
    </row>
    <row r="3" spans="2:15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5" ht="64.5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</row>
    <row r="5" spans="2:15" ht="26.25" x14ac:dyDescent="0.25">
      <c r="B5" s="6">
        <v>2</v>
      </c>
      <c r="C5" s="7" t="s">
        <v>15</v>
      </c>
      <c r="D5" s="8" t="s">
        <v>13</v>
      </c>
      <c r="E5" s="9">
        <v>960</v>
      </c>
      <c r="F5" s="10">
        <v>95140</v>
      </c>
      <c r="G5" s="10">
        <v>91334400</v>
      </c>
      <c r="H5" s="11">
        <v>960</v>
      </c>
      <c r="I5" s="17">
        <v>91334400</v>
      </c>
      <c r="J5" s="13"/>
      <c r="K5" s="14">
        <v>0</v>
      </c>
      <c r="L5" s="15"/>
      <c r="M5" s="16">
        <v>0</v>
      </c>
      <c r="N5" s="71"/>
      <c r="O5" s="72"/>
    </row>
    <row r="6" spans="2:15" ht="26.25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</row>
    <row r="7" spans="2:15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</row>
    <row r="8" spans="2:15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</row>
    <row r="9" spans="2:15" ht="26.25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</row>
    <row r="10" spans="2:15" ht="26.25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</row>
    <row r="11" spans="2:15" ht="26.25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</row>
    <row r="12" spans="2:15" ht="26.25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</row>
    <row r="13" spans="2:15" ht="26.25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</row>
    <row r="14" spans="2:15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</row>
    <row r="15" spans="2:15" ht="64.5" x14ac:dyDescent="0.25">
      <c r="B15" s="6">
        <v>12</v>
      </c>
      <c r="C15" s="7" t="s">
        <v>27</v>
      </c>
      <c r="D15" s="8" t="s">
        <v>13</v>
      </c>
      <c r="E15" s="9">
        <v>525</v>
      </c>
      <c r="F15" s="29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</row>
    <row r="16" spans="2:15" ht="26.25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</row>
    <row r="17" spans="2:15" ht="26.25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</row>
    <row r="18" spans="2:15" ht="26.25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</row>
    <row r="19" spans="2:15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</row>
    <row r="20" spans="2:15" ht="26.25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</row>
    <row r="21" spans="2:15" ht="26.25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5" ht="26.25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5" ht="26.25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5" ht="26.25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5" ht="64.5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30">
        <v>16.799999999999997</v>
      </c>
      <c r="I25" s="20">
        <v>20776559.999999996</v>
      </c>
      <c r="J25" s="31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5" ht="26.25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5" ht="26.25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5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5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5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5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5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5">
        <v>12021.653</v>
      </c>
      <c r="M35" s="40">
        <v>152005627.46096</v>
      </c>
      <c r="N35" s="71" t="s">
        <v>52</v>
      </c>
      <c r="O35" s="72"/>
    </row>
    <row r="36" spans="2:15" ht="102.75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5">
        <v>5152.1369999999997</v>
      </c>
      <c r="M36" s="40">
        <v>85955142.918167412</v>
      </c>
      <c r="N36" s="71" t="s">
        <v>52</v>
      </c>
      <c r="O36" s="72"/>
    </row>
    <row r="37" spans="2:15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x14ac:dyDescent="0.25">
      <c r="B38" s="33">
        <v>35</v>
      </c>
      <c r="C38" s="182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5">
        <v>1</v>
      </c>
      <c r="M38" s="16">
        <v>1700750</v>
      </c>
      <c r="N38" s="71"/>
      <c r="O38" s="72"/>
    </row>
    <row r="39" spans="2:15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5"/>
      <c r="M39" s="16">
        <v>0</v>
      </c>
      <c r="N39" s="71"/>
      <c r="O39" s="72"/>
    </row>
    <row r="40" spans="2:15" ht="38.25" x14ac:dyDescent="0.25">
      <c r="B40" s="33">
        <v>37</v>
      </c>
      <c r="C40" s="186" t="s">
        <v>57</v>
      </c>
      <c r="D40" s="35" t="s">
        <v>18</v>
      </c>
      <c r="E40" s="35">
        <v>6</v>
      </c>
      <c r="F40" s="46">
        <v>249870</v>
      </c>
      <c r="G40" s="37">
        <v>1499220</v>
      </c>
      <c r="H40" s="11"/>
      <c r="I40" s="38">
        <v>0</v>
      </c>
      <c r="J40" s="13"/>
      <c r="K40" s="39">
        <v>0</v>
      </c>
      <c r="L40" s="15">
        <v>6</v>
      </c>
      <c r="M40" s="40">
        <v>1499220</v>
      </c>
      <c r="N40" s="71"/>
      <c r="O40" s="72"/>
    </row>
    <row r="41" spans="2:15" ht="25.5" x14ac:dyDescent="0.25">
      <c r="B41" s="33">
        <v>38</v>
      </c>
      <c r="C41" s="186" t="s">
        <v>186</v>
      </c>
      <c r="D41" s="35" t="s">
        <v>18</v>
      </c>
      <c r="E41" s="35">
        <v>6</v>
      </c>
      <c r="F41" s="46">
        <v>309804</v>
      </c>
      <c r="G41" s="37">
        <v>1858824</v>
      </c>
      <c r="H41" s="11"/>
      <c r="I41" s="38">
        <v>0</v>
      </c>
      <c r="J41" s="13"/>
      <c r="K41" s="39">
        <v>0</v>
      </c>
      <c r="L41" s="15">
        <v>6</v>
      </c>
      <c r="M41" s="40">
        <v>1858824</v>
      </c>
      <c r="N41" s="71"/>
      <c r="O41" s="72"/>
    </row>
    <row r="42" spans="2:15" ht="25.5" x14ac:dyDescent="0.25">
      <c r="B42" s="33">
        <v>39</v>
      </c>
      <c r="C42" s="186" t="s">
        <v>58</v>
      </c>
      <c r="D42" s="35" t="s">
        <v>24</v>
      </c>
      <c r="E42" s="41">
        <v>15</v>
      </c>
      <c r="F42" s="46">
        <v>111676</v>
      </c>
      <c r="G42" s="37">
        <v>1675140</v>
      </c>
      <c r="H42" s="11"/>
      <c r="I42" s="38">
        <v>0</v>
      </c>
      <c r="J42" s="13"/>
      <c r="K42" s="39">
        <v>0</v>
      </c>
      <c r="L42" s="15">
        <v>15</v>
      </c>
      <c r="M42" s="40">
        <v>1675140</v>
      </c>
      <c r="N42" s="71"/>
      <c r="O42" s="72"/>
    </row>
    <row r="43" spans="2:15" x14ac:dyDescent="0.25">
      <c r="B43" s="47"/>
      <c r="C43" s="48"/>
      <c r="D43" s="47"/>
      <c r="E43" s="47"/>
      <c r="F43" s="49"/>
      <c r="G43" s="49"/>
      <c r="H43" s="49"/>
      <c r="I43" s="49"/>
      <c r="J43" s="49"/>
      <c r="K43" s="49"/>
      <c r="L43" s="49"/>
      <c r="M43" s="49"/>
      <c r="N43" s="73"/>
      <c r="O43" s="73"/>
    </row>
    <row r="44" spans="2:15" x14ac:dyDescent="0.25">
      <c r="B44" s="47"/>
      <c r="C44" s="48"/>
      <c r="D44" s="47"/>
      <c r="E44" s="47"/>
      <c r="F44" s="49"/>
      <c r="G44" s="49">
        <f>+G40+G41</f>
        <v>3358044</v>
      </c>
      <c r="H44" s="49"/>
      <c r="I44" s="49"/>
      <c r="J44" s="49"/>
      <c r="K44" s="49"/>
      <c r="L44" s="49"/>
      <c r="M44" s="49"/>
      <c r="N44" s="73"/>
      <c r="O44" s="73"/>
    </row>
    <row r="45" spans="2:15" x14ac:dyDescent="0.25">
      <c r="B45" s="47"/>
      <c r="C45" s="50" t="s">
        <v>59</v>
      </c>
      <c r="D45" s="51"/>
      <c r="E45" s="52"/>
      <c r="F45" s="53"/>
      <c r="G45" s="54">
        <v>959562063.90912747</v>
      </c>
      <c r="H45" s="55"/>
      <c r="I45" s="56">
        <v>472345236.02999997</v>
      </c>
      <c r="J45" s="55"/>
      <c r="K45" s="56">
        <v>242522123.5</v>
      </c>
      <c r="L45" s="55"/>
      <c r="M45" s="56">
        <v>244694704.37912741</v>
      </c>
      <c r="N45" s="73"/>
      <c r="O45" s="73"/>
    </row>
    <row r="46" spans="2:15" x14ac:dyDescent="0.25">
      <c r="B46" s="73"/>
      <c r="C46" s="57" t="s">
        <v>60</v>
      </c>
      <c r="D46" s="58"/>
      <c r="E46" s="59"/>
      <c r="F46" s="60"/>
      <c r="G46" s="61">
        <v>251597173</v>
      </c>
      <c r="H46" s="55"/>
      <c r="I46" s="62">
        <v>123848921</v>
      </c>
      <c r="J46" s="55"/>
      <c r="K46" s="62">
        <v>63589301</v>
      </c>
      <c r="L46" s="55"/>
      <c r="M46" s="62">
        <v>64158951</v>
      </c>
      <c r="N46" s="73"/>
      <c r="O46" s="73"/>
    </row>
    <row r="47" spans="2:15" x14ac:dyDescent="0.25">
      <c r="B47" s="73"/>
      <c r="C47" s="63" t="s">
        <v>61</v>
      </c>
      <c r="D47" s="58"/>
      <c r="E47" s="64">
        <v>0.17269999999999999</v>
      </c>
      <c r="F47" s="60"/>
      <c r="G47" s="61">
        <v>165716368</v>
      </c>
      <c r="H47" s="55"/>
      <c r="I47" s="62">
        <v>81574022</v>
      </c>
      <c r="J47" s="55"/>
      <c r="K47" s="62">
        <v>41883571</v>
      </c>
      <c r="L47" s="55"/>
      <c r="M47" s="62">
        <v>42258775</v>
      </c>
      <c r="N47" s="73"/>
      <c r="O47" s="73"/>
    </row>
    <row r="48" spans="2:15" x14ac:dyDescent="0.25">
      <c r="B48" s="73"/>
      <c r="C48" s="63" t="s">
        <v>62</v>
      </c>
      <c r="D48" s="58"/>
      <c r="E48" s="64">
        <v>0.03</v>
      </c>
      <c r="F48" s="60"/>
      <c r="G48" s="61">
        <v>28786862</v>
      </c>
      <c r="H48" s="55"/>
      <c r="I48" s="62">
        <v>14170357</v>
      </c>
      <c r="J48" s="55"/>
      <c r="K48" s="62">
        <v>7275664</v>
      </c>
      <c r="L48" s="55"/>
      <c r="M48" s="62">
        <v>7340841</v>
      </c>
      <c r="N48" s="73"/>
      <c r="O48" s="73"/>
    </row>
    <row r="49" spans="2:15" x14ac:dyDescent="0.25">
      <c r="B49" s="73"/>
      <c r="C49" s="63" t="s">
        <v>63</v>
      </c>
      <c r="D49" s="58"/>
      <c r="E49" s="64">
        <v>0.05</v>
      </c>
      <c r="F49" s="60"/>
      <c r="G49" s="61">
        <v>47978103</v>
      </c>
      <c r="H49" s="55"/>
      <c r="I49" s="62">
        <v>23617262</v>
      </c>
      <c r="J49" s="55"/>
      <c r="K49" s="62">
        <v>12126106</v>
      </c>
      <c r="L49" s="55"/>
      <c r="M49" s="62">
        <v>12234735</v>
      </c>
      <c r="N49" s="73"/>
      <c r="O49" s="73"/>
    </row>
    <row r="50" spans="2:15" x14ac:dyDescent="0.25">
      <c r="B50" s="73"/>
      <c r="C50" s="65" t="s">
        <v>64</v>
      </c>
      <c r="D50" s="66"/>
      <c r="E50" s="67">
        <v>0.19</v>
      </c>
      <c r="F50" s="68"/>
      <c r="G50" s="69">
        <v>9115840</v>
      </c>
      <c r="H50" s="55"/>
      <c r="I50" s="70">
        <v>4487280</v>
      </c>
      <c r="J50" s="55"/>
      <c r="K50" s="70">
        <v>2303960</v>
      </c>
      <c r="L50" s="55"/>
      <c r="M50" s="70">
        <v>2324600</v>
      </c>
      <c r="N50" s="73"/>
      <c r="O50" s="73"/>
    </row>
    <row r="51" spans="2:15" x14ac:dyDescent="0.25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2:15" x14ac:dyDescent="0.25">
      <c r="B52" s="73"/>
      <c r="C52" s="73"/>
      <c r="D52" s="73"/>
      <c r="E52" s="73"/>
      <c r="F52" s="74"/>
      <c r="G52" s="75">
        <v>1211159236.9091275</v>
      </c>
      <c r="H52" s="76"/>
      <c r="I52" s="77">
        <v>596194157.02999997</v>
      </c>
      <c r="J52" s="76"/>
      <c r="K52" s="78">
        <v>306111424.5</v>
      </c>
      <c r="L52" s="76"/>
      <c r="M52" s="79">
        <v>308853655.37912738</v>
      </c>
      <c r="N52" s="73"/>
      <c r="O52" s="73"/>
    </row>
    <row r="53" spans="2:15" x14ac:dyDescent="0.25">
      <c r="B53" s="73"/>
      <c r="C53" s="73"/>
      <c r="D53" s="73"/>
      <c r="E53" s="73"/>
      <c r="F53" s="73"/>
      <c r="G53" s="73"/>
      <c r="H53" s="80" t="s">
        <v>107</v>
      </c>
      <c r="I53" s="119">
        <v>1548</v>
      </c>
      <c r="J53" s="73"/>
      <c r="K53" s="119">
        <v>2017</v>
      </c>
      <c r="L53" s="73"/>
      <c r="M53" s="119">
        <v>1</v>
      </c>
      <c r="N53" s="73"/>
      <c r="O53" s="73"/>
    </row>
    <row r="54" spans="2:15" x14ac:dyDescent="0.25">
      <c r="B54" s="73"/>
      <c r="C54" s="73"/>
      <c r="D54" s="73"/>
      <c r="E54" s="73"/>
      <c r="F54" s="73"/>
      <c r="G54" s="73"/>
      <c r="H54" s="80" t="s">
        <v>65</v>
      </c>
      <c r="I54" s="81">
        <v>385138.344334625</v>
      </c>
      <c r="J54" s="73"/>
      <c r="K54" s="81">
        <v>151765.70376797224</v>
      </c>
      <c r="L54" s="73"/>
      <c r="M54" s="81">
        <v>308853655.37912738</v>
      </c>
      <c r="N54" s="73"/>
      <c r="O54" s="73"/>
    </row>
  </sheetData>
  <protectedRanges>
    <protectedRange sqref="E47:E49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1:M31"/>
  <sheetViews>
    <sheetView view="pageBreakPreview" topLeftCell="C1" zoomScaleNormal="100" zoomScaleSheetLayoutView="100" workbookViewId="0">
      <selection activeCell="G3" sqref="G3"/>
    </sheetView>
  </sheetViews>
  <sheetFormatPr baseColWidth="10" defaultRowHeight="15" x14ac:dyDescent="0.25"/>
  <cols>
    <col min="1" max="1" width="2.7109375" customWidth="1"/>
    <col min="2" max="2" width="9.28515625" customWidth="1"/>
    <col min="3" max="3" width="30.28515625" customWidth="1"/>
    <col min="6" max="6" width="17.28515625" customWidth="1"/>
    <col min="7" max="7" width="20.140625" customWidth="1"/>
    <col min="8" max="8" width="2.5703125" customWidth="1"/>
    <col min="9" max="9" width="3.7109375" customWidth="1"/>
    <col min="10" max="10" width="19.28515625" customWidth="1"/>
    <col min="11" max="11" width="4.85546875" customWidth="1"/>
    <col min="12" max="12" width="24.5703125" customWidth="1"/>
    <col min="13" max="13" width="20.7109375" customWidth="1"/>
  </cols>
  <sheetData>
    <row r="1" spans="2:8" ht="19.5" customHeight="1" x14ac:dyDescent="0.25">
      <c r="B1" s="324" t="s">
        <v>66</v>
      </c>
      <c r="C1" s="324"/>
      <c r="D1" s="324"/>
      <c r="E1" s="324"/>
      <c r="F1" s="324"/>
      <c r="G1" s="324"/>
    </row>
    <row r="2" spans="2:8" ht="29.25" customHeight="1" x14ac:dyDescent="0.25">
      <c r="B2" s="324"/>
      <c r="C2" s="324"/>
      <c r="D2" s="324"/>
      <c r="E2" s="324"/>
      <c r="F2" s="324"/>
      <c r="G2" s="324"/>
    </row>
    <row r="3" spans="2:8" ht="38.25" x14ac:dyDescent="0.25">
      <c r="B3" s="82" t="s">
        <v>1</v>
      </c>
      <c r="C3" s="83" t="s">
        <v>67</v>
      </c>
      <c r="D3" s="83" t="s">
        <v>68</v>
      </c>
      <c r="E3" s="83" t="s">
        <v>4</v>
      </c>
      <c r="F3" s="83"/>
      <c r="G3" s="83" t="s">
        <v>6</v>
      </c>
    </row>
    <row r="4" spans="2:8" x14ac:dyDescent="0.25">
      <c r="B4" s="84" t="s">
        <v>69</v>
      </c>
      <c r="C4" s="325" t="s">
        <v>70</v>
      </c>
      <c r="D4" s="325"/>
      <c r="E4" s="325"/>
      <c r="F4" s="325"/>
      <c r="G4" s="85"/>
    </row>
    <row r="5" spans="2:8" ht="38.25" x14ac:dyDescent="0.25">
      <c r="B5" s="86">
        <v>1</v>
      </c>
      <c r="C5" s="87" t="s">
        <v>71</v>
      </c>
      <c r="D5" s="88" t="s">
        <v>38</v>
      </c>
      <c r="E5" s="89">
        <v>1</v>
      </c>
      <c r="F5" s="90"/>
      <c r="G5" s="91">
        <v>39955380</v>
      </c>
    </row>
    <row r="7" spans="2:8" x14ac:dyDescent="0.25">
      <c r="B7" s="324" t="s">
        <v>72</v>
      </c>
      <c r="C7" s="324"/>
      <c r="D7" s="324"/>
      <c r="E7" s="324"/>
      <c r="F7" s="324"/>
      <c r="G7" s="324"/>
      <c r="H7" s="92"/>
    </row>
    <row r="8" spans="2:8" ht="28.5" customHeight="1" x14ac:dyDescent="0.25">
      <c r="B8" s="324"/>
      <c r="C8" s="324"/>
      <c r="D8" s="324"/>
      <c r="E8" s="324"/>
      <c r="F8" s="324"/>
      <c r="G8" s="324"/>
      <c r="H8" s="92"/>
    </row>
    <row r="9" spans="2:8" ht="25.5" x14ac:dyDescent="0.25">
      <c r="B9" s="93" t="s">
        <v>1</v>
      </c>
      <c r="C9" s="93" t="s">
        <v>2</v>
      </c>
      <c r="D9" s="93" t="s">
        <v>3</v>
      </c>
      <c r="E9" s="93" t="s">
        <v>4</v>
      </c>
      <c r="F9" s="93" t="s">
        <v>73</v>
      </c>
      <c r="G9" s="93" t="s">
        <v>74</v>
      </c>
      <c r="H9" s="92"/>
    </row>
    <row r="10" spans="2:8" x14ac:dyDescent="0.25">
      <c r="B10" s="84" t="s">
        <v>69</v>
      </c>
      <c r="C10" s="325" t="s">
        <v>75</v>
      </c>
      <c r="D10" s="325"/>
      <c r="E10" s="325"/>
      <c r="F10" s="325"/>
      <c r="G10" s="85">
        <f>SUM(G11:G13)</f>
        <v>959562063.90912735</v>
      </c>
      <c r="H10" s="92"/>
    </row>
    <row r="11" spans="2:8" ht="38.25" x14ac:dyDescent="0.25">
      <c r="B11" s="94">
        <v>1</v>
      </c>
      <c r="C11" s="95" t="s">
        <v>76</v>
      </c>
      <c r="D11" s="94" t="s">
        <v>77</v>
      </c>
      <c r="E11" s="96">
        <v>2017</v>
      </c>
      <c r="F11" s="97">
        <f>'Hoja1 luz'!K45/'Hoja1 luz'!K53</f>
        <v>120239.02999504215</v>
      </c>
      <c r="G11" s="98">
        <f>E11*F11</f>
        <v>242522123.5</v>
      </c>
      <c r="H11" s="92"/>
    </row>
    <row r="12" spans="2:8" ht="51.75" customHeight="1" x14ac:dyDescent="0.25">
      <c r="B12" s="94">
        <v>2</v>
      </c>
      <c r="C12" s="95" t="s">
        <v>78</v>
      </c>
      <c r="D12" s="94" t="s">
        <v>77</v>
      </c>
      <c r="E12" s="96">
        <v>1548</v>
      </c>
      <c r="F12" s="97">
        <f>'Hoja1 luz'!I45/'Hoja1 luz'!I53</f>
        <v>305132.58141472866</v>
      </c>
      <c r="G12" s="98">
        <f t="shared" ref="G12:G13" si="0">E12*F12</f>
        <v>472345236.02999997</v>
      </c>
      <c r="H12" s="92"/>
    </row>
    <row r="13" spans="2:8" ht="44.25" customHeight="1" x14ac:dyDescent="0.25">
      <c r="B13" s="94">
        <v>3</v>
      </c>
      <c r="C13" s="95" t="s">
        <v>79</v>
      </c>
      <c r="D13" s="94" t="s">
        <v>38</v>
      </c>
      <c r="E13" s="96">
        <v>1</v>
      </c>
      <c r="F13" s="97">
        <f>'Hoja1 luz'!M45</f>
        <v>244694704.37912741</v>
      </c>
      <c r="G13" s="98">
        <f t="shared" si="0"/>
        <v>244694704.37912741</v>
      </c>
      <c r="H13" s="92"/>
    </row>
    <row r="14" spans="2:8" x14ac:dyDescent="0.25">
      <c r="B14" s="94"/>
      <c r="C14" s="95"/>
      <c r="D14" s="94"/>
      <c r="E14" s="96"/>
      <c r="F14" s="97"/>
      <c r="G14" s="98"/>
      <c r="H14" s="92"/>
    </row>
    <row r="15" spans="2:8" x14ac:dyDescent="0.25">
      <c r="B15" s="84" t="s">
        <v>80</v>
      </c>
      <c r="C15" s="325" t="s">
        <v>81</v>
      </c>
      <c r="D15" s="325"/>
      <c r="E15" s="325"/>
      <c r="F15" s="325"/>
      <c r="G15" s="99">
        <f>SUM(G16:G19)</f>
        <v>351618170.10566616</v>
      </c>
      <c r="H15" s="92"/>
    </row>
    <row r="16" spans="2:8" x14ac:dyDescent="0.25">
      <c r="B16" s="94"/>
      <c r="C16" s="100" t="s">
        <v>82</v>
      </c>
      <c r="D16" s="101">
        <v>0.27693608926474311</v>
      </c>
      <c r="E16" s="317"/>
      <c r="F16" s="317"/>
      <c r="G16" s="102">
        <f>$G$10*D16</f>
        <v>265737365.38579923</v>
      </c>
      <c r="H16" s="92"/>
    </row>
    <row r="17" spans="2:13" x14ac:dyDescent="0.25">
      <c r="B17" s="94"/>
      <c r="C17" s="100" t="s">
        <v>83</v>
      </c>
      <c r="D17" s="103">
        <v>0.03</v>
      </c>
      <c r="E17" s="317"/>
      <c r="F17" s="317"/>
      <c r="G17" s="102">
        <f>$G$10*D17</f>
        <v>28786861.917273819</v>
      </c>
      <c r="H17" s="92"/>
    </row>
    <row r="18" spans="2:13" x14ac:dyDescent="0.25">
      <c r="B18" s="94"/>
      <c r="C18" s="100" t="s">
        <v>84</v>
      </c>
      <c r="D18" s="103">
        <v>0.05</v>
      </c>
      <c r="E18" s="317"/>
      <c r="F18" s="317"/>
      <c r="G18" s="102">
        <f>$G$10*D18</f>
        <v>47978103.195456371</v>
      </c>
      <c r="H18" s="92"/>
    </row>
    <row r="19" spans="2:13" x14ac:dyDescent="0.25">
      <c r="B19" s="94"/>
      <c r="C19" s="100" t="s">
        <v>85</v>
      </c>
      <c r="D19" s="103">
        <v>0.19</v>
      </c>
      <c r="E19" s="317"/>
      <c r="F19" s="317"/>
      <c r="G19" s="102">
        <f>G18*D19</f>
        <v>9115839.6071367096</v>
      </c>
      <c r="H19" s="92"/>
    </row>
    <row r="20" spans="2:13" x14ac:dyDescent="0.25">
      <c r="B20" s="318" t="s">
        <v>86</v>
      </c>
      <c r="C20" s="318"/>
      <c r="D20" s="318"/>
      <c r="E20" s="318"/>
      <c r="F20" s="318"/>
      <c r="G20" s="104">
        <f>G10+G15</f>
        <v>1311180234.0147934</v>
      </c>
      <c r="H20" s="92"/>
    </row>
    <row r="22" spans="2:13" ht="32.25" customHeight="1" x14ac:dyDescent="0.25">
      <c r="B22" s="312" t="s">
        <v>87</v>
      </c>
      <c r="C22" s="312"/>
      <c r="D22" s="105" t="s">
        <v>88</v>
      </c>
      <c r="E22" s="312" t="s">
        <v>89</v>
      </c>
      <c r="F22" s="312"/>
      <c r="G22" s="105" t="s">
        <v>90</v>
      </c>
      <c r="J22" s="105" t="s">
        <v>91</v>
      </c>
      <c r="L22" s="106" t="s">
        <v>92</v>
      </c>
      <c r="M22" s="106" t="s">
        <v>93</v>
      </c>
    </row>
    <row r="23" spans="2:13" ht="50.25" customHeight="1" x14ac:dyDescent="0.25">
      <c r="B23" s="319" t="s">
        <v>94</v>
      </c>
      <c r="C23" s="320"/>
      <c r="D23" s="107">
        <v>1</v>
      </c>
      <c r="E23" s="323" t="s">
        <v>95</v>
      </c>
      <c r="F23" s="323"/>
      <c r="G23" s="108">
        <f>G5</f>
        <v>39955380</v>
      </c>
      <c r="J23" s="109">
        <v>35818410</v>
      </c>
      <c r="L23" s="37">
        <v>893893675.20000005</v>
      </c>
      <c r="M23" s="37">
        <v>0</v>
      </c>
    </row>
    <row r="24" spans="2:13" ht="45.75" customHeight="1" x14ac:dyDescent="0.25">
      <c r="B24" s="321"/>
      <c r="C24" s="322"/>
      <c r="D24" s="107">
        <v>2</v>
      </c>
      <c r="E24" s="323" t="s">
        <v>96</v>
      </c>
      <c r="F24" s="323"/>
      <c r="G24" s="110">
        <v>1311180234</v>
      </c>
      <c r="J24" s="109">
        <v>177984850</v>
      </c>
      <c r="L24" s="37">
        <f>865245621-240226876</f>
        <v>625018745</v>
      </c>
      <c r="M24" s="37">
        <v>234694428</v>
      </c>
    </row>
    <row r="25" spans="2:13" ht="24.75" customHeight="1" x14ac:dyDescent="0.25">
      <c r="B25" s="312" t="s">
        <v>97</v>
      </c>
      <c r="C25" s="312"/>
      <c r="D25" s="105">
        <v>3</v>
      </c>
      <c r="E25" s="312" t="s">
        <v>98</v>
      </c>
      <c r="F25" s="312"/>
      <c r="G25" s="111">
        <f>SUM(G23:G24)</f>
        <v>1351135614</v>
      </c>
      <c r="J25" s="112">
        <f>SUM(J23:J24)</f>
        <v>213803260</v>
      </c>
      <c r="L25" s="73"/>
      <c r="M25" s="73"/>
    </row>
    <row r="26" spans="2:13" x14ac:dyDescent="0.25">
      <c r="J26" s="113">
        <f>J25/G25</f>
        <v>0.15823967467413674</v>
      </c>
      <c r="K26" s="114"/>
      <c r="L26" s="37">
        <f>SUM(L23:L25)</f>
        <v>1518912420.2</v>
      </c>
      <c r="M26" s="37">
        <f>SUM(M23:M25)</f>
        <v>234694428</v>
      </c>
    </row>
    <row r="27" spans="2:13" ht="25.5" x14ac:dyDescent="0.25">
      <c r="B27" s="312" t="s">
        <v>89</v>
      </c>
      <c r="C27" s="312"/>
      <c r="D27" s="312" t="s">
        <v>99</v>
      </c>
      <c r="E27" s="312"/>
      <c r="F27" s="312" t="s">
        <v>100</v>
      </c>
      <c r="G27" s="312"/>
      <c r="J27" s="105" t="s">
        <v>101</v>
      </c>
    </row>
    <row r="28" spans="2:13" ht="32.25" customHeight="1" x14ac:dyDescent="0.25">
      <c r="B28" s="314" t="s">
        <v>102</v>
      </c>
      <c r="C28" s="314"/>
      <c r="D28" s="315">
        <f>ROUND(G23*0.9,0)</f>
        <v>35959842</v>
      </c>
      <c r="E28" s="315"/>
      <c r="F28" s="316" t="s">
        <v>103</v>
      </c>
      <c r="G28" s="316"/>
      <c r="J28" s="109">
        <f>G25+J25</f>
        <v>1564938874</v>
      </c>
      <c r="L28" s="115">
        <f>L26-J28</f>
        <v>-46026453.799999952</v>
      </c>
    </row>
    <row r="29" spans="2:13" ht="32.25" customHeight="1" x14ac:dyDescent="0.25">
      <c r="B29" s="314" t="s">
        <v>104</v>
      </c>
      <c r="C29" s="314"/>
      <c r="D29" s="315">
        <f>ROUND(G24*0.9,0)</f>
        <v>1180062211</v>
      </c>
      <c r="E29" s="315"/>
      <c r="F29" s="316" t="s">
        <v>108</v>
      </c>
      <c r="G29" s="316"/>
    </row>
    <row r="30" spans="2:13" x14ac:dyDescent="0.25">
      <c r="B30" s="312" t="s">
        <v>105</v>
      </c>
      <c r="C30" s="312"/>
      <c r="D30" s="313">
        <f>SUM(D28:E29)</f>
        <v>1216022053</v>
      </c>
      <c r="E30" s="313"/>
      <c r="F30" s="312" t="s">
        <v>109</v>
      </c>
      <c r="G30" s="312"/>
    </row>
    <row r="31" spans="2:13" x14ac:dyDescent="0.25">
      <c r="B31" s="312" t="s">
        <v>106</v>
      </c>
      <c r="C31" s="312"/>
      <c r="D31" s="313"/>
      <c r="E31" s="313"/>
      <c r="F31" s="312"/>
      <c r="G31" s="312"/>
    </row>
  </sheetData>
  <mergeCells count="30">
    <mergeCell ref="E16:F16"/>
    <mergeCell ref="B1:G2"/>
    <mergeCell ref="C4:F4"/>
    <mergeCell ref="B7:G8"/>
    <mergeCell ref="C10:F10"/>
    <mergeCell ref="C15:F15"/>
    <mergeCell ref="B27:C27"/>
    <mergeCell ref="D27:E27"/>
    <mergeCell ref="F27:G27"/>
    <mergeCell ref="E17:F17"/>
    <mergeCell ref="E18:F18"/>
    <mergeCell ref="E19:F19"/>
    <mergeCell ref="B20:F20"/>
    <mergeCell ref="B22:C22"/>
    <mergeCell ref="E22:F22"/>
    <mergeCell ref="B23:C24"/>
    <mergeCell ref="E23:F23"/>
    <mergeCell ref="E24:F24"/>
    <mergeCell ref="B25:C25"/>
    <mergeCell ref="E25:F25"/>
    <mergeCell ref="B30:C30"/>
    <mergeCell ref="D30:E31"/>
    <mergeCell ref="F30:G31"/>
    <mergeCell ref="B31:C31"/>
    <mergeCell ref="B28:C28"/>
    <mergeCell ref="D28:E28"/>
    <mergeCell ref="F28:G28"/>
    <mergeCell ref="B29:C29"/>
    <mergeCell ref="D29:E29"/>
    <mergeCell ref="F29:G29"/>
  </mergeCells>
  <pageMargins left="0.7" right="0.7" top="0.75" bottom="0.75" header="0.3" footer="0.3"/>
  <pageSetup scale="88" orientation="portrait" r:id="rId1"/>
  <colBreaks count="1" manualBreakCount="1">
    <brk id="7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2:M269"/>
  <sheetViews>
    <sheetView tabSelected="1" view="pageBreakPreview" zoomScale="85" zoomScaleNormal="85" zoomScaleSheetLayoutView="85" workbookViewId="0">
      <selection activeCell="B248" sqref="B248:G248"/>
    </sheetView>
  </sheetViews>
  <sheetFormatPr baseColWidth="10" defaultColWidth="11.42578125" defaultRowHeight="12.75" x14ac:dyDescent="0.25"/>
  <cols>
    <col min="1" max="1" width="5.42578125" style="196" customWidth="1"/>
    <col min="2" max="2" width="10.140625" style="196" customWidth="1"/>
    <col min="3" max="3" width="34.140625" style="196" customWidth="1"/>
    <col min="4" max="4" width="8.7109375" style="196" customWidth="1"/>
    <col min="5" max="5" width="11.140625" style="196" customWidth="1"/>
    <col min="6" max="6" width="13.7109375" style="196" customWidth="1"/>
    <col min="7" max="7" width="18.5703125" style="196" customWidth="1"/>
    <col min="8" max="8" width="17.42578125" style="195" customWidth="1"/>
    <col min="9" max="9" width="13.42578125" style="196" customWidth="1"/>
    <col min="10" max="10" width="11.85546875" style="196" customWidth="1"/>
    <col min="11" max="11" width="11.42578125" style="196" customWidth="1"/>
    <col min="12" max="12" width="13.28515625" style="196" customWidth="1"/>
    <col min="13" max="13" width="10.42578125" style="196" customWidth="1"/>
    <col min="14" max="14" width="8.42578125" style="196" customWidth="1"/>
    <col min="15" max="15" width="15.5703125" style="196" customWidth="1"/>
    <col min="16" max="16" width="20.7109375" style="196" customWidth="1"/>
    <col min="17" max="17" width="23" style="196" customWidth="1"/>
    <col min="18" max="16384" width="11.42578125" style="196"/>
  </cols>
  <sheetData>
    <row r="2" spans="2:7" x14ac:dyDescent="0.25">
      <c r="B2" s="329" t="s">
        <v>246</v>
      </c>
      <c r="C2" s="329"/>
      <c r="D2" s="329"/>
      <c r="E2" s="329"/>
      <c r="F2" s="329"/>
      <c r="G2" s="329"/>
    </row>
    <row r="3" spans="2:7" ht="39.75" customHeight="1" x14ac:dyDescent="0.25">
      <c r="B3" s="329"/>
      <c r="C3" s="329"/>
      <c r="D3" s="329"/>
      <c r="E3" s="329"/>
      <c r="F3" s="329"/>
      <c r="G3" s="329"/>
    </row>
    <row r="4" spans="2:7" s="195" customFormat="1" ht="9.75" customHeight="1" x14ac:dyDescent="0.25">
      <c r="B4" s="228"/>
      <c r="C4" s="229"/>
      <c r="D4" s="229"/>
      <c r="E4" s="229"/>
      <c r="F4" s="229"/>
      <c r="G4" s="230"/>
    </row>
    <row r="5" spans="2:7" s="195" customFormat="1" ht="32.25" customHeight="1" x14ac:dyDescent="0.25">
      <c r="B5" s="345" t="s">
        <v>246</v>
      </c>
      <c r="C5" s="346"/>
      <c r="D5" s="346"/>
      <c r="E5" s="346"/>
      <c r="F5" s="346"/>
      <c r="G5" s="347"/>
    </row>
    <row r="6" spans="2:7" x14ac:dyDescent="0.25">
      <c r="B6" s="330" t="s">
        <v>241</v>
      </c>
      <c r="C6" s="331"/>
      <c r="D6" s="331"/>
      <c r="E6" s="331"/>
      <c r="F6" s="331"/>
      <c r="G6" s="332"/>
    </row>
    <row r="7" spans="2:7" x14ac:dyDescent="0.25">
      <c r="B7" s="333"/>
      <c r="C7" s="334"/>
      <c r="D7" s="334"/>
      <c r="E7" s="334"/>
      <c r="F7" s="334"/>
      <c r="G7" s="335"/>
    </row>
    <row r="8" spans="2:7" ht="13.5" x14ac:dyDescent="0.25">
      <c r="B8" s="336" t="s">
        <v>2</v>
      </c>
      <c r="C8" s="337"/>
      <c r="D8" s="337"/>
      <c r="E8" s="337"/>
      <c r="F8" s="338"/>
      <c r="G8" s="197" t="s">
        <v>74</v>
      </c>
    </row>
    <row r="9" spans="2:7" ht="13.5" x14ac:dyDescent="0.25">
      <c r="B9" s="339" t="s">
        <v>242</v>
      </c>
      <c r="C9" s="340"/>
      <c r="D9" s="340"/>
      <c r="E9" s="340"/>
      <c r="F9" s="341"/>
      <c r="G9" s="199"/>
    </row>
    <row r="10" spans="2:7" ht="13.5" x14ac:dyDescent="0.25">
      <c r="B10" s="342" t="s">
        <v>233</v>
      </c>
      <c r="C10" s="343"/>
      <c r="D10" s="343"/>
      <c r="E10" s="343"/>
      <c r="F10" s="344"/>
      <c r="G10" s="199"/>
    </row>
    <row r="11" spans="2:7" ht="36.75" customHeight="1" x14ac:dyDescent="0.25">
      <c r="B11" s="198" t="s">
        <v>69</v>
      </c>
      <c r="C11" s="353" t="s">
        <v>243</v>
      </c>
      <c r="D11" s="354"/>
      <c r="E11" s="354"/>
      <c r="F11" s="355"/>
      <c r="G11" s="226"/>
    </row>
    <row r="12" spans="2:7" x14ac:dyDescent="0.25">
      <c r="B12" s="356" t="s">
        <v>240</v>
      </c>
      <c r="C12" s="356"/>
      <c r="D12" s="356"/>
      <c r="E12" s="356"/>
      <c r="F12" s="356"/>
      <c r="G12" s="356"/>
    </row>
    <row r="13" spans="2:7" x14ac:dyDescent="0.25">
      <c r="B13" s="356"/>
      <c r="C13" s="356"/>
      <c r="D13" s="356"/>
      <c r="E13" s="356"/>
      <c r="F13" s="356"/>
      <c r="G13" s="356"/>
    </row>
    <row r="14" spans="2:7" ht="27.75" thickBot="1" x14ac:dyDescent="0.3">
      <c r="B14" s="227" t="s">
        <v>1</v>
      </c>
      <c r="C14" s="227" t="s">
        <v>2</v>
      </c>
      <c r="D14" s="227" t="s">
        <v>3</v>
      </c>
      <c r="E14" s="227" t="s">
        <v>4</v>
      </c>
      <c r="F14" s="227" t="s">
        <v>73</v>
      </c>
      <c r="G14" s="227" t="s">
        <v>74</v>
      </c>
    </row>
    <row r="15" spans="2:7" ht="30" customHeight="1" thickBot="1" x14ac:dyDescent="0.3">
      <c r="B15" s="231">
        <v>1</v>
      </c>
      <c r="C15" s="231" t="s">
        <v>244</v>
      </c>
      <c r="D15" s="231"/>
      <c r="E15" s="232"/>
      <c r="F15" s="233"/>
      <c r="G15" s="233"/>
    </row>
    <row r="16" spans="2:7" ht="30" customHeight="1" x14ac:dyDescent="0.25">
      <c r="B16" s="240">
        <v>1.1000000000000001</v>
      </c>
      <c r="C16" s="241" t="s">
        <v>247</v>
      </c>
      <c r="D16" s="242"/>
      <c r="E16" s="243"/>
      <c r="F16" s="234"/>
      <c r="G16" s="236"/>
    </row>
    <row r="17" spans="2:7" ht="30" customHeight="1" x14ac:dyDescent="0.25">
      <c r="B17" s="242" t="s">
        <v>248</v>
      </c>
      <c r="C17" s="244" t="s">
        <v>249</v>
      </c>
      <c r="D17" s="242" t="s">
        <v>13</v>
      </c>
      <c r="E17" s="243">
        <v>645</v>
      </c>
      <c r="F17" s="235"/>
      <c r="G17" s="237"/>
    </row>
    <row r="18" spans="2:7" ht="30" customHeight="1" x14ac:dyDescent="0.25">
      <c r="B18" s="240">
        <v>1.2</v>
      </c>
      <c r="C18" s="241" t="s">
        <v>250</v>
      </c>
      <c r="D18" s="242"/>
      <c r="E18" s="243"/>
      <c r="F18" s="234"/>
      <c r="G18" s="237"/>
    </row>
    <row r="19" spans="2:7" ht="30" customHeight="1" x14ac:dyDescent="0.25">
      <c r="B19" s="245" t="s">
        <v>251</v>
      </c>
      <c r="C19" s="244" t="s">
        <v>252</v>
      </c>
      <c r="D19" s="242" t="s">
        <v>13</v>
      </c>
      <c r="E19" s="243">
        <v>32</v>
      </c>
      <c r="F19" s="235"/>
      <c r="G19" s="237"/>
    </row>
    <row r="20" spans="2:7" ht="30" customHeight="1" x14ac:dyDescent="0.25">
      <c r="B20" s="245" t="s">
        <v>253</v>
      </c>
      <c r="C20" s="244" t="s">
        <v>254</v>
      </c>
      <c r="D20" s="242" t="s">
        <v>13</v>
      </c>
      <c r="E20" s="243">
        <v>32</v>
      </c>
      <c r="F20" s="235"/>
      <c r="G20" s="237"/>
    </row>
    <row r="21" spans="2:7" ht="30" customHeight="1" x14ac:dyDescent="0.25">
      <c r="B21" s="245" t="s">
        <v>255</v>
      </c>
      <c r="C21" s="244" t="s">
        <v>256</v>
      </c>
      <c r="D21" s="242" t="s">
        <v>13</v>
      </c>
      <c r="E21" s="243">
        <v>43</v>
      </c>
      <c r="F21" s="235"/>
      <c r="G21" s="237"/>
    </row>
    <row r="22" spans="2:7" ht="30" customHeight="1" x14ac:dyDescent="0.25">
      <c r="B22" s="245" t="s">
        <v>257</v>
      </c>
      <c r="C22" s="244" t="s">
        <v>258</v>
      </c>
      <c r="D22" s="242" t="s">
        <v>13</v>
      </c>
      <c r="E22" s="243">
        <v>29</v>
      </c>
      <c r="F22" s="235"/>
      <c r="G22" s="237"/>
    </row>
    <row r="23" spans="2:7" ht="30" customHeight="1" x14ac:dyDescent="0.25">
      <c r="B23" s="245" t="s">
        <v>259</v>
      </c>
      <c r="C23" s="244" t="s">
        <v>260</v>
      </c>
      <c r="D23" s="242" t="s">
        <v>13</v>
      </c>
      <c r="E23" s="243">
        <v>58</v>
      </c>
      <c r="F23" s="235"/>
      <c r="G23" s="237"/>
    </row>
    <row r="24" spans="2:7" ht="30" customHeight="1" x14ac:dyDescent="0.25">
      <c r="B24" s="246">
        <v>1.3</v>
      </c>
      <c r="C24" s="247" t="s">
        <v>261</v>
      </c>
      <c r="D24" s="242"/>
      <c r="E24" s="243"/>
      <c r="F24" s="238"/>
      <c r="G24" s="237"/>
    </row>
    <row r="25" spans="2:7" ht="58.5" customHeight="1" x14ac:dyDescent="0.25">
      <c r="B25" s="245" t="s">
        <v>262</v>
      </c>
      <c r="C25" s="244" t="s">
        <v>263</v>
      </c>
      <c r="D25" s="242" t="s">
        <v>13</v>
      </c>
      <c r="E25" s="243">
        <v>1.2</v>
      </c>
      <c r="F25" s="235"/>
      <c r="G25" s="237"/>
    </row>
    <row r="26" spans="2:7" ht="30" customHeight="1" x14ac:dyDescent="0.25">
      <c r="B26" s="245" t="s">
        <v>264</v>
      </c>
      <c r="C26" s="244" t="s">
        <v>265</v>
      </c>
      <c r="D26" s="242" t="s">
        <v>29</v>
      </c>
      <c r="E26" s="243">
        <v>1.3</v>
      </c>
      <c r="F26" s="235"/>
      <c r="G26" s="237"/>
    </row>
    <row r="27" spans="2:7" ht="30" customHeight="1" x14ac:dyDescent="0.25">
      <c r="B27" s="245" t="s">
        <v>266</v>
      </c>
      <c r="C27" s="244" t="s">
        <v>267</v>
      </c>
      <c r="D27" s="242" t="s">
        <v>278</v>
      </c>
      <c r="E27" s="243">
        <v>0.3</v>
      </c>
      <c r="F27" s="235"/>
      <c r="G27" s="237"/>
    </row>
    <row r="28" spans="2:7" ht="61.5" customHeight="1" x14ac:dyDescent="0.25">
      <c r="B28" s="245" t="s">
        <v>268</v>
      </c>
      <c r="C28" s="244" t="s">
        <v>269</v>
      </c>
      <c r="D28" s="242" t="s">
        <v>13</v>
      </c>
      <c r="E28" s="243">
        <v>645</v>
      </c>
      <c r="F28" s="235"/>
      <c r="G28" s="237"/>
    </row>
    <row r="29" spans="2:7" ht="50.25" customHeight="1" x14ac:dyDescent="0.25">
      <c r="B29" s="245" t="s">
        <v>270</v>
      </c>
      <c r="C29" s="244" t="s">
        <v>271</v>
      </c>
      <c r="D29" s="242" t="s">
        <v>29</v>
      </c>
      <c r="E29" s="243">
        <v>25.8</v>
      </c>
      <c r="F29" s="235"/>
      <c r="G29" s="237"/>
    </row>
    <row r="30" spans="2:7" ht="54" customHeight="1" x14ac:dyDescent="0.25">
      <c r="B30" s="245" t="s">
        <v>272</v>
      </c>
      <c r="C30" s="244" t="s">
        <v>273</v>
      </c>
      <c r="D30" s="242" t="s">
        <v>13</v>
      </c>
      <c r="E30" s="243">
        <v>44</v>
      </c>
      <c r="F30" s="235"/>
      <c r="G30" s="237"/>
    </row>
    <row r="31" spans="2:7" ht="58.5" customHeight="1" x14ac:dyDescent="0.25">
      <c r="B31" s="245" t="s">
        <v>274</v>
      </c>
      <c r="C31" s="244" t="s">
        <v>275</v>
      </c>
      <c r="D31" s="242" t="s">
        <v>29</v>
      </c>
      <c r="E31" s="243">
        <v>2.6</v>
      </c>
      <c r="F31" s="235"/>
      <c r="G31" s="237"/>
    </row>
    <row r="32" spans="2:7" ht="54" customHeight="1" thickBot="1" x14ac:dyDescent="0.3">
      <c r="B32" s="256" t="s">
        <v>276</v>
      </c>
      <c r="C32" s="254" t="s">
        <v>277</v>
      </c>
      <c r="D32" s="257" t="s">
        <v>29</v>
      </c>
      <c r="E32" s="258">
        <v>0.6</v>
      </c>
      <c r="F32" s="259"/>
      <c r="G32" s="260"/>
    </row>
    <row r="33" spans="2:7" ht="30" customHeight="1" thickBot="1" x14ac:dyDescent="0.3">
      <c r="B33" s="266">
        <v>2</v>
      </c>
      <c r="C33" s="231" t="s">
        <v>279</v>
      </c>
      <c r="D33" s="231"/>
      <c r="E33" s="232"/>
      <c r="F33" s="233"/>
      <c r="G33" s="267"/>
    </row>
    <row r="34" spans="2:7" ht="30" customHeight="1" x14ac:dyDescent="0.25">
      <c r="B34" s="261">
        <v>2.1</v>
      </c>
      <c r="C34" s="255" t="s">
        <v>280</v>
      </c>
      <c r="D34" s="262"/>
      <c r="E34" s="263"/>
      <c r="F34" s="264"/>
      <c r="G34" s="265"/>
    </row>
    <row r="35" spans="2:7" ht="30" customHeight="1" x14ac:dyDescent="0.25">
      <c r="B35" s="245" t="s">
        <v>281</v>
      </c>
      <c r="C35" s="244" t="s">
        <v>282</v>
      </c>
      <c r="D35" s="242" t="s">
        <v>29</v>
      </c>
      <c r="E35" s="243">
        <v>4.3</v>
      </c>
      <c r="F35" s="235"/>
      <c r="G35" s="237"/>
    </row>
    <row r="36" spans="2:7" ht="55.5" customHeight="1" x14ac:dyDescent="0.25">
      <c r="B36" s="245" t="s">
        <v>283</v>
      </c>
      <c r="C36" s="244" t="s">
        <v>284</v>
      </c>
      <c r="D36" s="242" t="s">
        <v>29</v>
      </c>
      <c r="E36" s="243">
        <v>18.8</v>
      </c>
      <c r="F36" s="235"/>
      <c r="G36" s="237"/>
    </row>
    <row r="37" spans="2:7" ht="30" customHeight="1" x14ac:dyDescent="0.25">
      <c r="B37" s="246">
        <v>2.2000000000000002</v>
      </c>
      <c r="C37" s="247" t="s">
        <v>285</v>
      </c>
      <c r="D37" s="246"/>
      <c r="E37" s="252"/>
      <c r="F37" s="239"/>
      <c r="G37" s="236"/>
    </row>
    <row r="38" spans="2:7" ht="30" customHeight="1" x14ac:dyDescent="0.25">
      <c r="B38" s="242" t="s">
        <v>286</v>
      </c>
      <c r="C38" s="244" t="s">
        <v>287</v>
      </c>
      <c r="D38" s="242" t="s">
        <v>29</v>
      </c>
      <c r="E38" s="243">
        <v>4</v>
      </c>
      <c r="F38" s="235"/>
      <c r="G38" s="237"/>
    </row>
    <row r="39" spans="2:7" ht="49.5" customHeight="1" x14ac:dyDescent="0.25">
      <c r="B39" s="248" t="s">
        <v>288</v>
      </c>
      <c r="C39" s="249" t="s">
        <v>289</v>
      </c>
      <c r="D39" s="248" t="s">
        <v>29</v>
      </c>
      <c r="E39" s="253">
        <v>35.800000000000004</v>
      </c>
      <c r="F39" s="250"/>
      <c r="G39" s="251"/>
    </row>
    <row r="40" spans="2:7" ht="54" customHeight="1" thickBot="1" x14ac:dyDescent="0.3">
      <c r="B40" s="242" t="s">
        <v>290</v>
      </c>
      <c r="C40" s="244" t="s">
        <v>291</v>
      </c>
      <c r="D40" s="242" t="s">
        <v>278</v>
      </c>
      <c r="E40" s="243">
        <v>128</v>
      </c>
      <c r="F40" s="235"/>
      <c r="G40" s="237"/>
    </row>
    <row r="41" spans="2:7" ht="30" customHeight="1" thickBot="1" x14ac:dyDescent="0.3">
      <c r="B41" s="268">
        <v>3</v>
      </c>
      <c r="C41" s="269" t="s">
        <v>292</v>
      </c>
      <c r="D41" s="268"/>
      <c r="E41" s="269"/>
      <c r="F41" s="233"/>
      <c r="G41" s="233"/>
    </row>
    <row r="42" spans="2:7" ht="30" customHeight="1" x14ac:dyDescent="0.25">
      <c r="B42" s="240">
        <v>3.1</v>
      </c>
      <c r="C42" s="241" t="s">
        <v>293</v>
      </c>
      <c r="D42" s="240"/>
      <c r="E42" s="241"/>
      <c r="F42" s="234"/>
      <c r="G42" s="236"/>
    </row>
    <row r="43" spans="2:7" ht="30" customHeight="1" x14ac:dyDescent="0.25">
      <c r="B43" s="248" t="s">
        <v>294</v>
      </c>
      <c r="C43" s="249" t="s">
        <v>295</v>
      </c>
      <c r="D43" s="248" t="s">
        <v>245</v>
      </c>
      <c r="E43" s="253">
        <v>9472</v>
      </c>
      <c r="F43" s="250"/>
      <c r="G43" s="251"/>
    </row>
    <row r="44" spans="2:7" ht="87" customHeight="1" thickBot="1" x14ac:dyDescent="0.3">
      <c r="B44" s="248" t="s">
        <v>296</v>
      </c>
      <c r="C44" s="249" t="s">
        <v>297</v>
      </c>
      <c r="D44" s="248" t="s">
        <v>3</v>
      </c>
      <c r="E44" s="253">
        <v>1</v>
      </c>
      <c r="F44" s="250"/>
      <c r="G44" s="251"/>
    </row>
    <row r="45" spans="2:7" ht="51.75" customHeight="1" thickBot="1" x14ac:dyDescent="0.3">
      <c r="B45" s="270">
        <v>4</v>
      </c>
      <c r="C45" s="269" t="s">
        <v>298</v>
      </c>
      <c r="D45" s="268"/>
      <c r="E45" s="269"/>
      <c r="F45" s="233"/>
      <c r="G45" s="267"/>
    </row>
    <row r="46" spans="2:7" ht="51.75" customHeight="1" x14ac:dyDescent="0.25">
      <c r="B46" s="240">
        <v>4.0999999999999996</v>
      </c>
      <c r="C46" s="241" t="s">
        <v>299</v>
      </c>
      <c r="D46" s="240"/>
      <c r="E46" s="241"/>
      <c r="F46" s="234"/>
      <c r="G46" s="236"/>
    </row>
    <row r="47" spans="2:7" ht="121.5" customHeight="1" x14ac:dyDescent="0.25">
      <c r="B47" s="248" t="s">
        <v>300</v>
      </c>
      <c r="C47" s="249" t="s">
        <v>301</v>
      </c>
      <c r="D47" s="248" t="s">
        <v>77</v>
      </c>
      <c r="E47" s="253">
        <v>583</v>
      </c>
      <c r="F47" s="250"/>
      <c r="G47" s="251"/>
    </row>
    <row r="48" spans="2:7" ht="97.5" customHeight="1" thickBot="1" x14ac:dyDescent="0.3">
      <c r="B48" s="242" t="s">
        <v>302</v>
      </c>
      <c r="C48" s="244" t="s">
        <v>303</v>
      </c>
      <c r="D48" s="242" t="s">
        <v>77</v>
      </c>
      <c r="E48" s="243">
        <v>68</v>
      </c>
      <c r="F48" s="235"/>
      <c r="G48" s="237"/>
    </row>
    <row r="49" spans="1:7" ht="24.95" customHeight="1" thickBot="1" x14ac:dyDescent="0.3">
      <c r="A49" s="273"/>
      <c r="B49" s="270">
        <v>5</v>
      </c>
      <c r="C49" s="269" t="s">
        <v>304</v>
      </c>
      <c r="D49" s="269"/>
      <c r="E49" s="271"/>
      <c r="F49" s="271"/>
      <c r="G49" s="267"/>
    </row>
    <row r="50" spans="1:7" ht="24.95" customHeight="1" x14ac:dyDescent="0.25">
      <c r="A50" s="274"/>
      <c r="B50" s="276">
        <v>5.0999999999999996</v>
      </c>
      <c r="C50" s="247" t="s">
        <v>305</v>
      </c>
      <c r="D50" s="247"/>
      <c r="E50" s="245"/>
      <c r="F50" s="243"/>
      <c r="G50" s="237"/>
    </row>
    <row r="51" spans="1:7" ht="24.95" customHeight="1" x14ac:dyDescent="0.25">
      <c r="A51" s="275"/>
      <c r="B51" s="245" t="s">
        <v>306</v>
      </c>
      <c r="C51" s="244" t="s">
        <v>307</v>
      </c>
      <c r="D51" s="242" t="s">
        <v>13</v>
      </c>
      <c r="E51" s="243">
        <v>92</v>
      </c>
      <c r="F51" s="243"/>
      <c r="G51" s="237"/>
    </row>
    <row r="52" spans="1:7" ht="24.95" customHeight="1" x14ac:dyDescent="0.25">
      <c r="A52" s="275"/>
      <c r="B52" s="245" t="s">
        <v>308</v>
      </c>
      <c r="C52" s="244" t="s">
        <v>309</v>
      </c>
      <c r="D52" s="242" t="s">
        <v>13</v>
      </c>
      <c r="E52" s="243">
        <v>389</v>
      </c>
      <c r="F52" s="243"/>
      <c r="G52" s="237"/>
    </row>
    <row r="53" spans="1:7" ht="24.95" customHeight="1" x14ac:dyDescent="0.25">
      <c r="A53" s="275"/>
      <c r="B53" s="245" t="s">
        <v>310</v>
      </c>
      <c r="C53" s="244" t="s">
        <v>311</v>
      </c>
      <c r="D53" s="242" t="s">
        <v>278</v>
      </c>
      <c r="E53" s="278">
        <v>6</v>
      </c>
      <c r="F53" s="243"/>
      <c r="G53" s="279"/>
    </row>
    <row r="54" spans="1:7" ht="24.95" customHeight="1" x14ac:dyDescent="0.25">
      <c r="A54" s="274"/>
      <c r="B54" s="246">
        <v>5.2</v>
      </c>
      <c r="C54" s="247" t="s">
        <v>312</v>
      </c>
      <c r="D54" s="246"/>
      <c r="E54" s="252"/>
      <c r="F54" s="252"/>
      <c r="G54" s="237"/>
    </row>
    <row r="55" spans="1:7" ht="24.95" customHeight="1" x14ac:dyDescent="0.25">
      <c r="A55" s="275"/>
      <c r="B55" s="245" t="s">
        <v>313</v>
      </c>
      <c r="C55" s="244" t="s">
        <v>314</v>
      </c>
      <c r="D55" s="242" t="s">
        <v>13</v>
      </c>
      <c r="E55" s="243">
        <v>117</v>
      </c>
      <c r="F55" s="243"/>
      <c r="G55" s="237"/>
    </row>
    <row r="56" spans="1:7" ht="24.95" customHeight="1" thickBot="1" x14ac:dyDescent="0.3">
      <c r="A56" s="275"/>
      <c r="B56" s="277" t="s">
        <v>315</v>
      </c>
      <c r="C56" s="244" t="s">
        <v>316</v>
      </c>
      <c r="D56" s="242" t="s">
        <v>278</v>
      </c>
      <c r="E56" s="243">
        <v>74</v>
      </c>
      <c r="F56" s="243"/>
      <c r="G56" s="237"/>
    </row>
    <row r="57" spans="1:7" ht="46.5" customHeight="1" thickBot="1" x14ac:dyDescent="0.3">
      <c r="A57" s="273"/>
      <c r="B57" s="270">
        <v>6</v>
      </c>
      <c r="C57" s="269" t="s">
        <v>317</v>
      </c>
      <c r="D57" s="269"/>
      <c r="E57" s="271"/>
      <c r="F57" s="233"/>
      <c r="G57" s="267"/>
    </row>
    <row r="58" spans="1:7" ht="62.25" customHeight="1" x14ac:dyDescent="0.25">
      <c r="A58" s="280"/>
      <c r="B58" s="281">
        <v>6.1</v>
      </c>
      <c r="C58" s="249" t="s">
        <v>318</v>
      </c>
      <c r="D58" s="248" t="s">
        <v>3</v>
      </c>
      <c r="E58" s="253">
        <v>1</v>
      </c>
      <c r="F58" s="251"/>
      <c r="G58" s="237"/>
    </row>
    <row r="59" spans="1:7" ht="60.75" customHeight="1" thickBot="1" x14ac:dyDescent="0.3">
      <c r="A59" s="275"/>
      <c r="B59" s="277">
        <v>6.2</v>
      </c>
      <c r="C59" s="244" t="s">
        <v>319</v>
      </c>
      <c r="D59" s="242" t="s">
        <v>13</v>
      </c>
      <c r="E59" s="243">
        <v>69.2</v>
      </c>
      <c r="F59" s="237"/>
      <c r="G59" s="237"/>
    </row>
    <row r="60" spans="1:7" ht="36.75" customHeight="1" thickBot="1" x14ac:dyDescent="0.3">
      <c r="B60" s="282">
        <v>7</v>
      </c>
      <c r="C60" s="269" t="s">
        <v>320</v>
      </c>
      <c r="D60" s="268"/>
      <c r="E60" s="269"/>
      <c r="F60" s="233"/>
      <c r="G60" s="267"/>
    </row>
    <row r="61" spans="1:7" ht="33" customHeight="1" x14ac:dyDescent="0.25">
      <c r="B61" s="246">
        <v>7.1</v>
      </c>
      <c r="C61" s="247" t="s">
        <v>321</v>
      </c>
      <c r="D61" s="245"/>
      <c r="E61" s="243"/>
      <c r="F61" s="238"/>
      <c r="G61" s="237"/>
    </row>
    <row r="62" spans="1:7" ht="37.5" customHeight="1" x14ac:dyDescent="0.25">
      <c r="B62" s="245" t="s">
        <v>322</v>
      </c>
      <c r="C62" s="244" t="s">
        <v>323</v>
      </c>
      <c r="D62" s="242" t="s">
        <v>278</v>
      </c>
      <c r="E62" s="253">
        <v>6.7</v>
      </c>
      <c r="F62" s="235"/>
      <c r="G62" s="251"/>
    </row>
    <row r="63" spans="1:7" ht="56.25" customHeight="1" x14ac:dyDescent="0.25">
      <c r="B63" s="245" t="s">
        <v>324</v>
      </c>
      <c r="C63" s="244" t="s">
        <v>325</v>
      </c>
      <c r="D63" s="242" t="s">
        <v>278</v>
      </c>
      <c r="E63" s="243">
        <v>24.5</v>
      </c>
      <c r="F63" s="235"/>
      <c r="G63" s="237"/>
    </row>
    <row r="64" spans="1:7" ht="51.75" customHeight="1" x14ac:dyDescent="0.25">
      <c r="B64" s="245" t="s">
        <v>326</v>
      </c>
      <c r="C64" s="244" t="s">
        <v>327</v>
      </c>
      <c r="D64" s="242" t="s">
        <v>278</v>
      </c>
      <c r="E64" s="243">
        <v>17.400000000000002</v>
      </c>
      <c r="F64" s="235"/>
      <c r="G64" s="237"/>
    </row>
    <row r="65" spans="2:7" ht="51.75" customHeight="1" x14ac:dyDescent="0.25">
      <c r="B65" s="245" t="s">
        <v>328</v>
      </c>
      <c r="C65" s="244" t="s">
        <v>329</v>
      </c>
      <c r="D65" s="242" t="s">
        <v>278</v>
      </c>
      <c r="E65" s="243">
        <v>61.2</v>
      </c>
      <c r="F65" s="235"/>
      <c r="G65" s="237"/>
    </row>
    <row r="66" spans="2:7" ht="51.75" customHeight="1" x14ac:dyDescent="0.25">
      <c r="B66" s="246">
        <v>7.2</v>
      </c>
      <c r="C66" s="247" t="s">
        <v>330</v>
      </c>
      <c r="D66" s="246"/>
      <c r="E66" s="252"/>
      <c r="F66" s="239"/>
      <c r="G66" s="236"/>
    </row>
    <row r="67" spans="2:7" ht="51.75" customHeight="1" x14ac:dyDescent="0.25">
      <c r="B67" s="245" t="s">
        <v>331</v>
      </c>
      <c r="C67" s="244" t="s">
        <v>332</v>
      </c>
      <c r="D67" s="242" t="s">
        <v>3</v>
      </c>
      <c r="E67" s="253">
        <v>4</v>
      </c>
      <c r="F67" s="235"/>
      <c r="G67" s="251"/>
    </row>
    <row r="68" spans="2:7" ht="51.75" customHeight="1" x14ac:dyDescent="0.25">
      <c r="B68" s="245" t="s">
        <v>333</v>
      </c>
      <c r="C68" s="244" t="s">
        <v>334</v>
      </c>
      <c r="D68" s="242" t="s">
        <v>3</v>
      </c>
      <c r="E68" s="253">
        <v>1</v>
      </c>
      <c r="F68" s="235"/>
      <c r="G68" s="251"/>
    </row>
    <row r="69" spans="2:7" ht="51.75" customHeight="1" x14ac:dyDescent="0.25">
      <c r="B69" s="245" t="s">
        <v>335</v>
      </c>
      <c r="C69" s="244" t="s">
        <v>336</v>
      </c>
      <c r="D69" s="242" t="s">
        <v>3</v>
      </c>
      <c r="E69" s="253">
        <v>4</v>
      </c>
      <c r="F69" s="235"/>
      <c r="G69" s="251"/>
    </row>
    <row r="70" spans="2:7" ht="51.75" customHeight="1" thickBot="1" x14ac:dyDescent="0.3">
      <c r="B70" s="245" t="s">
        <v>337</v>
      </c>
      <c r="C70" s="244" t="s">
        <v>338</v>
      </c>
      <c r="D70" s="242" t="s">
        <v>3</v>
      </c>
      <c r="E70" s="253">
        <v>1</v>
      </c>
      <c r="F70" s="235"/>
      <c r="G70" s="251"/>
    </row>
    <row r="71" spans="2:7" ht="51.75" customHeight="1" thickBot="1" x14ac:dyDescent="0.3">
      <c r="B71" s="270">
        <v>8</v>
      </c>
      <c r="C71" s="269" t="s">
        <v>339</v>
      </c>
      <c r="D71" s="271"/>
      <c r="E71" s="271"/>
      <c r="F71" s="233"/>
      <c r="G71" s="267"/>
    </row>
    <row r="72" spans="2:7" ht="51.75" customHeight="1" x14ac:dyDescent="0.25">
      <c r="B72" s="246">
        <v>8.1</v>
      </c>
      <c r="C72" s="247" t="s">
        <v>340</v>
      </c>
      <c r="D72" s="245"/>
      <c r="E72" s="243"/>
      <c r="F72" s="238"/>
      <c r="G72" s="237"/>
    </row>
    <row r="73" spans="2:7" ht="51.75" customHeight="1" x14ac:dyDescent="0.25">
      <c r="B73" s="245" t="s">
        <v>341</v>
      </c>
      <c r="C73" s="244" t="s">
        <v>342</v>
      </c>
      <c r="D73" s="242" t="s">
        <v>278</v>
      </c>
      <c r="E73" s="243">
        <v>19</v>
      </c>
      <c r="F73" s="235"/>
      <c r="G73" s="237"/>
    </row>
    <row r="74" spans="2:7" ht="51.75" customHeight="1" x14ac:dyDescent="0.25">
      <c r="B74" s="245" t="s">
        <v>343</v>
      </c>
      <c r="C74" s="244" t="s">
        <v>344</v>
      </c>
      <c r="D74" s="242" t="s">
        <v>278</v>
      </c>
      <c r="E74" s="243">
        <v>7</v>
      </c>
      <c r="F74" s="235"/>
      <c r="G74" s="237"/>
    </row>
    <row r="75" spans="2:7" ht="51.75" customHeight="1" x14ac:dyDescent="0.25">
      <c r="B75" s="245" t="s">
        <v>345</v>
      </c>
      <c r="C75" s="244" t="s">
        <v>346</v>
      </c>
      <c r="D75" s="242" t="s">
        <v>278</v>
      </c>
      <c r="E75" s="253">
        <v>6</v>
      </c>
      <c r="F75" s="235"/>
      <c r="G75" s="251"/>
    </row>
    <row r="76" spans="2:7" ht="51.75" customHeight="1" x14ac:dyDescent="0.25">
      <c r="B76" s="245" t="s">
        <v>347</v>
      </c>
      <c r="C76" s="244" t="s">
        <v>348</v>
      </c>
      <c r="D76" s="242" t="s">
        <v>278</v>
      </c>
      <c r="E76" s="253">
        <v>56</v>
      </c>
      <c r="F76" s="235"/>
      <c r="G76" s="251"/>
    </row>
    <row r="77" spans="2:7" ht="51.75" customHeight="1" x14ac:dyDescent="0.25">
      <c r="B77" s="245" t="s">
        <v>349</v>
      </c>
      <c r="C77" s="244" t="s">
        <v>350</v>
      </c>
      <c r="D77" s="242" t="s">
        <v>278</v>
      </c>
      <c r="E77" s="243">
        <v>5</v>
      </c>
      <c r="F77" s="235"/>
      <c r="G77" s="237"/>
    </row>
    <row r="78" spans="2:7" ht="51.75" customHeight="1" x14ac:dyDescent="0.25">
      <c r="B78" s="245" t="s">
        <v>351</v>
      </c>
      <c r="C78" s="244" t="s">
        <v>352</v>
      </c>
      <c r="D78" s="242" t="s">
        <v>278</v>
      </c>
      <c r="E78" s="243">
        <v>38</v>
      </c>
      <c r="F78" s="235"/>
      <c r="G78" s="237"/>
    </row>
    <row r="79" spans="2:7" ht="51.75" customHeight="1" x14ac:dyDescent="0.25">
      <c r="B79" s="246">
        <v>8.1999999999999993</v>
      </c>
      <c r="C79" s="247" t="s">
        <v>353</v>
      </c>
      <c r="D79" s="246"/>
      <c r="E79" s="243"/>
      <c r="F79" s="239"/>
      <c r="G79" s="237"/>
    </row>
    <row r="80" spans="2:7" ht="51.75" customHeight="1" x14ac:dyDescent="0.25">
      <c r="B80" s="245" t="s">
        <v>354</v>
      </c>
      <c r="C80" s="244" t="s">
        <v>355</v>
      </c>
      <c r="D80" s="242" t="s">
        <v>3</v>
      </c>
      <c r="E80" s="243">
        <v>8</v>
      </c>
      <c r="F80" s="235"/>
      <c r="G80" s="237"/>
    </row>
    <row r="81" spans="2:7" ht="51.75" customHeight="1" x14ac:dyDescent="0.25">
      <c r="B81" s="245" t="s">
        <v>356</v>
      </c>
      <c r="C81" s="244" t="s">
        <v>357</v>
      </c>
      <c r="D81" s="242" t="s">
        <v>3</v>
      </c>
      <c r="E81" s="243">
        <v>4</v>
      </c>
      <c r="F81" s="235"/>
      <c r="G81" s="237"/>
    </row>
    <row r="82" spans="2:7" ht="51.75" customHeight="1" x14ac:dyDescent="0.25">
      <c r="B82" s="245" t="s">
        <v>358</v>
      </c>
      <c r="C82" s="244" t="s">
        <v>359</v>
      </c>
      <c r="D82" s="242" t="s">
        <v>3</v>
      </c>
      <c r="E82" s="243">
        <v>2</v>
      </c>
      <c r="F82" s="235"/>
      <c r="G82" s="237"/>
    </row>
    <row r="83" spans="2:7" ht="51.75" customHeight="1" thickBot="1" x14ac:dyDescent="0.3">
      <c r="B83" s="245" t="s">
        <v>360</v>
      </c>
      <c r="C83" s="244" t="s">
        <v>361</v>
      </c>
      <c r="D83" s="242" t="s">
        <v>3</v>
      </c>
      <c r="E83" s="243">
        <v>14</v>
      </c>
      <c r="F83" s="235"/>
      <c r="G83" s="237"/>
    </row>
    <row r="84" spans="2:7" ht="51.75" customHeight="1" thickBot="1" x14ac:dyDescent="0.3">
      <c r="B84" s="270">
        <v>9</v>
      </c>
      <c r="C84" s="269" t="s">
        <v>362</v>
      </c>
      <c r="D84" s="271"/>
      <c r="E84" s="271"/>
      <c r="F84" s="271"/>
      <c r="G84" s="267"/>
    </row>
    <row r="85" spans="2:7" ht="51.75" customHeight="1" x14ac:dyDescent="0.25">
      <c r="B85" s="246">
        <v>9.1</v>
      </c>
      <c r="C85" s="247" t="s">
        <v>363</v>
      </c>
      <c r="D85" s="245"/>
      <c r="E85" s="243"/>
      <c r="F85" s="245"/>
      <c r="G85" s="237"/>
    </row>
    <row r="86" spans="2:7" ht="51.75" customHeight="1" x14ac:dyDescent="0.25">
      <c r="B86" s="245" t="s">
        <v>364</v>
      </c>
      <c r="C86" s="244" t="s">
        <v>365</v>
      </c>
      <c r="D86" s="242" t="s">
        <v>278</v>
      </c>
      <c r="E86" s="243">
        <v>61</v>
      </c>
      <c r="F86" s="242"/>
      <c r="G86" s="237"/>
    </row>
    <row r="87" spans="2:7" ht="51.75" customHeight="1" x14ac:dyDescent="0.25">
      <c r="B87" s="246">
        <v>9.1999999999999993</v>
      </c>
      <c r="C87" s="247" t="s">
        <v>366</v>
      </c>
      <c r="D87" s="246"/>
      <c r="E87" s="252"/>
      <c r="F87" s="246"/>
      <c r="G87" s="236"/>
    </row>
    <row r="88" spans="2:7" ht="51.75" customHeight="1" thickBot="1" x14ac:dyDescent="0.3">
      <c r="B88" s="245" t="s">
        <v>367</v>
      </c>
      <c r="C88" s="244" t="s">
        <v>368</v>
      </c>
      <c r="D88" s="242" t="s">
        <v>3</v>
      </c>
      <c r="E88" s="243">
        <v>32</v>
      </c>
      <c r="F88" s="242"/>
      <c r="G88" s="237"/>
    </row>
    <row r="89" spans="2:7" ht="51.75" customHeight="1" thickBot="1" x14ac:dyDescent="0.3">
      <c r="B89" s="270">
        <v>10</v>
      </c>
      <c r="C89" s="269" t="s">
        <v>369</v>
      </c>
      <c r="D89" s="271"/>
      <c r="E89" s="271"/>
      <c r="F89" s="233"/>
      <c r="G89" s="267"/>
    </row>
    <row r="90" spans="2:7" ht="51.75" customHeight="1" x14ac:dyDescent="0.25">
      <c r="B90" s="246">
        <v>10.1</v>
      </c>
      <c r="C90" s="247" t="s">
        <v>370</v>
      </c>
      <c r="D90" s="245"/>
      <c r="E90" s="243"/>
      <c r="F90" s="238"/>
      <c r="G90" s="237"/>
    </row>
    <row r="91" spans="2:7" ht="51.75" customHeight="1" x14ac:dyDescent="0.25">
      <c r="B91" s="245" t="s">
        <v>371</v>
      </c>
      <c r="C91" s="244" t="s">
        <v>372</v>
      </c>
      <c r="D91" s="242" t="s">
        <v>278</v>
      </c>
      <c r="E91" s="243">
        <v>57</v>
      </c>
      <c r="F91" s="235"/>
      <c r="G91" s="237"/>
    </row>
    <row r="92" spans="2:7" ht="51.75" customHeight="1" x14ac:dyDescent="0.25">
      <c r="B92" s="246">
        <v>10.199999999999999</v>
      </c>
      <c r="C92" s="247" t="s">
        <v>373</v>
      </c>
      <c r="D92" s="246"/>
      <c r="E92" s="252"/>
      <c r="F92" s="239"/>
      <c r="G92" s="236"/>
    </row>
    <row r="93" spans="2:7" ht="51.75" customHeight="1" x14ac:dyDescent="0.25">
      <c r="B93" s="245" t="s">
        <v>374</v>
      </c>
      <c r="C93" s="244" t="s">
        <v>375</v>
      </c>
      <c r="D93" s="242" t="s">
        <v>3</v>
      </c>
      <c r="E93" s="243">
        <v>1</v>
      </c>
      <c r="F93" s="235"/>
      <c r="G93" s="237"/>
    </row>
    <row r="94" spans="2:7" ht="51.75" customHeight="1" x14ac:dyDescent="0.25">
      <c r="B94" s="245" t="s">
        <v>376</v>
      </c>
      <c r="C94" s="244" t="s">
        <v>377</v>
      </c>
      <c r="D94" s="242" t="s">
        <v>3</v>
      </c>
      <c r="E94" s="243">
        <v>8</v>
      </c>
      <c r="F94" s="235"/>
      <c r="G94" s="237"/>
    </row>
    <row r="95" spans="2:7" ht="51.75" customHeight="1" x14ac:dyDescent="0.25">
      <c r="B95" s="245" t="s">
        <v>378</v>
      </c>
      <c r="C95" s="244" t="s">
        <v>379</v>
      </c>
      <c r="D95" s="242" t="s">
        <v>3</v>
      </c>
      <c r="E95" s="243">
        <v>1</v>
      </c>
      <c r="F95" s="235"/>
      <c r="G95" s="237"/>
    </row>
    <row r="96" spans="2:7" ht="51.75" customHeight="1" x14ac:dyDescent="0.25">
      <c r="B96" s="245" t="s">
        <v>380</v>
      </c>
      <c r="C96" s="244" t="s">
        <v>381</v>
      </c>
      <c r="D96" s="242" t="s">
        <v>3</v>
      </c>
      <c r="E96" s="243">
        <v>1</v>
      </c>
      <c r="F96" s="235"/>
      <c r="G96" s="237"/>
    </row>
    <row r="97" spans="2:7" ht="51.75" customHeight="1" thickBot="1" x14ac:dyDescent="0.3">
      <c r="B97" s="245" t="s">
        <v>382</v>
      </c>
      <c r="C97" s="244" t="s">
        <v>383</v>
      </c>
      <c r="D97" s="242" t="s">
        <v>3</v>
      </c>
      <c r="E97" s="243">
        <v>1</v>
      </c>
      <c r="F97" s="235"/>
      <c r="G97" s="237"/>
    </row>
    <row r="98" spans="2:7" ht="51.75" customHeight="1" thickBot="1" x14ac:dyDescent="0.3">
      <c r="B98" s="268">
        <v>11</v>
      </c>
      <c r="C98" s="269" t="s">
        <v>384</v>
      </c>
      <c r="D98" s="268"/>
      <c r="E98" s="269"/>
      <c r="F98" s="233"/>
      <c r="G98" s="233"/>
    </row>
    <row r="99" spans="2:7" ht="51.75" customHeight="1" x14ac:dyDescent="0.25">
      <c r="B99" s="246">
        <v>11.1</v>
      </c>
      <c r="C99" s="247" t="s">
        <v>385</v>
      </c>
      <c r="D99" s="240"/>
      <c r="E99" s="247"/>
      <c r="F99" s="238"/>
      <c r="G99" s="237"/>
    </row>
    <row r="100" spans="2:7" ht="51.75" customHeight="1" x14ac:dyDescent="0.25">
      <c r="B100" s="245" t="s">
        <v>386</v>
      </c>
      <c r="C100" s="244" t="s">
        <v>387</v>
      </c>
      <c r="D100" s="242" t="s">
        <v>3</v>
      </c>
      <c r="E100" s="243">
        <v>2</v>
      </c>
      <c r="F100" s="235"/>
      <c r="G100" s="237"/>
    </row>
    <row r="101" spans="2:7" ht="51.75" customHeight="1" x14ac:dyDescent="0.25">
      <c r="B101" s="245" t="s">
        <v>388</v>
      </c>
      <c r="C101" s="244" t="s">
        <v>389</v>
      </c>
      <c r="D101" s="242" t="s">
        <v>3</v>
      </c>
      <c r="E101" s="243">
        <v>2</v>
      </c>
      <c r="F101" s="235"/>
      <c r="G101" s="237"/>
    </row>
    <row r="102" spans="2:7" ht="51.75" customHeight="1" x14ac:dyDescent="0.25">
      <c r="B102" s="245" t="s">
        <v>390</v>
      </c>
      <c r="C102" s="244" t="s">
        <v>391</v>
      </c>
      <c r="D102" s="242" t="s">
        <v>3</v>
      </c>
      <c r="E102" s="243">
        <v>2</v>
      </c>
      <c r="F102" s="235"/>
      <c r="G102" s="237"/>
    </row>
    <row r="103" spans="2:7" ht="51.75" customHeight="1" x14ac:dyDescent="0.25">
      <c r="B103" s="245" t="s">
        <v>392</v>
      </c>
      <c r="C103" s="244" t="s">
        <v>393</v>
      </c>
      <c r="D103" s="242" t="s">
        <v>3</v>
      </c>
      <c r="E103" s="243">
        <v>2</v>
      </c>
      <c r="F103" s="235"/>
      <c r="G103" s="237"/>
    </row>
    <row r="104" spans="2:7" ht="51.75" customHeight="1" x14ac:dyDescent="0.25">
      <c r="B104" s="245" t="s">
        <v>394</v>
      </c>
      <c r="C104" s="244" t="s">
        <v>395</v>
      </c>
      <c r="D104" s="242" t="s">
        <v>3</v>
      </c>
      <c r="E104" s="243">
        <v>2</v>
      </c>
      <c r="F104" s="235"/>
      <c r="G104" s="237"/>
    </row>
    <row r="105" spans="2:7" ht="51.75" customHeight="1" x14ac:dyDescent="0.25">
      <c r="B105" s="245" t="s">
        <v>396</v>
      </c>
      <c r="C105" s="244" t="s">
        <v>397</v>
      </c>
      <c r="D105" s="242" t="s">
        <v>3</v>
      </c>
      <c r="E105" s="243">
        <v>1</v>
      </c>
      <c r="F105" s="235"/>
      <c r="G105" s="237"/>
    </row>
    <row r="106" spans="2:7" ht="51.75" customHeight="1" x14ac:dyDescent="0.25">
      <c r="B106" s="246">
        <v>11.2</v>
      </c>
      <c r="C106" s="247" t="s">
        <v>398</v>
      </c>
      <c r="D106" s="246"/>
      <c r="E106" s="252"/>
      <c r="F106" s="239"/>
      <c r="G106" s="236"/>
    </row>
    <row r="107" spans="2:7" ht="51.75" customHeight="1" x14ac:dyDescent="0.25">
      <c r="B107" s="245" t="s">
        <v>399</v>
      </c>
      <c r="C107" s="244" t="s">
        <v>400</v>
      </c>
      <c r="D107" s="242" t="s">
        <v>3</v>
      </c>
      <c r="E107" s="253">
        <v>1</v>
      </c>
      <c r="F107" s="235"/>
      <c r="G107" s="251"/>
    </row>
    <row r="108" spans="2:7" ht="51.75" customHeight="1" x14ac:dyDescent="0.25">
      <c r="B108" s="245" t="s">
        <v>401</v>
      </c>
      <c r="C108" s="244" t="s">
        <v>402</v>
      </c>
      <c r="D108" s="242" t="s">
        <v>3</v>
      </c>
      <c r="E108" s="253">
        <v>2</v>
      </c>
      <c r="F108" s="235"/>
      <c r="G108" s="251"/>
    </row>
    <row r="109" spans="2:7" ht="51.75" customHeight="1" x14ac:dyDescent="0.25">
      <c r="B109" s="245" t="s">
        <v>403</v>
      </c>
      <c r="C109" s="244" t="s">
        <v>404</v>
      </c>
      <c r="D109" s="242" t="s">
        <v>3</v>
      </c>
      <c r="E109" s="253">
        <v>3</v>
      </c>
      <c r="F109" s="235"/>
      <c r="G109" s="251"/>
    </row>
    <row r="110" spans="2:7" ht="51.75" customHeight="1" x14ac:dyDescent="0.25">
      <c r="B110" s="245" t="s">
        <v>405</v>
      </c>
      <c r="C110" s="244" t="s">
        <v>406</v>
      </c>
      <c r="D110" s="242" t="s">
        <v>3</v>
      </c>
      <c r="E110" s="253">
        <v>1</v>
      </c>
      <c r="F110" s="235"/>
      <c r="G110" s="251"/>
    </row>
    <row r="111" spans="2:7" ht="51.75" customHeight="1" x14ac:dyDescent="0.25">
      <c r="B111" s="245" t="s">
        <v>407</v>
      </c>
      <c r="C111" s="244" t="s">
        <v>408</v>
      </c>
      <c r="D111" s="242" t="s">
        <v>3</v>
      </c>
      <c r="E111" s="243">
        <v>1</v>
      </c>
      <c r="F111" s="235"/>
      <c r="G111" s="237"/>
    </row>
    <row r="112" spans="2:7" ht="51.75" customHeight="1" thickBot="1" x14ac:dyDescent="0.3">
      <c r="B112" s="245" t="s">
        <v>409</v>
      </c>
      <c r="C112" s="244" t="s">
        <v>410</v>
      </c>
      <c r="D112" s="242" t="s">
        <v>3</v>
      </c>
      <c r="E112" s="253">
        <v>1</v>
      </c>
      <c r="F112" s="235"/>
      <c r="G112" s="251"/>
    </row>
    <row r="113" spans="2:7" ht="51.75" customHeight="1" thickBot="1" x14ac:dyDescent="0.3">
      <c r="B113" s="268">
        <v>12</v>
      </c>
      <c r="C113" s="269" t="s">
        <v>411</v>
      </c>
      <c r="D113" s="268"/>
      <c r="E113" s="269"/>
      <c r="F113" s="233"/>
      <c r="G113" s="233"/>
    </row>
    <row r="114" spans="2:7" ht="51.75" customHeight="1" thickBot="1" x14ac:dyDescent="0.3">
      <c r="B114" s="245">
        <v>12.1</v>
      </c>
      <c r="C114" s="244" t="s">
        <v>412</v>
      </c>
      <c r="D114" s="242" t="s">
        <v>278</v>
      </c>
      <c r="E114" s="243">
        <v>2.2000000000000002</v>
      </c>
      <c r="F114" s="235"/>
      <c r="G114" s="237"/>
    </row>
    <row r="115" spans="2:7" ht="51.75" customHeight="1" thickBot="1" x14ac:dyDescent="0.3">
      <c r="B115" s="268">
        <v>13</v>
      </c>
      <c r="C115" s="269" t="s">
        <v>413</v>
      </c>
      <c r="D115" s="271"/>
      <c r="E115" s="271"/>
      <c r="F115" s="233"/>
      <c r="G115" s="233"/>
    </row>
    <row r="116" spans="2:7" ht="30" customHeight="1" x14ac:dyDescent="0.25">
      <c r="B116" s="246">
        <v>13.1</v>
      </c>
      <c r="C116" s="247" t="s">
        <v>414</v>
      </c>
      <c r="D116" s="245"/>
      <c r="E116" s="243"/>
      <c r="F116" s="238"/>
      <c r="G116" s="237"/>
    </row>
    <row r="117" spans="2:7" ht="30" customHeight="1" x14ac:dyDescent="0.25">
      <c r="B117" s="245" t="s">
        <v>415</v>
      </c>
      <c r="C117" s="244" t="s">
        <v>416</v>
      </c>
      <c r="D117" s="242" t="s">
        <v>13</v>
      </c>
      <c r="E117" s="243">
        <v>370</v>
      </c>
      <c r="F117" s="235"/>
      <c r="G117" s="237"/>
    </row>
    <row r="118" spans="2:7" ht="44.25" customHeight="1" x14ac:dyDescent="0.25">
      <c r="B118" s="245" t="s">
        <v>417</v>
      </c>
      <c r="C118" s="244" t="s">
        <v>418</v>
      </c>
      <c r="D118" s="242" t="s">
        <v>13</v>
      </c>
      <c r="E118" s="243">
        <v>414</v>
      </c>
      <c r="F118" s="235"/>
      <c r="G118" s="237"/>
    </row>
    <row r="119" spans="2:7" ht="30" customHeight="1" x14ac:dyDescent="0.25">
      <c r="B119" s="245" t="s">
        <v>419</v>
      </c>
      <c r="C119" s="244" t="s">
        <v>420</v>
      </c>
      <c r="D119" s="242" t="s">
        <v>278</v>
      </c>
      <c r="E119" s="243">
        <v>89</v>
      </c>
      <c r="F119" s="235"/>
      <c r="G119" s="237"/>
    </row>
    <row r="120" spans="2:7" ht="48" customHeight="1" x14ac:dyDescent="0.25">
      <c r="B120" s="245" t="s">
        <v>421</v>
      </c>
      <c r="C120" s="244" t="s">
        <v>422</v>
      </c>
      <c r="D120" s="242" t="s">
        <v>278</v>
      </c>
      <c r="E120" s="243">
        <v>34</v>
      </c>
      <c r="F120" s="235"/>
      <c r="G120" s="237"/>
    </row>
    <row r="121" spans="2:7" ht="44.25" customHeight="1" x14ac:dyDescent="0.25">
      <c r="B121" s="245" t="s">
        <v>423</v>
      </c>
      <c r="C121" s="244" t="s">
        <v>424</v>
      </c>
      <c r="D121" s="242" t="s">
        <v>13</v>
      </c>
      <c r="E121" s="243">
        <v>11</v>
      </c>
      <c r="F121" s="235"/>
      <c r="G121" s="237"/>
    </row>
    <row r="122" spans="2:7" ht="48" customHeight="1" x14ac:dyDescent="0.25">
      <c r="B122" s="245" t="s">
        <v>425</v>
      </c>
      <c r="C122" s="244" t="s">
        <v>426</v>
      </c>
      <c r="D122" s="242" t="s">
        <v>13</v>
      </c>
      <c r="E122" s="243">
        <v>346</v>
      </c>
      <c r="F122" s="235"/>
      <c r="G122" s="237"/>
    </row>
    <row r="123" spans="2:7" ht="42" customHeight="1" x14ac:dyDescent="0.25">
      <c r="B123" s="245" t="s">
        <v>427</v>
      </c>
      <c r="C123" s="244" t="s">
        <v>428</v>
      </c>
      <c r="D123" s="242" t="s">
        <v>278</v>
      </c>
      <c r="E123" s="243">
        <v>59</v>
      </c>
      <c r="F123" s="235"/>
      <c r="G123" s="237"/>
    </row>
    <row r="124" spans="2:7" ht="40.5" customHeight="1" x14ac:dyDescent="0.25">
      <c r="B124" s="245" t="s">
        <v>429</v>
      </c>
      <c r="C124" s="244" t="s">
        <v>430</v>
      </c>
      <c r="D124" s="242" t="s">
        <v>278</v>
      </c>
      <c r="E124" s="243">
        <v>85</v>
      </c>
      <c r="F124" s="235"/>
      <c r="G124" s="237"/>
    </row>
    <row r="125" spans="2:7" ht="30" customHeight="1" x14ac:dyDescent="0.25">
      <c r="B125" s="245" t="s">
        <v>431</v>
      </c>
      <c r="C125" s="244" t="s">
        <v>432</v>
      </c>
      <c r="D125" s="242" t="s">
        <v>13</v>
      </c>
      <c r="E125" s="243">
        <v>637</v>
      </c>
      <c r="F125" s="235"/>
      <c r="G125" s="237"/>
    </row>
    <row r="126" spans="2:7" ht="30" customHeight="1" x14ac:dyDescent="0.25">
      <c r="B126" s="245" t="s">
        <v>433</v>
      </c>
      <c r="C126" s="244" t="s">
        <v>434</v>
      </c>
      <c r="D126" s="242" t="s">
        <v>13</v>
      </c>
      <c r="E126" s="243">
        <v>666</v>
      </c>
      <c r="F126" s="235"/>
      <c r="G126" s="237"/>
    </row>
    <row r="127" spans="2:7" ht="30" customHeight="1" x14ac:dyDescent="0.25">
      <c r="B127" s="245" t="s">
        <v>435</v>
      </c>
      <c r="C127" s="244" t="s">
        <v>436</v>
      </c>
      <c r="D127" s="242" t="s">
        <v>278</v>
      </c>
      <c r="E127" s="243">
        <v>301</v>
      </c>
      <c r="F127" s="235"/>
      <c r="G127" s="237"/>
    </row>
    <row r="128" spans="2:7" ht="30" customHeight="1" x14ac:dyDescent="0.25">
      <c r="B128" s="245" t="s">
        <v>437</v>
      </c>
      <c r="C128" s="244" t="s">
        <v>438</v>
      </c>
      <c r="D128" s="242" t="s">
        <v>278</v>
      </c>
      <c r="E128" s="243">
        <v>58</v>
      </c>
      <c r="F128" s="235"/>
      <c r="G128" s="237"/>
    </row>
    <row r="129" spans="2:7" ht="44.25" customHeight="1" x14ac:dyDescent="0.25">
      <c r="B129" s="246">
        <v>13.2</v>
      </c>
      <c r="C129" s="247" t="s">
        <v>439</v>
      </c>
      <c r="D129" s="246"/>
      <c r="E129" s="252"/>
      <c r="F129" s="239"/>
      <c r="G129" s="236"/>
    </row>
    <row r="130" spans="2:7" ht="57" customHeight="1" x14ac:dyDescent="0.25">
      <c r="B130" s="245" t="s">
        <v>440</v>
      </c>
      <c r="C130" s="244" t="s">
        <v>441</v>
      </c>
      <c r="D130" s="242" t="s">
        <v>13</v>
      </c>
      <c r="E130" s="243">
        <v>449</v>
      </c>
      <c r="F130" s="235"/>
      <c r="G130" s="237"/>
    </row>
    <row r="131" spans="2:7" ht="46.5" customHeight="1" x14ac:dyDescent="0.25">
      <c r="B131" s="245" t="s">
        <v>442</v>
      </c>
      <c r="C131" s="244" t="s">
        <v>443</v>
      </c>
      <c r="D131" s="242" t="s">
        <v>13</v>
      </c>
      <c r="E131" s="243">
        <v>753</v>
      </c>
      <c r="F131" s="235"/>
      <c r="G131" s="237"/>
    </row>
    <row r="132" spans="2:7" ht="39" customHeight="1" x14ac:dyDescent="0.25">
      <c r="B132" s="245" t="s">
        <v>444</v>
      </c>
      <c r="C132" s="244" t="s">
        <v>445</v>
      </c>
      <c r="D132" s="242" t="s">
        <v>278</v>
      </c>
      <c r="E132" s="243">
        <v>436</v>
      </c>
      <c r="F132" s="235"/>
      <c r="G132" s="237"/>
    </row>
    <row r="133" spans="2:7" ht="89.25" customHeight="1" x14ac:dyDescent="0.25">
      <c r="B133" s="245" t="s">
        <v>446</v>
      </c>
      <c r="C133" s="244" t="s">
        <v>447</v>
      </c>
      <c r="D133" s="242" t="s">
        <v>278</v>
      </c>
      <c r="E133" s="243">
        <v>168</v>
      </c>
      <c r="F133" s="235"/>
      <c r="G133" s="237"/>
    </row>
    <row r="134" spans="2:7" ht="30" customHeight="1" x14ac:dyDescent="0.25">
      <c r="B134" s="245" t="s">
        <v>448</v>
      </c>
      <c r="C134" s="244" t="s">
        <v>449</v>
      </c>
      <c r="D134" s="242" t="s">
        <v>13</v>
      </c>
      <c r="E134" s="243">
        <v>133</v>
      </c>
      <c r="F134" s="235"/>
      <c r="G134" s="237"/>
    </row>
    <row r="135" spans="2:7" ht="45.75" customHeight="1" x14ac:dyDescent="0.25">
      <c r="B135" s="245" t="s">
        <v>450</v>
      </c>
      <c r="C135" s="244" t="s">
        <v>451</v>
      </c>
      <c r="D135" s="242" t="s">
        <v>13</v>
      </c>
      <c r="E135" s="243">
        <v>74</v>
      </c>
      <c r="F135" s="235"/>
      <c r="G135" s="237"/>
    </row>
    <row r="136" spans="2:7" ht="30" customHeight="1" x14ac:dyDescent="0.25">
      <c r="B136" s="245" t="s">
        <v>452</v>
      </c>
      <c r="C136" s="244" t="s">
        <v>453</v>
      </c>
      <c r="D136" s="242" t="s">
        <v>13</v>
      </c>
      <c r="E136" s="243">
        <v>11</v>
      </c>
      <c r="F136" s="235"/>
      <c r="G136" s="237"/>
    </row>
    <row r="137" spans="2:7" ht="30" customHeight="1" x14ac:dyDescent="0.25">
      <c r="B137" s="245" t="s">
        <v>454</v>
      </c>
      <c r="C137" s="244" t="s">
        <v>455</v>
      </c>
      <c r="D137" s="242" t="s">
        <v>13</v>
      </c>
      <c r="E137" s="243">
        <v>155</v>
      </c>
      <c r="F137" s="235"/>
      <c r="G137" s="237"/>
    </row>
    <row r="138" spans="2:7" ht="30" customHeight="1" x14ac:dyDescent="0.25">
      <c r="B138" s="245" t="s">
        <v>456</v>
      </c>
      <c r="C138" s="244" t="s">
        <v>457</v>
      </c>
      <c r="D138" s="242" t="s">
        <v>278</v>
      </c>
      <c r="E138" s="243">
        <v>24</v>
      </c>
      <c r="F138" s="235"/>
      <c r="G138" s="237"/>
    </row>
    <row r="139" spans="2:7" ht="30" customHeight="1" x14ac:dyDescent="0.25">
      <c r="B139" s="246">
        <v>13.3</v>
      </c>
      <c r="C139" s="247" t="s">
        <v>458</v>
      </c>
      <c r="D139" s="246"/>
      <c r="E139" s="252"/>
      <c r="F139" s="239"/>
      <c r="G139" s="236"/>
    </row>
    <row r="140" spans="2:7" ht="30" customHeight="1" thickBot="1" x14ac:dyDescent="0.3">
      <c r="B140" s="245" t="s">
        <v>459</v>
      </c>
      <c r="C140" s="244" t="s">
        <v>460</v>
      </c>
      <c r="D140" s="242" t="s">
        <v>13</v>
      </c>
      <c r="E140" s="243">
        <v>51.5</v>
      </c>
      <c r="F140" s="235"/>
      <c r="G140" s="237"/>
    </row>
    <row r="141" spans="2:7" ht="49.5" customHeight="1" thickBot="1" x14ac:dyDescent="0.3">
      <c r="B141" s="270">
        <v>14</v>
      </c>
      <c r="C141" s="269" t="s">
        <v>461</v>
      </c>
      <c r="D141" s="271"/>
      <c r="E141" s="271"/>
      <c r="F141" s="233"/>
      <c r="G141" s="267"/>
    </row>
    <row r="142" spans="2:7" ht="30" customHeight="1" x14ac:dyDescent="0.25">
      <c r="B142" s="246">
        <v>14.1</v>
      </c>
      <c r="C142" s="247" t="s">
        <v>462</v>
      </c>
      <c r="D142" s="245"/>
      <c r="E142" s="243"/>
      <c r="F142" s="238"/>
      <c r="G142" s="237"/>
    </row>
    <row r="143" spans="2:7" ht="63" customHeight="1" x14ac:dyDescent="0.25">
      <c r="B143" s="245" t="s">
        <v>463</v>
      </c>
      <c r="C143" s="244" t="s">
        <v>464</v>
      </c>
      <c r="D143" s="242" t="s">
        <v>13</v>
      </c>
      <c r="E143" s="243">
        <v>647</v>
      </c>
      <c r="F143" s="235"/>
      <c r="G143" s="237"/>
    </row>
    <row r="144" spans="2:7" ht="30" customHeight="1" x14ac:dyDescent="0.25">
      <c r="B144" s="246">
        <v>14.2</v>
      </c>
      <c r="C144" s="247" t="s">
        <v>465</v>
      </c>
      <c r="D144" s="246"/>
      <c r="E144" s="252"/>
      <c r="F144" s="239"/>
      <c r="G144" s="236"/>
    </row>
    <row r="145" spans="2:7" ht="51" customHeight="1" x14ac:dyDescent="0.25">
      <c r="B145" s="272" t="s">
        <v>466</v>
      </c>
      <c r="C145" s="249" t="s">
        <v>467</v>
      </c>
      <c r="D145" s="248" t="s">
        <v>3</v>
      </c>
      <c r="E145" s="253">
        <v>1</v>
      </c>
      <c r="F145" s="250"/>
      <c r="G145" s="251"/>
    </row>
    <row r="146" spans="2:7" ht="30" customHeight="1" thickBot="1" x14ac:dyDescent="0.3">
      <c r="B146" s="245" t="s">
        <v>468</v>
      </c>
      <c r="C146" s="244" t="s">
        <v>469</v>
      </c>
      <c r="D146" s="242" t="s">
        <v>13</v>
      </c>
      <c r="E146" s="243">
        <v>34</v>
      </c>
      <c r="F146" s="235"/>
      <c r="G146" s="237"/>
    </row>
    <row r="147" spans="2:7" ht="30" customHeight="1" thickBot="1" x14ac:dyDescent="0.3">
      <c r="B147" s="268">
        <v>15</v>
      </c>
      <c r="C147" s="269" t="s">
        <v>470</v>
      </c>
      <c r="D147" s="271"/>
      <c r="E147" s="271"/>
      <c r="F147" s="233"/>
      <c r="G147" s="233"/>
    </row>
    <row r="148" spans="2:7" ht="30" customHeight="1" x14ac:dyDescent="0.25">
      <c r="B148" s="246">
        <v>15.1</v>
      </c>
      <c r="C148" s="247" t="s">
        <v>471</v>
      </c>
      <c r="D148" s="245"/>
      <c r="E148" s="243"/>
      <c r="F148" s="238"/>
      <c r="G148" s="237"/>
    </row>
    <row r="149" spans="2:7" ht="81" customHeight="1" x14ac:dyDescent="0.25">
      <c r="B149" s="245" t="s">
        <v>472</v>
      </c>
      <c r="C149" s="244" t="s">
        <v>473</v>
      </c>
      <c r="D149" s="242" t="s">
        <v>3</v>
      </c>
      <c r="E149" s="243">
        <v>4</v>
      </c>
      <c r="F149" s="235"/>
      <c r="G149" s="237"/>
    </row>
    <row r="150" spans="2:7" ht="90" customHeight="1" x14ac:dyDescent="0.25">
      <c r="B150" s="245" t="s">
        <v>474</v>
      </c>
      <c r="C150" s="244" t="s">
        <v>475</v>
      </c>
      <c r="D150" s="242" t="s">
        <v>3</v>
      </c>
      <c r="E150" s="243">
        <v>2</v>
      </c>
      <c r="F150" s="235"/>
      <c r="G150" s="237"/>
    </row>
    <row r="151" spans="2:7" ht="90.75" customHeight="1" x14ac:dyDescent="0.25">
      <c r="B151" s="245" t="s">
        <v>476</v>
      </c>
      <c r="C151" s="244" t="s">
        <v>477</v>
      </c>
      <c r="D151" s="242" t="s">
        <v>3</v>
      </c>
      <c r="E151" s="243">
        <v>1</v>
      </c>
      <c r="F151" s="235"/>
      <c r="G151" s="237"/>
    </row>
    <row r="152" spans="2:7" ht="30" customHeight="1" x14ac:dyDescent="0.25">
      <c r="B152" s="245" t="s">
        <v>478</v>
      </c>
      <c r="C152" s="244" t="s">
        <v>479</v>
      </c>
      <c r="D152" s="242" t="s">
        <v>3</v>
      </c>
      <c r="E152" s="243">
        <v>1</v>
      </c>
      <c r="F152" s="235"/>
      <c r="G152" s="237"/>
    </row>
    <row r="153" spans="2:7" ht="30" customHeight="1" x14ac:dyDescent="0.25">
      <c r="B153" s="245" t="s">
        <v>480</v>
      </c>
      <c r="C153" s="244" t="s">
        <v>481</v>
      </c>
      <c r="D153" s="242" t="s">
        <v>3</v>
      </c>
      <c r="E153" s="243">
        <v>2</v>
      </c>
      <c r="F153" s="235"/>
      <c r="G153" s="237"/>
    </row>
    <row r="154" spans="2:7" ht="30" customHeight="1" x14ac:dyDescent="0.25">
      <c r="B154" s="246">
        <v>15.2</v>
      </c>
      <c r="C154" s="247" t="s">
        <v>482</v>
      </c>
      <c r="D154" s="246"/>
      <c r="E154" s="252"/>
      <c r="F154" s="239"/>
      <c r="G154" s="236"/>
    </row>
    <row r="155" spans="2:7" ht="57" customHeight="1" x14ac:dyDescent="0.25">
      <c r="B155" s="245" t="s">
        <v>483</v>
      </c>
      <c r="C155" s="244" t="s">
        <v>484</v>
      </c>
      <c r="D155" s="242" t="s">
        <v>3</v>
      </c>
      <c r="E155" s="243">
        <v>5</v>
      </c>
      <c r="F155" s="235"/>
      <c r="G155" s="237"/>
    </row>
    <row r="156" spans="2:7" ht="60.75" customHeight="1" x14ac:dyDescent="0.25">
      <c r="B156" s="245" t="s">
        <v>485</v>
      </c>
      <c r="C156" s="244" t="s">
        <v>486</v>
      </c>
      <c r="D156" s="242" t="s">
        <v>3</v>
      </c>
      <c r="E156" s="243">
        <v>1</v>
      </c>
      <c r="F156" s="235"/>
      <c r="G156" s="237"/>
    </row>
    <row r="157" spans="2:7" ht="63.75" customHeight="1" x14ac:dyDescent="0.25">
      <c r="B157" s="245" t="s">
        <v>487</v>
      </c>
      <c r="C157" s="244" t="s">
        <v>488</v>
      </c>
      <c r="D157" s="242" t="s">
        <v>3</v>
      </c>
      <c r="E157" s="243">
        <v>2</v>
      </c>
      <c r="F157" s="235"/>
      <c r="G157" s="237"/>
    </row>
    <row r="158" spans="2:7" ht="60.75" customHeight="1" x14ac:dyDescent="0.25">
      <c r="B158" s="245" t="s">
        <v>489</v>
      </c>
      <c r="C158" s="244" t="s">
        <v>490</v>
      </c>
      <c r="D158" s="242" t="s">
        <v>3</v>
      </c>
      <c r="E158" s="243">
        <v>1</v>
      </c>
      <c r="F158" s="235"/>
      <c r="G158" s="237"/>
    </row>
    <row r="159" spans="2:7" ht="79.5" customHeight="1" x14ac:dyDescent="0.25">
      <c r="B159" s="245" t="s">
        <v>491</v>
      </c>
      <c r="C159" s="244" t="s">
        <v>492</v>
      </c>
      <c r="D159" s="242" t="s">
        <v>3</v>
      </c>
      <c r="E159" s="243">
        <v>1</v>
      </c>
      <c r="F159" s="235"/>
      <c r="G159" s="237"/>
    </row>
    <row r="160" spans="2:7" ht="30" customHeight="1" x14ac:dyDescent="0.25">
      <c r="B160" s="246">
        <v>15.3</v>
      </c>
      <c r="C160" s="247" t="s">
        <v>493</v>
      </c>
      <c r="D160" s="246"/>
      <c r="E160" s="252"/>
      <c r="F160" s="239"/>
      <c r="G160" s="236"/>
    </row>
    <row r="161" spans="2:7" ht="30" customHeight="1" x14ac:dyDescent="0.25">
      <c r="B161" s="283" t="s">
        <v>494</v>
      </c>
      <c r="C161" s="244" t="s">
        <v>495</v>
      </c>
      <c r="D161" s="242" t="s">
        <v>13</v>
      </c>
      <c r="E161" s="243">
        <v>1.1000000000000001</v>
      </c>
      <c r="F161" s="235"/>
      <c r="G161" s="237"/>
    </row>
    <row r="162" spans="2:7" ht="60.75" customHeight="1" x14ac:dyDescent="0.25">
      <c r="B162" s="283" t="s">
        <v>496</v>
      </c>
      <c r="C162" s="244" t="s">
        <v>497</v>
      </c>
      <c r="D162" s="242" t="s">
        <v>13</v>
      </c>
      <c r="E162" s="243">
        <v>44</v>
      </c>
      <c r="F162" s="235"/>
      <c r="G162" s="237"/>
    </row>
    <row r="163" spans="2:7" ht="53.25" customHeight="1" x14ac:dyDescent="0.25">
      <c r="B163" s="283" t="s">
        <v>498</v>
      </c>
      <c r="C163" s="244" t="s">
        <v>499</v>
      </c>
      <c r="D163" s="242" t="s">
        <v>13</v>
      </c>
      <c r="E163" s="243">
        <v>15.299999999999999</v>
      </c>
      <c r="F163" s="235"/>
      <c r="G163" s="237"/>
    </row>
    <row r="164" spans="2:7" ht="55.5" customHeight="1" thickBot="1" x14ac:dyDescent="0.3">
      <c r="B164" s="283" t="s">
        <v>500</v>
      </c>
      <c r="C164" s="244" t="s">
        <v>501</v>
      </c>
      <c r="D164" s="242" t="s">
        <v>13</v>
      </c>
      <c r="E164" s="243">
        <v>17.200000000000003</v>
      </c>
      <c r="F164" s="235"/>
      <c r="G164" s="237"/>
    </row>
    <row r="165" spans="2:7" ht="55.5" customHeight="1" thickBot="1" x14ac:dyDescent="0.3">
      <c r="B165" s="268">
        <v>16</v>
      </c>
      <c r="C165" s="269" t="s">
        <v>502</v>
      </c>
      <c r="D165" s="271"/>
      <c r="E165" s="271"/>
      <c r="F165" s="233"/>
      <c r="G165" s="233"/>
    </row>
    <row r="166" spans="2:7" ht="55.5" customHeight="1" x14ac:dyDescent="0.25">
      <c r="B166" s="246">
        <v>16.100000000000001</v>
      </c>
      <c r="C166" s="247" t="s">
        <v>503</v>
      </c>
      <c r="D166" s="245"/>
      <c r="E166" s="243"/>
      <c r="F166" s="238"/>
      <c r="G166" s="237"/>
    </row>
    <row r="167" spans="2:7" ht="55.5" customHeight="1" x14ac:dyDescent="0.25">
      <c r="B167" s="245" t="s">
        <v>504</v>
      </c>
      <c r="C167" s="244" t="s">
        <v>505</v>
      </c>
      <c r="D167" s="242" t="s">
        <v>3</v>
      </c>
      <c r="E167" s="243">
        <v>2</v>
      </c>
      <c r="F167" s="235"/>
      <c r="G167" s="237"/>
    </row>
    <row r="168" spans="2:7" ht="55.5" customHeight="1" thickBot="1" x14ac:dyDescent="0.3">
      <c r="B168" s="245" t="s">
        <v>506</v>
      </c>
      <c r="C168" s="244" t="s">
        <v>507</v>
      </c>
      <c r="D168" s="242" t="s">
        <v>3</v>
      </c>
      <c r="E168" s="243">
        <v>2</v>
      </c>
      <c r="F168" s="235"/>
      <c r="G168" s="237"/>
    </row>
    <row r="169" spans="2:7" ht="55.5" customHeight="1" thickBot="1" x14ac:dyDescent="0.3">
      <c r="B169" s="270">
        <v>17</v>
      </c>
      <c r="C169" s="269" t="s">
        <v>508</v>
      </c>
      <c r="D169" s="271"/>
      <c r="E169" s="271"/>
      <c r="F169" s="233"/>
      <c r="G169" s="267"/>
    </row>
    <row r="170" spans="2:7" ht="55.5" customHeight="1" x14ac:dyDescent="0.25">
      <c r="B170" s="245">
        <v>17.100000000000001</v>
      </c>
      <c r="C170" s="244" t="s">
        <v>509</v>
      </c>
      <c r="D170" s="242" t="s">
        <v>278</v>
      </c>
      <c r="E170" s="243">
        <v>12.299999999999999</v>
      </c>
      <c r="F170" s="235"/>
      <c r="G170" s="237"/>
    </row>
    <row r="171" spans="2:7" ht="55.5" customHeight="1" thickBot="1" x14ac:dyDescent="0.3">
      <c r="B171" s="245">
        <v>17.2</v>
      </c>
      <c r="C171" s="244" t="s">
        <v>510</v>
      </c>
      <c r="D171" s="242" t="s">
        <v>3</v>
      </c>
      <c r="E171" s="243">
        <v>2</v>
      </c>
      <c r="F171" s="235"/>
      <c r="G171" s="237"/>
    </row>
    <row r="172" spans="2:7" ht="55.5" customHeight="1" thickBot="1" x14ac:dyDescent="0.3">
      <c r="B172" s="270">
        <v>18</v>
      </c>
      <c r="C172" s="269" t="s">
        <v>511</v>
      </c>
      <c r="D172" s="271"/>
      <c r="E172" s="271"/>
      <c r="F172" s="271"/>
      <c r="G172" s="267"/>
    </row>
    <row r="173" spans="2:7" ht="84.75" customHeight="1" x14ac:dyDescent="0.25">
      <c r="B173" s="284">
        <v>18.100000000000001</v>
      </c>
      <c r="C173" s="244" t="s">
        <v>512</v>
      </c>
      <c r="D173" s="242" t="s">
        <v>278</v>
      </c>
      <c r="E173" s="253">
        <v>16.2</v>
      </c>
      <c r="F173" s="242"/>
      <c r="G173" s="251"/>
    </row>
    <row r="174" spans="2:7" ht="80.25" customHeight="1" thickBot="1" x14ac:dyDescent="0.3">
      <c r="B174" s="284">
        <v>18.2</v>
      </c>
      <c r="C174" s="244" t="s">
        <v>513</v>
      </c>
      <c r="D174" s="242" t="s">
        <v>3</v>
      </c>
      <c r="E174" s="253">
        <v>1</v>
      </c>
      <c r="F174" s="242"/>
      <c r="G174" s="251"/>
    </row>
    <row r="175" spans="2:7" ht="55.5" customHeight="1" thickBot="1" x14ac:dyDescent="0.3">
      <c r="B175" s="270">
        <v>19</v>
      </c>
      <c r="C175" s="269" t="s">
        <v>514</v>
      </c>
      <c r="D175" s="271"/>
      <c r="E175" s="271"/>
      <c r="F175" s="233"/>
      <c r="G175" s="267"/>
    </row>
    <row r="176" spans="2:7" ht="55.5" customHeight="1" x14ac:dyDescent="0.25">
      <c r="B176" s="245">
        <v>19.100000000000001</v>
      </c>
      <c r="C176" s="244" t="s">
        <v>515</v>
      </c>
      <c r="D176" s="242" t="s">
        <v>3</v>
      </c>
      <c r="E176" s="253">
        <v>4</v>
      </c>
      <c r="F176" s="235"/>
      <c r="G176" s="251"/>
    </row>
    <row r="177" spans="2:8" ht="55.5" customHeight="1" thickBot="1" x14ac:dyDescent="0.3">
      <c r="B177" s="256">
        <v>19.2</v>
      </c>
      <c r="C177" s="254" t="s">
        <v>516</v>
      </c>
      <c r="D177" s="257" t="s">
        <v>3</v>
      </c>
      <c r="E177" s="291">
        <v>11</v>
      </c>
      <c r="F177" s="259"/>
      <c r="G177" s="298"/>
    </row>
    <row r="178" spans="2:8" ht="55.5" customHeight="1" thickBot="1" x14ac:dyDescent="0.3">
      <c r="B178" s="270">
        <v>20</v>
      </c>
      <c r="C178" s="269" t="s">
        <v>517</v>
      </c>
      <c r="D178" s="271"/>
      <c r="E178" s="271"/>
      <c r="F178" s="271"/>
      <c r="G178" s="285"/>
      <c r="H178" s="300"/>
    </row>
    <row r="179" spans="2:8" ht="55.5" customHeight="1" x14ac:dyDescent="0.25">
      <c r="B179" s="261">
        <v>20.100000000000001</v>
      </c>
      <c r="C179" s="299" t="s">
        <v>518</v>
      </c>
      <c r="D179" s="294"/>
      <c r="E179" s="295"/>
      <c r="F179" s="295"/>
      <c r="G179" s="295"/>
      <c r="H179" s="295"/>
    </row>
    <row r="180" spans="2:8" ht="79.5" customHeight="1" x14ac:dyDescent="0.25">
      <c r="B180" s="272" t="s">
        <v>519</v>
      </c>
      <c r="C180" s="249" t="s">
        <v>520</v>
      </c>
      <c r="D180" s="248" t="s">
        <v>3</v>
      </c>
      <c r="E180" s="253">
        <v>1</v>
      </c>
      <c r="F180" s="253"/>
      <c r="G180" s="253"/>
      <c r="H180" s="253"/>
    </row>
    <row r="181" spans="2:8" ht="55.5" customHeight="1" x14ac:dyDescent="0.25">
      <c r="B181" s="286">
        <v>20.2</v>
      </c>
      <c r="C181" s="287" t="s">
        <v>521</v>
      </c>
      <c r="D181" s="248"/>
      <c r="E181" s="253"/>
      <c r="F181" s="253"/>
      <c r="G181" s="253"/>
      <c r="H181" s="253"/>
    </row>
    <row r="182" spans="2:8" ht="55.5" customHeight="1" thickBot="1" x14ac:dyDescent="0.3">
      <c r="B182" s="288" t="s">
        <v>522</v>
      </c>
      <c r="C182" s="289" t="s">
        <v>523</v>
      </c>
      <c r="D182" s="290" t="s">
        <v>3</v>
      </c>
      <c r="E182" s="291">
        <v>2</v>
      </c>
      <c r="F182" s="291"/>
      <c r="G182" s="291"/>
      <c r="H182" s="291"/>
    </row>
    <row r="183" spans="2:8" ht="55.5" customHeight="1" thickBot="1" x14ac:dyDescent="0.3">
      <c r="B183" s="266">
        <v>21</v>
      </c>
      <c r="C183" s="232" t="s">
        <v>195</v>
      </c>
      <c r="D183" s="233"/>
      <c r="E183" s="233"/>
      <c r="F183" s="233"/>
      <c r="G183" s="267"/>
      <c r="H183" s="301"/>
    </row>
    <row r="184" spans="2:8" ht="55.5" customHeight="1" thickBot="1" x14ac:dyDescent="0.3">
      <c r="B184" s="264">
        <v>21.1</v>
      </c>
      <c r="C184" s="293" t="s">
        <v>524</v>
      </c>
      <c r="D184" s="292" t="s">
        <v>13</v>
      </c>
      <c r="E184" s="265">
        <v>438</v>
      </c>
      <c r="F184" s="292"/>
      <c r="G184" s="265"/>
    </row>
    <row r="185" spans="2:8" ht="55.5" customHeight="1" thickBot="1" x14ac:dyDescent="0.3">
      <c r="B185" s="270">
        <v>22</v>
      </c>
      <c r="C185" s="269" t="s">
        <v>525</v>
      </c>
      <c r="D185" s="271"/>
      <c r="E185" s="271"/>
      <c r="F185" s="271"/>
      <c r="G185" s="285"/>
    </row>
    <row r="186" spans="2:8" ht="30" customHeight="1" x14ac:dyDescent="0.25">
      <c r="B186" s="246">
        <v>22.1</v>
      </c>
      <c r="C186" s="247" t="s">
        <v>526</v>
      </c>
      <c r="D186" s="245"/>
      <c r="E186" s="243"/>
      <c r="F186" s="245"/>
      <c r="G186" s="243"/>
    </row>
    <row r="187" spans="2:8" ht="78" customHeight="1" x14ac:dyDescent="0.25">
      <c r="B187" s="245" t="s">
        <v>527</v>
      </c>
      <c r="C187" s="244" t="s">
        <v>528</v>
      </c>
      <c r="D187" s="242" t="s">
        <v>3</v>
      </c>
      <c r="E187" s="243">
        <v>1</v>
      </c>
      <c r="F187" s="242"/>
      <c r="G187" s="243"/>
    </row>
    <row r="188" spans="2:8" ht="30" customHeight="1" x14ac:dyDescent="0.25">
      <c r="B188" s="245" t="s">
        <v>529</v>
      </c>
      <c r="C188" s="244" t="s">
        <v>530</v>
      </c>
      <c r="D188" s="242" t="s">
        <v>13</v>
      </c>
      <c r="E188" s="243">
        <v>11.44</v>
      </c>
      <c r="F188" s="242"/>
      <c r="G188" s="243"/>
    </row>
    <row r="189" spans="2:8" ht="57.75" customHeight="1" x14ac:dyDescent="0.25">
      <c r="B189" s="245" t="s">
        <v>531</v>
      </c>
      <c r="C189" s="244" t="s">
        <v>532</v>
      </c>
      <c r="D189" s="242" t="s">
        <v>278</v>
      </c>
      <c r="E189" s="243">
        <v>18.48</v>
      </c>
      <c r="F189" s="242"/>
      <c r="G189" s="243"/>
    </row>
    <row r="190" spans="2:8" ht="60.75" customHeight="1" x14ac:dyDescent="0.25">
      <c r="B190" s="245" t="s">
        <v>533</v>
      </c>
      <c r="C190" s="244" t="s">
        <v>534</v>
      </c>
      <c r="D190" s="242" t="s">
        <v>278</v>
      </c>
      <c r="E190" s="243">
        <v>18.48</v>
      </c>
      <c r="F190" s="242"/>
      <c r="G190" s="243"/>
    </row>
    <row r="191" spans="2:8" ht="47.25" customHeight="1" x14ac:dyDescent="0.25">
      <c r="B191" s="245" t="s">
        <v>535</v>
      </c>
      <c r="C191" s="244" t="s">
        <v>536</v>
      </c>
      <c r="D191" s="242" t="s">
        <v>278</v>
      </c>
      <c r="E191" s="243">
        <v>19</v>
      </c>
      <c r="F191" s="242"/>
      <c r="G191" s="243"/>
    </row>
    <row r="192" spans="2:8" ht="30" customHeight="1" x14ac:dyDescent="0.25">
      <c r="B192" s="245" t="s">
        <v>537</v>
      </c>
      <c r="C192" s="244" t="s">
        <v>538</v>
      </c>
      <c r="D192" s="242" t="s">
        <v>278</v>
      </c>
      <c r="E192" s="243">
        <v>15.2</v>
      </c>
      <c r="F192" s="242"/>
      <c r="G192" s="243"/>
    </row>
    <row r="193" spans="2:7" ht="30" customHeight="1" x14ac:dyDescent="0.25">
      <c r="B193" s="245" t="s">
        <v>539</v>
      </c>
      <c r="C193" s="244" t="s">
        <v>540</v>
      </c>
      <c r="D193" s="242" t="s">
        <v>278</v>
      </c>
      <c r="E193" s="243">
        <v>3.2</v>
      </c>
      <c r="F193" s="242"/>
      <c r="G193" s="243"/>
    </row>
    <row r="194" spans="2:7" ht="54.75" customHeight="1" x14ac:dyDescent="0.25">
      <c r="B194" s="245" t="s">
        <v>541</v>
      </c>
      <c r="C194" s="244" t="s">
        <v>542</v>
      </c>
      <c r="D194" s="242" t="s">
        <v>278</v>
      </c>
      <c r="E194" s="243">
        <v>19</v>
      </c>
      <c r="F194" s="242"/>
      <c r="G194" s="243"/>
    </row>
    <row r="195" spans="2:7" ht="48" customHeight="1" x14ac:dyDescent="0.25">
      <c r="B195" s="245" t="s">
        <v>543</v>
      </c>
      <c r="C195" s="244" t="s">
        <v>544</v>
      </c>
      <c r="D195" s="242" t="s">
        <v>245</v>
      </c>
      <c r="E195" s="243">
        <v>0.2</v>
      </c>
      <c r="F195" s="242"/>
      <c r="G195" s="243"/>
    </row>
    <row r="196" spans="2:7" ht="30" customHeight="1" x14ac:dyDescent="0.25">
      <c r="B196" s="245" t="s">
        <v>545</v>
      </c>
      <c r="C196" s="244" t="s">
        <v>546</v>
      </c>
      <c r="D196" s="242" t="s">
        <v>3</v>
      </c>
      <c r="E196" s="243">
        <v>2</v>
      </c>
      <c r="F196" s="242"/>
      <c r="G196" s="243"/>
    </row>
    <row r="197" spans="2:7" ht="30" customHeight="1" x14ac:dyDescent="0.25">
      <c r="B197" s="245" t="s">
        <v>547</v>
      </c>
      <c r="C197" s="244" t="s">
        <v>548</v>
      </c>
      <c r="D197" s="242" t="s">
        <v>3</v>
      </c>
      <c r="E197" s="243">
        <v>1</v>
      </c>
      <c r="F197" s="242"/>
      <c r="G197" s="243"/>
    </row>
    <row r="198" spans="2:7" ht="65.25" customHeight="1" x14ac:dyDescent="0.25">
      <c r="B198" s="245" t="s">
        <v>549</v>
      </c>
      <c r="C198" s="244" t="s">
        <v>550</v>
      </c>
      <c r="D198" s="242" t="s">
        <v>3</v>
      </c>
      <c r="E198" s="243">
        <v>1</v>
      </c>
      <c r="F198" s="242"/>
      <c r="G198" s="243"/>
    </row>
    <row r="199" spans="2:7" ht="30" customHeight="1" x14ac:dyDescent="0.25">
      <c r="B199" s="246">
        <v>22.2</v>
      </c>
      <c r="C199" s="247" t="s">
        <v>551</v>
      </c>
      <c r="D199" s="246"/>
      <c r="E199" s="252"/>
      <c r="F199" s="246"/>
      <c r="G199" s="252"/>
    </row>
    <row r="200" spans="2:7" ht="30" customHeight="1" x14ac:dyDescent="0.25">
      <c r="B200" s="245" t="s">
        <v>552</v>
      </c>
      <c r="C200" s="244" t="s">
        <v>553</v>
      </c>
      <c r="D200" s="242" t="s">
        <v>278</v>
      </c>
      <c r="E200" s="243">
        <v>10</v>
      </c>
      <c r="F200" s="242"/>
      <c r="G200" s="243"/>
    </row>
    <row r="201" spans="2:7" ht="30" customHeight="1" x14ac:dyDescent="0.25">
      <c r="B201" s="245" t="s">
        <v>554</v>
      </c>
      <c r="C201" s="244" t="s">
        <v>555</v>
      </c>
      <c r="D201" s="242" t="s">
        <v>3</v>
      </c>
      <c r="E201" s="243">
        <v>4</v>
      </c>
      <c r="F201" s="242"/>
      <c r="G201" s="243"/>
    </row>
    <row r="202" spans="2:7" ht="30" customHeight="1" x14ac:dyDescent="0.25">
      <c r="B202" s="245" t="s">
        <v>556</v>
      </c>
      <c r="C202" s="244" t="s">
        <v>557</v>
      </c>
      <c r="D202" s="242" t="s">
        <v>3</v>
      </c>
      <c r="E202" s="243">
        <v>1</v>
      </c>
      <c r="F202" s="242"/>
      <c r="G202" s="243"/>
    </row>
    <row r="203" spans="2:7" ht="30" customHeight="1" x14ac:dyDescent="0.25">
      <c r="B203" s="245" t="s">
        <v>558</v>
      </c>
      <c r="C203" s="244" t="s">
        <v>559</v>
      </c>
      <c r="D203" s="242" t="s">
        <v>3</v>
      </c>
      <c r="E203" s="243">
        <v>1</v>
      </c>
      <c r="F203" s="242"/>
      <c r="G203" s="243"/>
    </row>
    <row r="204" spans="2:7" ht="30" customHeight="1" x14ac:dyDescent="0.25">
      <c r="B204" s="261">
        <v>22.3</v>
      </c>
      <c r="C204" s="255" t="s">
        <v>560</v>
      </c>
      <c r="D204" s="261"/>
      <c r="E204" s="302"/>
      <c r="F204" s="261"/>
      <c r="G204" s="302"/>
    </row>
    <row r="205" spans="2:7" ht="50.25" customHeight="1" x14ac:dyDescent="0.25">
      <c r="B205" s="245" t="s">
        <v>561</v>
      </c>
      <c r="C205" s="244" t="s">
        <v>562</v>
      </c>
      <c r="D205" s="242" t="s">
        <v>3</v>
      </c>
      <c r="E205" s="243">
        <v>1</v>
      </c>
      <c r="F205" s="242"/>
      <c r="G205" s="243"/>
    </row>
    <row r="206" spans="2:7" ht="30" customHeight="1" x14ac:dyDescent="0.25">
      <c r="B206" s="246">
        <v>23.1</v>
      </c>
      <c r="C206" s="247" t="s">
        <v>244</v>
      </c>
      <c r="D206" s="245"/>
      <c r="E206" s="243"/>
      <c r="F206" s="238"/>
      <c r="G206" s="237"/>
    </row>
    <row r="207" spans="2:7" ht="63.75" customHeight="1" x14ac:dyDescent="0.25">
      <c r="B207" s="245" t="s">
        <v>563</v>
      </c>
      <c r="C207" s="244" t="s">
        <v>564</v>
      </c>
      <c r="D207" s="242" t="s">
        <v>3</v>
      </c>
      <c r="E207" s="304">
        <v>7</v>
      </c>
      <c r="F207" s="235"/>
      <c r="G207" s="303"/>
    </row>
    <row r="208" spans="2:7" ht="60.75" customHeight="1" x14ac:dyDescent="0.25">
      <c r="B208" s="245" t="s">
        <v>565</v>
      </c>
      <c r="C208" s="244" t="s">
        <v>566</v>
      </c>
      <c r="D208" s="242" t="s">
        <v>24</v>
      </c>
      <c r="E208" s="304">
        <v>1000</v>
      </c>
      <c r="F208" s="235"/>
      <c r="G208" s="303"/>
    </row>
    <row r="209" spans="2:7" ht="55.5" customHeight="1" x14ac:dyDescent="0.25">
      <c r="B209" s="245" t="s">
        <v>567</v>
      </c>
      <c r="C209" s="244" t="s">
        <v>568</v>
      </c>
      <c r="D209" s="242" t="s">
        <v>3</v>
      </c>
      <c r="E209" s="304">
        <v>10</v>
      </c>
      <c r="F209" s="235"/>
      <c r="G209" s="303"/>
    </row>
    <row r="210" spans="2:7" ht="30" customHeight="1" x14ac:dyDescent="0.25">
      <c r="B210" s="246">
        <v>23.2</v>
      </c>
      <c r="C210" s="247" t="s">
        <v>569</v>
      </c>
      <c r="D210" s="246"/>
      <c r="E210" s="252"/>
      <c r="F210" s="239"/>
      <c r="G210" s="236"/>
    </row>
    <row r="211" spans="2:7" ht="46.5" customHeight="1" x14ac:dyDescent="0.25">
      <c r="B211" s="245" t="s">
        <v>570</v>
      </c>
      <c r="C211" s="244" t="s">
        <v>571</v>
      </c>
      <c r="D211" s="242" t="s">
        <v>24</v>
      </c>
      <c r="E211" s="243">
        <v>87</v>
      </c>
      <c r="F211" s="235"/>
      <c r="G211" s="237"/>
    </row>
    <row r="212" spans="2:7" ht="108" customHeight="1" x14ac:dyDescent="0.25">
      <c r="B212" s="245" t="s">
        <v>572</v>
      </c>
      <c r="C212" s="244" t="s">
        <v>573</v>
      </c>
      <c r="D212" s="242" t="s">
        <v>24</v>
      </c>
      <c r="E212" s="243">
        <v>20</v>
      </c>
      <c r="F212" s="235"/>
      <c r="G212" s="237"/>
    </row>
    <row r="213" spans="2:7" ht="50.25" customHeight="1" x14ac:dyDescent="0.25">
      <c r="B213" s="245" t="s">
        <v>574</v>
      </c>
      <c r="C213" s="244" t="s">
        <v>575</v>
      </c>
      <c r="D213" s="242" t="s">
        <v>24</v>
      </c>
      <c r="E213" s="243">
        <v>100</v>
      </c>
      <c r="F213" s="235"/>
      <c r="G213" s="237"/>
    </row>
    <row r="214" spans="2:7" ht="30" customHeight="1" x14ac:dyDescent="0.25">
      <c r="B214" s="261">
        <v>23.3</v>
      </c>
      <c r="C214" s="255" t="s">
        <v>576</v>
      </c>
      <c r="D214" s="261"/>
      <c r="E214" s="302"/>
      <c r="F214" s="296"/>
      <c r="G214" s="297"/>
    </row>
    <row r="215" spans="2:7" ht="75.75" customHeight="1" x14ac:dyDescent="0.25">
      <c r="B215" s="245" t="s">
        <v>577</v>
      </c>
      <c r="C215" s="244" t="s">
        <v>578</v>
      </c>
      <c r="D215" s="242" t="s">
        <v>24</v>
      </c>
      <c r="E215" s="243">
        <v>87</v>
      </c>
      <c r="F215" s="235"/>
      <c r="G215" s="237"/>
    </row>
    <row r="216" spans="2:7" ht="63" customHeight="1" x14ac:dyDescent="0.25">
      <c r="B216" s="245" t="s">
        <v>579</v>
      </c>
      <c r="C216" s="244" t="s">
        <v>580</v>
      </c>
      <c r="D216" s="242" t="s">
        <v>24</v>
      </c>
      <c r="E216" s="243">
        <v>100</v>
      </c>
      <c r="F216" s="235"/>
      <c r="G216" s="237"/>
    </row>
    <row r="217" spans="2:7" ht="30" customHeight="1" x14ac:dyDescent="0.25">
      <c r="B217" s="246">
        <v>23.4</v>
      </c>
      <c r="C217" s="247" t="s">
        <v>581</v>
      </c>
      <c r="D217" s="245"/>
      <c r="E217" s="243"/>
      <c r="F217" s="238"/>
      <c r="G217" s="237"/>
    </row>
    <row r="218" spans="2:7" ht="78.75" customHeight="1" x14ac:dyDescent="0.25">
      <c r="B218" s="245" t="s">
        <v>582</v>
      </c>
      <c r="C218" s="244" t="s">
        <v>583</v>
      </c>
      <c r="D218" s="242" t="s">
        <v>3</v>
      </c>
      <c r="E218" s="304">
        <v>1</v>
      </c>
      <c r="F218" s="235"/>
      <c r="G218" s="303"/>
    </row>
    <row r="219" spans="2:7" ht="70.5" customHeight="1" x14ac:dyDescent="0.25">
      <c r="B219" s="245" t="s">
        <v>584</v>
      </c>
      <c r="C219" s="244" t="s">
        <v>585</v>
      </c>
      <c r="D219" s="242" t="s">
        <v>3</v>
      </c>
      <c r="E219" s="304">
        <v>1</v>
      </c>
      <c r="F219" s="235"/>
      <c r="G219" s="303"/>
    </row>
    <row r="220" spans="2:7" ht="93.75" customHeight="1" x14ac:dyDescent="0.25">
      <c r="B220" s="245" t="s">
        <v>586</v>
      </c>
      <c r="C220" s="244" t="s">
        <v>587</v>
      </c>
      <c r="D220" s="242" t="s">
        <v>3</v>
      </c>
      <c r="E220" s="304">
        <v>1</v>
      </c>
      <c r="F220" s="235"/>
      <c r="G220" s="303"/>
    </row>
    <row r="221" spans="2:7" ht="67.5" customHeight="1" x14ac:dyDescent="0.25">
      <c r="B221" s="245" t="s">
        <v>588</v>
      </c>
      <c r="C221" s="244" t="s">
        <v>589</v>
      </c>
      <c r="D221" s="242" t="s">
        <v>3</v>
      </c>
      <c r="E221" s="304">
        <v>1</v>
      </c>
      <c r="F221" s="235"/>
      <c r="G221" s="303"/>
    </row>
    <row r="222" spans="2:7" ht="66" customHeight="1" x14ac:dyDescent="0.25">
      <c r="B222" s="245" t="s">
        <v>590</v>
      </c>
      <c r="C222" s="244" t="s">
        <v>591</v>
      </c>
      <c r="D222" s="242" t="s">
        <v>3</v>
      </c>
      <c r="E222" s="304">
        <v>3</v>
      </c>
      <c r="F222" s="235"/>
      <c r="G222" s="303"/>
    </row>
    <row r="223" spans="2:7" ht="63.75" customHeight="1" x14ac:dyDescent="0.25">
      <c r="B223" s="245" t="s">
        <v>592</v>
      </c>
      <c r="C223" s="244" t="s">
        <v>593</v>
      </c>
      <c r="D223" s="242" t="s">
        <v>3</v>
      </c>
      <c r="E223" s="304">
        <v>8</v>
      </c>
      <c r="F223" s="235"/>
      <c r="G223" s="303"/>
    </row>
    <row r="224" spans="2:7" ht="57" customHeight="1" x14ac:dyDescent="0.25">
      <c r="B224" s="245" t="s">
        <v>594</v>
      </c>
      <c r="C224" s="244" t="s">
        <v>595</v>
      </c>
      <c r="D224" s="242" t="s">
        <v>3</v>
      </c>
      <c r="E224" s="304">
        <v>8</v>
      </c>
      <c r="F224" s="235"/>
      <c r="G224" s="303"/>
    </row>
    <row r="225" spans="2:7" ht="86.25" customHeight="1" x14ac:dyDescent="0.25">
      <c r="B225" s="245" t="s">
        <v>596</v>
      </c>
      <c r="C225" s="244" t="s">
        <v>597</v>
      </c>
      <c r="D225" s="242" t="s">
        <v>3</v>
      </c>
      <c r="E225" s="304">
        <v>1</v>
      </c>
      <c r="F225" s="235"/>
      <c r="G225" s="303"/>
    </row>
    <row r="226" spans="2:7" ht="30" customHeight="1" x14ac:dyDescent="0.25">
      <c r="B226" s="246">
        <v>23.5</v>
      </c>
      <c r="C226" s="247" t="s">
        <v>598</v>
      </c>
      <c r="D226" s="245"/>
      <c r="E226" s="243"/>
      <c r="F226" s="238"/>
      <c r="G226" s="237"/>
    </row>
    <row r="227" spans="2:7" ht="111.75" customHeight="1" x14ac:dyDescent="0.25">
      <c r="B227" s="245" t="s">
        <v>599</v>
      </c>
      <c r="C227" s="244" t="s">
        <v>600</v>
      </c>
      <c r="D227" s="242" t="s">
        <v>3</v>
      </c>
      <c r="E227" s="304">
        <v>5</v>
      </c>
      <c r="F227" s="235"/>
      <c r="G227" s="303"/>
    </row>
    <row r="228" spans="2:7" ht="107.25" customHeight="1" x14ac:dyDescent="0.25">
      <c r="B228" s="245" t="s">
        <v>601</v>
      </c>
      <c r="C228" s="244" t="s">
        <v>602</v>
      </c>
      <c r="D228" s="242" t="s">
        <v>3</v>
      </c>
      <c r="E228" s="304">
        <v>47</v>
      </c>
      <c r="F228" s="235"/>
      <c r="G228" s="303"/>
    </row>
    <row r="229" spans="2:7" ht="120" customHeight="1" x14ac:dyDescent="0.25">
      <c r="B229" s="245" t="s">
        <v>603</v>
      </c>
      <c r="C229" s="244" t="s">
        <v>604</v>
      </c>
      <c r="D229" s="242" t="s">
        <v>3</v>
      </c>
      <c r="E229" s="304">
        <v>3</v>
      </c>
      <c r="F229" s="235"/>
      <c r="G229" s="303"/>
    </row>
    <row r="230" spans="2:7" ht="102" customHeight="1" x14ac:dyDescent="0.25">
      <c r="B230" s="245" t="s">
        <v>605</v>
      </c>
      <c r="C230" s="244" t="s">
        <v>606</v>
      </c>
      <c r="D230" s="242" t="s">
        <v>3</v>
      </c>
      <c r="E230" s="304">
        <v>16</v>
      </c>
      <c r="F230" s="235"/>
      <c r="G230" s="303"/>
    </row>
    <row r="231" spans="2:7" ht="97.5" customHeight="1" x14ac:dyDescent="0.25">
      <c r="B231" s="245" t="s">
        <v>607</v>
      </c>
      <c r="C231" s="244" t="s">
        <v>608</v>
      </c>
      <c r="D231" s="242" t="s">
        <v>3</v>
      </c>
      <c r="E231" s="304">
        <v>2</v>
      </c>
      <c r="F231" s="235"/>
      <c r="G231" s="303"/>
    </row>
    <row r="232" spans="2:7" ht="106.5" customHeight="1" x14ac:dyDescent="0.25">
      <c r="B232" s="245" t="s">
        <v>609</v>
      </c>
      <c r="C232" s="244" t="s">
        <v>610</v>
      </c>
      <c r="D232" s="242" t="s">
        <v>3</v>
      </c>
      <c r="E232" s="304">
        <v>35</v>
      </c>
      <c r="F232" s="235"/>
      <c r="G232" s="303"/>
    </row>
    <row r="233" spans="2:7" ht="135.75" customHeight="1" x14ac:dyDescent="0.25">
      <c r="B233" s="245" t="s">
        <v>611</v>
      </c>
      <c r="C233" s="244" t="s">
        <v>612</v>
      </c>
      <c r="D233" s="242" t="s">
        <v>3</v>
      </c>
      <c r="E233" s="304">
        <v>4</v>
      </c>
      <c r="F233" s="235"/>
      <c r="G233" s="303"/>
    </row>
    <row r="234" spans="2:7" ht="190.5" customHeight="1" x14ac:dyDescent="0.25">
      <c r="B234" s="245" t="s">
        <v>613</v>
      </c>
      <c r="C234" s="244" t="s">
        <v>614</v>
      </c>
      <c r="D234" s="242" t="s">
        <v>3</v>
      </c>
      <c r="E234" s="304">
        <v>7</v>
      </c>
      <c r="F234" s="235"/>
      <c r="G234" s="303"/>
    </row>
    <row r="235" spans="2:7" ht="175.5" customHeight="1" x14ac:dyDescent="0.25">
      <c r="B235" s="245" t="s">
        <v>615</v>
      </c>
      <c r="C235" s="244" t="s">
        <v>616</v>
      </c>
      <c r="D235" s="242" t="s">
        <v>3</v>
      </c>
      <c r="E235" s="304">
        <v>23</v>
      </c>
      <c r="F235" s="235"/>
      <c r="G235" s="303"/>
    </row>
    <row r="236" spans="2:7" ht="126.75" customHeight="1" x14ac:dyDescent="0.25">
      <c r="B236" s="245" t="s">
        <v>617</v>
      </c>
      <c r="C236" s="244" t="s">
        <v>618</v>
      </c>
      <c r="D236" s="242" t="s">
        <v>3</v>
      </c>
      <c r="E236" s="304">
        <v>1</v>
      </c>
      <c r="F236" s="235"/>
      <c r="G236" s="303"/>
    </row>
    <row r="237" spans="2:7" ht="15" x14ac:dyDescent="0.25">
      <c r="B237" s="246">
        <v>23.6</v>
      </c>
      <c r="C237" s="247" t="s">
        <v>619</v>
      </c>
      <c r="D237" s="246"/>
      <c r="E237" s="252"/>
      <c r="F237" s="239"/>
      <c r="G237" s="236"/>
    </row>
    <row r="238" spans="2:7" ht="109.5" customHeight="1" x14ac:dyDescent="0.25">
      <c r="B238" s="245" t="s">
        <v>620</v>
      </c>
      <c r="C238" s="244" t="s">
        <v>621</v>
      </c>
      <c r="D238" s="242" t="s">
        <v>3</v>
      </c>
      <c r="E238" s="243">
        <v>4</v>
      </c>
      <c r="F238" s="235"/>
      <c r="G238" s="237"/>
    </row>
    <row r="239" spans="2:7" ht="34.5" customHeight="1" x14ac:dyDescent="0.25">
      <c r="B239" s="245" t="s">
        <v>622</v>
      </c>
      <c r="C239" s="244" t="s">
        <v>623</v>
      </c>
      <c r="D239" s="242" t="s">
        <v>3</v>
      </c>
      <c r="E239" s="243">
        <v>4</v>
      </c>
      <c r="F239" s="235"/>
      <c r="G239" s="237"/>
    </row>
    <row r="240" spans="2:7" ht="34.5" customHeight="1" x14ac:dyDescent="0.25">
      <c r="B240" s="326" t="s">
        <v>75</v>
      </c>
      <c r="C240" s="327"/>
      <c r="D240" s="327"/>
      <c r="E240" s="327"/>
      <c r="F240" s="327"/>
      <c r="G240" s="328"/>
    </row>
    <row r="241" spans="2:13" ht="34.5" customHeight="1" x14ac:dyDescent="0.25">
      <c r="B241" s="200"/>
      <c r="C241" s="203" t="s">
        <v>82</v>
      </c>
      <c r="D241" s="218"/>
      <c r="E241" s="357"/>
      <c r="F241" s="358"/>
      <c r="G241" s="217"/>
    </row>
    <row r="242" spans="2:13" ht="13.5" x14ac:dyDescent="0.25">
      <c r="B242" s="200"/>
      <c r="C242" s="203" t="s">
        <v>83</v>
      </c>
      <c r="D242" s="218"/>
      <c r="E242" s="359"/>
      <c r="F242" s="360"/>
      <c r="G242" s="201"/>
    </row>
    <row r="243" spans="2:13" ht="13.5" x14ac:dyDescent="0.25">
      <c r="B243" s="200"/>
      <c r="C243" s="203" t="s">
        <v>84</v>
      </c>
      <c r="D243" s="218"/>
      <c r="E243" s="357"/>
      <c r="F243" s="358"/>
      <c r="G243" s="201"/>
    </row>
    <row r="244" spans="2:13" ht="13.5" x14ac:dyDescent="0.25">
      <c r="B244" s="200"/>
      <c r="C244" s="203" t="s">
        <v>85</v>
      </c>
      <c r="D244" s="218"/>
      <c r="E244" s="357"/>
      <c r="F244" s="358"/>
      <c r="G244" s="201"/>
    </row>
    <row r="245" spans="2:13" ht="13.5" x14ac:dyDescent="0.25">
      <c r="B245" s="224"/>
      <c r="C245" s="326" t="s">
        <v>81</v>
      </c>
      <c r="D245" s="327"/>
      <c r="E245" s="327"/>
      <c r="F245" s="328"/>
      <c r="G245" s="225"/>
    </row>
    <row r="246" spans="2:13" ht="36.75" customHeight="1" x14ac:dyDescent="0.25">
      <c r="B246" s="202" t="s">
        <v>208</v>
      </c>
      <c r="C246" s="223" t="s">
        <v>234</v>
      </c>
      <c r="D246" s="202"/>
      <c r="E246" s="348"/>
      <c r="F246" s="349"/>
    </row>
    <row r="247" spans="2:13" ht="13.5" x14ac:dyDescent="0.25">
      <c r="B247" s="350" t="s">
        <v>235</v>
      </c>
      <c r="C247" s="351"/>
      <c r="D247" s="351"/>
      <c r="E247" s="351"/>
      <c r="F247" s="352"/>
    </row>
    <row r="248" spans="2:13" ht="371.45" customHeight="1" x14ac:dyDescent="0.25">
      <c r="B248" s="326" t="s">
        <v>624</v>
      </c>
      <c r="C248" s="327"/>
      <c r="D248" s="327"/>
      <c r="E248" s="327"/>
      <c r="F248" s="327"/>
      <c r="G248" s="328"/>
    </row>
    <row r="249" spans="2:13" ht="13.5" customHeight="1" x14ac:dyDescent="0.25">
      <c r="B249" s="204"/>
      <c r="C249" s="204"/>
      <c r="D249" s="204"/>
      <c r="E249" s="204"/>
      <c r="F249" s="204"/>
    </row>
    <row r="250" spans="2:13" x14ac:dyDescent="0.25">
      <c r="I250" s="195"/>
      <c r="J250" s="195"/>
      <c r="K250" s="195"/>
      <c r="L250" s="195"/>
      <c r="M250" s="195"/>
    </row>
    <row r="251" spans="2:13" ht="15" customHeight="1" x14ac:dyDescent="0.25"/>
    <row r="252" spans="2:13" ht="24.75" customHeight="1" x14ac:dyDescent="0.25">
      <c r="H252" s="205"/>
    </row>
    <row r="253" spans="2:13" ht="39" customHeight="1" x14ac:dyDescent="0.25">
      <c r="H253" s="206"/>
    </row>
    <row r="254" spans="2:13" ht="15" customHeight="1" x14ac:dyDescent="0.25">
      <c r="H254" s="207"/>
    </row>
    <row r="255" spans="2:13" x14ac:dyDescent="0.25">
      <c r="H255" s="207"/>
    </row>
    <row r="256" spans="2:13" x14ac:dyDescent="0.25">
      <c r="H256" s="205"/>
    </row>
    <row r="257" spans="8:8" x14ac:dyDescent="0.25">
      <c r="H257" s="205"/>
    </row>
    <row r="258" spans="8:8" x14ac:dyDescent="0.25">
      <c r="H258" s="205"/>
    </row>
    <row r="259" spans="8:8" ht="15" customHeight="1" x14ac:dyDescent="0.25">
      <c r="H259" s="205"/>
    </row>
    <row r="260" spans="8:8" ht="15" customHeight="1" x14ac:dyDescent="0.25">
      <c r="H260" s="206"/>
    </row>
    <row r="261" spans="8:8" ht="15" customHeight="1" x14ac:dyDescent="0.25">
      <c r="H261" s="208"/>
    </row>
    <row r="262" spans="8:8" ht="15" customHeight="1" x14ac:dyDescent="0.25">
      <c r="H262" s="205"/>
    </row>
    <row r="263" spans="8:8" ht="15" customHeight="1" x14ac:dyDescent="0.25">
      <c r="H263" s="205"/>
    </row>
    <row r="264" spans="8:8" ht="15" customHeight="1" x14ac:dyDescent="0.25">
      <c r="H264" s="205"/>
    </row>
    <row r="265" spans="8:8" x14ac:dyDescent="0.25">
      <c r="H265" s="206"/>
    </row>
    <row r="266" spans="8:8" x14ac:dyDescent="0.25">
      <c r="H266" s="206"/>
    </row>
    <row r="267" spans="8:8" x14ac:dyDescent="0.25">
      <c r="H267" s="209"/>
    </row>
    <row r="269" spans="8:8" x14ac:dyDescent="0.25">
      <c r="H269" s="210"/>
    </row>
  </sheetData>
  <protectedRanges>
    <protectedRange sqref="G9:G10" name="Rango1_1"/>
    <protectedRange sqref="F15:F177 D16:D31 D35:D40 D43:D44 D47:D50 G49 G57 E58:E59 C49:C59 D57 E51:E56 D60:D97 D100:D112 F183:F236 D114:D236" name="Rango4_1_1"/>
    <protectedRange sqref="D241:D243" name="Rango3_1_1"/>
  </protectedRanges>
  <mergeCells count="17">
    <mergeCell ref="E244:F244"/>
    <mergeCell ref="B248:G248"/>
    <mergeCell ref="B2:G3"/>
    <mergeCell ref="B6:G7"/>
    <mergeCell ref="B8:F8"/>
    <mergeCell ref="B9:F9"/>
    <mergeCell ref="B10:F10"/>
    <mergeCell ref="B5:G5"/>
    <mergeCell ref="C245:F245"/>
    <mergeCell ref="E246:F246"/>
    <mergeCell ref="B247:F247"/>
    <mergeCell ref="C11:F11"/>
    <mergeCell ref="B12:G13"/>
    <mergeCell ref="E241:F241"/>
    <mergeCell ref="E242:F242"/>
    <mergeCell ref="B240:G240"/>
    <mergeCell ref="E243:F243"/>
  </mergeCells>
  <pageMargins left="0.70866141732283472" right="0.70866141732283472" top="0.74803149606299213" bottom="0.74803149606299213" header="0.31496062992125984" footer="0.31496062992125984"/>
  <pageSetup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"/>
  <sheetViews>
    <sheetView workbookViewId="0">
      <selection activeCell="E6" sqref="E6"/>
    </sheetView>
  </sheetViews>
  <sheetFormatPr baseColWidth="10" defaultRowHeight="15" x14ac:dyDescent="0.25"/>
  <cols>
    <col min="1" max="1" width="6.140625" customWidth="1"/>
    <col min="2" max="2" width="33.140625" customWidth="1"/>
    <col min="3" max="3" width="23.42578125" customWidth="1"/>
    <col min="4" max="4" width="17.85546875" customWidth="1"/>
    <col min="5" max="5" width="18.28515625" customWidth="1"/>
    <col min="8" max="8" width="13.140625" bestFit="1" customWidth="1"/>
  </cols>
  <sheetData>
    <row r="2" spans="1:7" ht="24.75" customHeight="1" x14ac:dyDescent="0.25">
      <c r="A2" s="361" t="s">
        <v>213</v>
      </c>
      <c r="B2" s="361"/>
      <c r="C2" s="361"/>
      <c r="D2" s="361"/>
      <c r="E2" s="361"/>
    </row>
    <row r="3" spans="1:7" ht="48.75" customHeight="1" x14ac:dyDescent="0.25">
      <c r="A3" s="361"/>
      <c r="B3" s="361"/>
      <c r="C3" s="361"/>
      <c r="D3" s="361"/>
      <c r="E3" s="361"/>
    </row>
    <row r="5" spans="1:7" ht="43.5" customHeight="1" x14ac:dyDescent="0.25">
      <c r="A5" s="211" t="s">
        <v>88</v>
      </c>
      <c r="B5" s="211" t="s">
        <v>89</v>
      </c>
      <c r="C5" s="211" t="s">
        <v>209</v>
      </c>
      <c r="D5" s="211" t="s">
        <v>238</v>
      </c>
      <c r="E5" s="211" t="s">
        <v>239</v>
      </c>
    </row>
    <row r="6" spans="1:7" ht="59.25" customHeight="1" x14ac:dyDescent="0.25">
      <c r="A6" s="212" t="s">
        <v>69</v>
      </c>
      <c r="B6" s="213" t="s">
        <v>236</v>
      </c>
      <c r="C6" s="109"/>
      <c r="D6" s="109"/>
      <c r="E6" s="109"/>
    </row>
    <row r="7" spans="1:7" ht="51" customHeight="1" x14ac:dyDescent="0.25">
      <c r="A7" s="212" t="s">
        <v>210</v>
      </c>
      <c r="B7" s="213" t="s">
        <v>237</v>
      </c>
      <c r="C7" s="214"/>
      <c r="D7" s="109"/>
      <c r="E7" s="109"/>
    </row>
    <row r="8" spans="1:7" ht="29.25" customHeight="1" x14ac:dyDescent="0.25">
      <c r="A8" s="215" t="s">
        <v>211</v>
      </c>
      <c r="B8" s="362" t="s">
        <v>212</v>
      </c>
      <c r="C8" s="363"/>
      <c r="D8" s="364"/>
      <c r="E8" s="216"/>
      <c r="G8" s="114"/>
    </row>
  </sheetData>
  <protectedRanges>
    <protectedRange sqref="C6:C7" name="Rango1"/>
  </protectedRanges>
  <mergeCells count="2">
    <mergeCell ref="A2:E3"/>
    <mergeCell ref="B8:D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D10" sqref="D10"/>
    </sheetView>
  </sheetViews>
  <sheetFormatPr baseColWidth="10" defaultRowHeight="15" x14ac:dyDescent="0.25"/>
  <cols>
    <col min="1" max="1" width="51.140625" customWidth="1"/>
    <col min="2" max="2" width="27" customWidth="1"/>
    <col min="3" max="3" width="16.42578125" bestFit="1" customWidth="1"/>
    <col min="4" max="4" width="17" customWidth="1"/>
    <col min="5" max="5" width="15.42578125" customWidth="1"/>
    <col min="6" max="6" width="16.28515625" customWidth="1"/>
  </cols>
  <sheetData>
    <row r="1" spans="1:6" x14ac:dyDescent="0.25">
      <c r="A1" s="211" t="s">
        <v>2</v>
      </c>
      <c r="B1" s="211" t="s">
        <v>221</v>
      </c>
    </row>
    <row r="2" spans="1:6" x14ac:dyDescent="0.25">
      <c r="A2" s="212" t="s">
        <v>219</v>
      </c>
      <c r="B2" s="214">
        <v>1069148147</v>
      </c>
    </row>
    <row r="3" spans="1:6" x14ac:dyDescent="0.25">
      <c r="A3" s="212" t="s">
        <v>220</v>
      </c>
      <c r="B3" s="214">
        <v>126206000</v>
      </c>
    </row>
    <row r="4" spans="1:6" x14ac:dyDescent="0.25">
      <c r="A4" s="212" t="s">
        <v>222</v>
      </c>
      <c r="B4" s="221">
        <f>+B2+B3</f>
        <v>1195354147</v>
      </c>
    </row>
    <row r="6" spans="1:6" ht="24" customHeight="1" x14ac:dyDescent="0.25">
      <c r="A6" s="211" t="s">
        <v>214</v>
      </c>
      <c r="B6" s="211" t="s">
        <v>223</v>
      </c>
      <c r="C6" s="211" t="s">
        <v>215</v>
      </c>
    </row>
    <row r="7" spans="1:6" ht="27" x14ac:dyDescent="0.25">
      <c r="A7" s="212" t="s">
        <v>218</v>
      </c>
      <c r="B7" s="220">
        <v>893893675</v>
      </c>
      <c r="C7" s="220">
        <v>893893675.20000005</v>
      </c>
    </row>
    <row r="8" spans="1:6" x14ac:dyDescent="0.25">
      <c r="A8" s="212" t="s">
        <v>216</v>
      </c>
      <c r="B8" s="214">
        <v>234694428</v>
      </c>
      <c r="C8" s="214">
        <v>234694428</v>
      </c>
    </row>
    <row r="9" spans="1:6" ht="27" x14ac:dyDescent="0.25">
      <c r="A9" s="212" t="s">
        <v>217</v>
      </c>
      <c r="B9" s="214">
        <v>66766044</v>
      </c>
      <c r="C9" s="214">
        <v>84634756</v>
      </c>
    </row>
    <row r="10" spans="1:6" x14ac:dyDescent="0.25">
      <c r="A10" s="212" t="s">
        <v>224</v>
      </c>
      <c r="B10" s="221">
        <f>+B7+B8+B9</f>
        <v>1195354147</v>
      </c>
      <c r="C10" s="219"/>
      <c r="D10" s="219"/>
    </row>
    <row r="14" spans="1:6" x14ac:dyDescent="0.25">
      <c r="A14" s="365" t="s">
        <v>2</v>
      </c>
      <c r="B14" s="365" t="s">
        <v>225</v>
      </c>
      <c r="C14" s="365" t="s">
        <v>226</v>
      </c>
      <c r="D14" s="365"/>
      <c r="E14" s="365"/>
      <c r="F14" s="365" t="s">
        <v>227</v>
      </c>
    </row>
    <row r="15" spans="1:6" ht="44.25" customHeight="1" x14ac:dyDescent="0.25">
      <c r="A15" s="365"/>
      <c r="B15" s="365"/>
      <c r="C15" s="222" t="s">
        <v>228</v>
      </c>
      <c r="D15" s="222" t="s">
        <v>229</v>
      </c>
      <c r="E15" s="222" t="s">
        <v>230</v>
      </c>
      <c r="F15" s="365"/>
    </row>
    <row r="16" spans="1:6" x14ac:dyDescent="0.25">
      <c r="A16" s="212" t="s">
        <v>219</v>
      </c>
      <c r="B16" s="109">
        <v>1069148147</v>
      </c>
      <c r="C16" s="109">
        <v>234694428</v>
      </c>
      <c r="D16" s="109">
        <v>834453719</v>
      </c>
      <c r="E16" s="109"/>
      <c r="F16" s="109">
        <f>+C16+D16+E16</f>
        <v>1069148147</v>
      </c>
    </row>
    <row r="17" spans="1:6" x14ac:dyDescent="0.25">
      <c r="A17" s="212" t="s">
        <v>231</v>
      </c>
      <c r="B17" s="109">
        <v>126206000</v>
      </c>
      <c r="C17" s="109"/>
      <c r="D17" s="109">
        <v>59439956</v>
      </c>
      <c r="E17" s="109">
        <v>66766044</v>
      </c>
      <c r="F17" s="109">
        <f>+C17+D17+E17</f>
        <v>126206000</v>
      </c>
    </row>
    <row r="18" spans="1:6" x14ac:dyDescent="0.25">
      <c r="A18" s="211" t="s">
        <v>232</v>
      </c>
      <c r="B18" s="222">
        <v>1195354147</v>
      </c>
      <c r="C18" s="222">
        <f>SUM(C16:C17)</f>
        <v>234694428</v>
      </c>
      <c r="D18" s="222">
        <f t="shared" ref="D18:F18" si="0">SUM(D16:D17)</f>
        <v>893893675</v>
      </c>
      <c r="E18" s="222">
        <f t="shared" si="0"/>
        <v>66766044</v>
      </c>
      <c r="F18" s="222">
        <f t="shared" si="0"/>
        <v>1195354147</v>
      </c>
    </row>
  </sheetData>
  <protectedRanges>
    <protectedRange sqref="B7:C9" name="Rango1"/>
  </protectedRanges>
  <mergeCells count="4">
    <mergeCell ref="A14:A15"/>
    <mergeCell ref="B14:B15"/>
    <mergeCell ref="C14:E14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plazoleta ELV</vt:lpstr>
      <vt:lpstr>parqueadero ELV</vt:lpstr>
      <vt:lpstr>REV ELV</vt:lpstr>
      <vt:lpstr>Hoja1 luz</vt:lpstr>
      <vt:lpstr>Hoja2</vt:lpstr>
      <vt:lpstr>FORMATO 4 OBRA</vt:lpstr>
      <vt:lpstr>FORMAT 4 INTERV.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marly quiñones</cp:lastModifiedBy>
  <cp:lastPrinted>2020-01-29T15:05:04Z</cp:lastPrinted>
  <dcterms:created xsi:type="dcterms:W3CDTF">2019-10-07T15:03:41Z</dcterms:created>
  <dcterms:modified xsi:type="dcterms:W3CDTF">2022-04-09T02:23:54Z</dcterms:modified>
</cp:coreProperties>
</file>