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ESTUDIO LICITACIONES\A. CHARALA FINDETER NUEVO\"/>
    </mc:Choice>
  </mc:AlternateContent>
  <bookViews>
    <workbookView xWindow="0" yWindow="0" windowWidth="24000" windowHeight="9735"/>
  </bookViews>
  <sheets>
    <sheet name="SIM PROCESO CHARALA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K12" i="3"/>
  <c r="K10" i="3"/>
  <c r="K8" i="3"/>
  <c r="K26" i="3" s="1"/>
  <c r="K6" i="3"/>
  <c r="G33" i="3" s="1"/>
  <c r="G26" i="3" l="1"/>
  <c r="C31" i="3"/>
  <c r="S26" i="3"/>
  <c r="O28" i="3"/>
  <c r="K28" i="3"/>
  <c r="D20" i="3"/>
  <c r="D21" i="3" s="1"/>
  <c r="C27" i="3"/>
  <c r="C28" i="3"/>
  <c r="C29" i="3"/>
  <c r="C30" i="3"/>
  <c r="C32" i="3"/>
  <c r="C33" i="3"/>
  <c r="C26" i="3"/>
  <c r="D16" i="3"/>
  <c r="D17" i="3" s="1"/>
  <c r="E29" i="3" l="1"/>
  <c r="E27" i="3"/>
  <c r="S31" i="3"/>
  <c r="G31" i="3"/>
  <c r="I31" i="3" s="1"/>
  <c r="U31" i="3"/>
  <c r="K31" i="3"/>
  <c r="O31" i="3"/>
  <c r="O29" i="3"/>
  <c r="O32" i="3"/>
  <c r="O27" i="3"/>
  <c r="O26" i="3"/>
  <c r="O33" i="3"/>
  <c r="O30" i="3"/>
  <c r="K33" i="3"/>
  <c r="M33" i="3" s="1"/>
  <c r="K32" i="3"/>
  <c r="M32" i="3" s="1"/>
  <c r="K27" i="3"/>
  <c r="M27" i="3" s="1"/>
  <c r="K30" i="3"/>
  <c r="K29" i="3"/>
  <c r="M29" i="3" s="1"/>
  <c r="G32" i="3"/>
  <c r="G29" i="3"/>
  <c r="G28" i="3"/>
  <c r="G27" i="3"/>
  <c r="G30" i="3"/>
  <c r="S29" i="3"/>
  <c r="S27" i="3"/>
  <c r="U27" i="3" s="1"/>
  <c r="S30" i="3"/>
  <c r="S28" i="3"/>
  <c r="S33" i="3"/>
  <c r="S32" i="3"/>
  <c r="D22" i="3"/>
  <c r="H26" i="3" l="1"/>
  <c r="P33" i="3"/>
  <c r="H33" i="3"/>
  <c r="Q26" i="3"/>
  <c r="P26" i="3"/>
  <c r="H31" i="3"/>
  <c r="T31" i="3"/>
  <c r="E31" i="3"/>
  <c r="P31" i="3"/>
  <c r="Q31" i="3"/>
  <c r="L31" i="3"/>
  <c r="M31" i="3"/>
  <c r="T27" i="3"/>
  <c r="T29" i="3"/>
  <c r="U29" i="3"/>
  <c r="I29" i="3"/>
  <c r="H29" i="3"/>
  <c r="H27" i="3"/>
  <c r="I27" i="3"/>
  <c r="Q29" i="3"/>
  <c r="P29" i="3"/>
  <c r="P27" i="3"/>
  <c r="Q27" i="3"/>
  <c r="I30" i="3"/>
  <c r="H30" i="3"/>
  <c r="I28" i="3"/>
  <c r="H28" i="3"/>
  <c r="M30" i="3"/>
  <c r="L30" i="3"/>
  <c r="L27" i="3"/>
  <c r="M28" i="3"/>
  <c r="L28" i="3"/>
  <c r="Q30" i="3"/>
  <c r="P30" i="3"/>
  <c r="Q28" i="3"/>
  <c r="P28" i="3"/>
  <c r="U30" i="3"/>
  <c r="T30" i="3"/>
  <c r="L29" i="3"/>
  <c r="E28" i="3"/>
  <c r="E30" i="3"/>
  <c r="U28" i="3"/>
  <c r="T28" i="3"/>
  <c r="T33" i="3"/>
  <c r="U33" i="3"/>
  <c r="P32" i="3"/>
  <c r="Q32" i="3"/>
  <c r="E32" i="3"/>
  <c r="E33" i="3"/>
  <c r="U32" i="3"/>
  <c r="T32" i="3"/>
  <c r="H32" i="3"/>
  <c r="I32" i="3"/>
  <c r="I33" i="3"/>
  <c r="L32" i="3"/>
  <c r="Q33" i="3"/>
  <c r="L33" i="3"/>
  <c r="I26" i="3"/>
  <c r="M26" i="3"/>
  <c r="L26" i="3"/>
  <c r="U26" i="3"/>
  <c r="T26" i="3"/>
  <c r="E26" i="3"/>
  <c r="J26" i="3" l="1"/>
  <c r="J31" i="3"/>
  <c r="V31" i="3"/>
  <c r="N31" i="3"/>
  <c r="R31" i="3"/>
  <c r="V32" i="3"/>
  <c r="V33" i="3"/>
  <c r="V29" i="3"/>
  <c r="V26" i="3"/>
  <c r="V30" i="3"/>
  <c r="V28" i="3"/>
  <c r="V27" i="3"/>
  <c r="N30" i="3"/>
  <c r="J30" i="3"/>
  <c r="J29" i="3"/>
  <c r="N28" i="3"/>
  <c r="R27" i="3"/>
  <c r="R29" i="3"/>
  <c r="N27" i="3"/>
  <c r="N29" i="3"/>
  <c r="R28" i="3"/>
  <c r="J27" i="3"/>
  <c r="J28" i="3"/>
  <c r="R30" i="3"/>
  <c r="R33" i="3"/>
  <c r="J33" i="3"/>
  <c r="N26" i="3"/>
  <c r="N32" i="3"/>
  <c r="J32" i="3"/>
  <c r="R32" i="3"/>
  <c r="N33" i="3"/>
  <c r="R26" i="3"/>
</calcChain>
</file>

<file path=xl/sharedStrings.xml><?xml version="1.0" encoding="utf-8"?>
<sst xmlns="http://schemas.openxmlformats.org/spreadsheetml/2006/main" count="49" uniqueCount="45">
  <si>
    <t>OFERENTES</t>
  </si>
  <si>
    <t>PTOS MEDIA ARITMETICA ALTA</t>
  </si>
  <si>
    <t>PTOS CON LA MEDIA GEOMETRICA</t>
  </si>
  <si>
    <t>PUNTOS</t>
  </si>
  <si>
    <t xml:space="preserve">SIMULACION EVALUACION ECONOMICA POR MAX </t>
  </si>
  <si>
    <t>PTOS POR MENOR VALOR</t>
  </si>
  <si>
    <t>MENOR VALOR</t>
  </si>
  <si>
    <t>ORDEN</t>
  </si>
  <si>
    <t xml:space="preserve">VALOR CORREGIDO DE OFERTA </t>
  </si>
  <si>
    <t>MEDIA GEOMETRICA SIN PRES OFICIAL</t>
  </si>
  <si>
    <t>PTOS EVAL 1</t>
  </si>
  <si>
    <t>TOTAL PUNTOS</t>
  </si>
  <si>
    <t>ORDEN DEF</t>
  </si>
  <si>
    <t>PRESUPUESTO OFICIAL</t>
  </si>
  <si>
    <t>NUMERO DE PROPUESTAS HABILES</t>
  </si>
  <si>
    <t>0RDEN DE MAYOR A MENOR</t>
  </si>
  <si>
    <t>NUMERO DE PROPUESTAS HABILES/2+1</t>
  </si>
  <si>
    <t>ORDEN2</t>
  </si>
  <si>
    <t>TOTAL PUNTOS3</t>
  </si>
  <si>
    <t>ORDEN DEF4</t>
  </si>
  <si>
    <t>ORDEN5</t>
  </si>
  <si>
    <t>TOTAL PUNTOS6</t>
  </si>
  <si>
    <t>ORDEN DEF7</t>
  </si>
  <si>
    <t>ORDEN8</t>
  </si>
  <si>
    <t>TOTAL PUNTOS9</t>
  </si>
  <si>
    <t>ORDEN DEF10</t>
  </si>
  <si>
    <t>DESVIACION ESTANDAR</t>
  </si>
  <si>
    <t>PROP BAJA TENIENDO EN CUENTA LA DESV ESTANDAR</t>
  </si>
  <si>
    <t>FACTORES A EVALUAR</t>
  </si>
  <si>
    <t>MEDIANA</t>
  </si>
  <si>
    <t>MEDIANA MENOS DESVIACION</t>
  </si>
  <si>
    <t>MEDIANA MAS DESVIACION</t>
  </si>
  <si>
    <t>LAS OFERTAS ARTIFICIALMENTE BAJAS LA ENTIDAD DEBE  RECHAZARLAS</t>
  </si>
  <si>
    <t>SIMULACION EVAL.  ECON.</t>
  </si>
  <si>
    <t>MEDIA ARITMETICA</t>
  </si>
  <si>
    <t>MEDIA ARITMETICA ALTA</t>
  </si>
  <si>
    <t>PTOS MEDIA ARITMETICA</t>
  </si>
  <si>
    <t>UNION TEMPORAL ALCANCATRILLADO CHARALA 2022</t>
  </si>
  <si>
    <t>CONSORCIO HIDROCONSTRUCCION 2022</t>
  </si>
  <si>
    <t>CONSORCIO LA LIBERTAD</t>
  </si>
  <si>
    <t>CONSORCIO SANTA MARTHA AM &amp; CIA</t>
  </si>
  <si>
    <t>CONSORCIO ALCANTARALA</t>
  </si>
  <si>
    <t>BIOTECNOLOGIA DE COLOMBIA SAS</t>
  </si>
  <si>
    <t>CONSORCIO CHARALA 071</t>
  </si>
  <si>
    <t>CONSORCIO BRJ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</si>
</sst>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.00;[Red]\-&quot;$&quot;\ #,##0.00"/>
    <numFmt numFmtId="165" formatCode="0.0000"/>
    <numFmt numFmtId="166" formatCode="&quot;$&quot;\ #,##0.00"/>
    <numFmt numFmtId="167" formatCode="#,##0.0"/>
    <numFmt numFmtId="168" formatCode="0.00000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ahoma"/>
      <family val="2"/>
    </font>
    <font>
      <b/>
      <sz val="8"/>
      <color rgb="FFC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166" fontId="4" fillId="2" borderId="4" xfId="0" applyNumberFormat="1" applyFont="1" applyFill="1" applyBorder="1" applyAlignment="1" applyProtection="1">
      <alignment horizontal="center"/>
      <protection locked="0"/>
    </xf>
    <xf numFmtId="166" fontId="4" fillId="2" borderId="3" xfId="0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166" fontId="4" fillId="4" borderId="4" xfId="0" applyNumberFormat="1" applyFont="1" applyFill="1" applyBorder="1" applyAlignment="1" applyProtection="1">
      <alignment horizontal="center"/>
      <protection locked="0"/>
    </xf>
    <xf numFmtId="166" fontId="4" fillId="4" borderId="3" xfId="0" applyNumberFormat="1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left"/>
      <protection locked="0"/>
    </xf>
    <xf numFmtId="0" fontId="9" fillId="5" borderId="4" xfId="0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166" fontId="8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2" fillId="9" borderId="2" xfId="0" applyFont="1" applyFill="1" applyBorder="1" applyProtection="1">
      <protection locked="0"/>
    </xf>
    <xf numFmtId="0" fontId="2" fillId="9" borderId="4" xfId="0" applyFont="1" applyFill="1" applyBorder="1" applyProtection="1"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7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0" fillId="7" borderId="1" xfId="0" applyFont="1" applyFill="1" applyBorder="1" applyAlignment="1" applyProtection="1">
      <alignment horizontal="center" wrapText="1"/>
      <protection locked="0"/>
    </xf>
    <xf numFmtId="0" fontId="0" fillId="8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4" borderId="1" xfId="0" applyFont="1" applyFill="1" applyBorder="1" applyAlignment="1" applyProtection="1">
      <alignment horizontal="center"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0" fillId="5" borderId="1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6" fontId="0" fillId="2" borderId="0" xfId="0" applyNumberFormat="1" applyFill="1" applyAlignment="1" applyProtection="1">
      <alignment horizontal="center"/>
      <protection locked="0"/>
    </xf>
    <xf numFmtId="10" fontId="2" fillId="0" borderId="0" xfId="0" applyNumberFormat="1" applyFont="1" applyAlignment="1" applyProtection="1">
      <alignment horizontal="center"/>
      <protection locked="0"/>
    </xf>
    <xf numFmtId="166" fontId="9" fillId="0" borderId="1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" fontId="9" fillId="0" borderId="1" xfId="0" applyNumberFormat="1" applyFont="1" applyBorder="1" applyAlignment="1" applyProtection="1">
      <alignment horizontal="center"/>
      <protection hidden="1"/>
    </xf>
    <xf numFmtId="3" fontId="7" fillId="2" borderId="1" xfId="0" applyNumberFormat="1" applyFont="1" applyFill="1" applyBorder="1" applyAlignment="1" applyProtection="1">
      <alignment horizontal="center"/>
      <protection hidden="1"/>
    </xf>
    <xf numFmtId="167" fontId="7" fillId="2" borderId="1" xfId="0" applyNumberFormat="1" applyFon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4" fontId="1" fillId="0" borderId="0" xfId="0" applyNumberFormat="1" applyFont="1" applyFill="1" applyBorder="1" applyAlignment="1" applyProtection="1">
      <alignment horizontal="center"/>
      <protection hidden="1"/>
    </xf>
    <xf numFmtId="165" fontId="0" fillId="0" borderId="0" xfId="0" applyNumberFormat="1" applyFont="1" applyFill="1" applyBorder="1" applyAlignment="1" applyProtection="1">
      <alignment horizontal="center"/>
      <protection hidden="1"/>
    </xf>
    <xf numFmtId="168" fontId="0" fillId="0" borderId="0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3" fillId="10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37">
    <dxf>
      <protection locked="0" hidden="0"/>
    </dxf>
    <dxf>
      <protection locked="0" hidden="0"/>
    </dxf>
    <dxf>
      <protection locked="0" hidden="0"/>
    </dxf>
    <dxf>
      <protection locked="1" hidden="1"/>
    </dxf>
    <dxf>
      <protection locked="0" hidden="0"/>
    </dxf>
    <dxf>
      <protection locked="0" hidden="0"/>
    </dxf>
    <dxf>
      <protection locked="0" hidden="0"/>
    </dxf>
    <dxf>
      <numFmt numFmtId="168" formatCode="0.00000000"/>
      <protection locked="1" hidden="1"/>
    </dxf>
    <dxf>
      <protection locked="0" hidden="0"/>
    </dxf>
    <dxf>
      <protection locked="0" hidden="0"/>
    </dxf>
    <dxf>
      <protection locked="0" hidden="0"/>
    </dxf>
    <dxf>
      <numFmt numFmtId="165" formatCode="0.0000"/>
      <protection locked="1" hidden="1"/>
    </dxf>
    <dxf>
      <protection locked="0" hidden="0"/>
    </dxf>
    <dxf>
      <protection locked="0" hidden="0"/>
    </dxf>
    <dxf>
      <protection locked="0" hidden="0"/>
    </dxf>
    <dxf>
      <numFmt numFmtId="165" formatCode="0.0000"/>
      <protection locked="1" hidden="1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protection locked="0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a134" displayName="Tabla134" ref="B25:V33" headerRowDxfId="26" dataDxfId="24" totalsRowDxfId="23" headerRowBorderDxfId="25">
  <autoFilter ref="B25:V33"/>
  <tableColumns count="21">
    <tableColumn id="1" name="OFERENTES" totalsRowDxfId="22"/>
    <tableColumn id="2" name="0RDEN DE MAYOR A MENOR" dataDxfId="21">
      <calculatedColumnFormula>_xlfn.RANK.EQ(D26,$D$26:$D$33,0)</calculatedColumnFormula>
    </tableColumn>
    <tableColumn id="3" name="VALOR CORREGIDO DE OFERTA " dataDxfId="20" totalsRowDxfId="19"/>
    <tableColumn id="21" name="PROP BAJA TENIENDO EN CUENTA LA DESV ESTANDAR" dataDxfId="18" totalsRowDxfId="17">
      <calculatedColumnFormula>IF(Tabla134[[#This Row],[VALOR CORREGIDO DE OFERTA ]]&lt;$D$21," PROP BAJA", "")</calculatedColumnFormula>
    </tableColumn>
    <tableColumn id="4" name="PTOS EVAL 1" dataDxfId="16"/>
    <tableColumn id="5" name="PTOS MEDIA ARITMETICA" dataDxfId="15">
      <calculatedColumnFormula>IF($D26&lt;=$K$6,$D$18*(1-(($K$6-$D26)/$K$6)),$D$18*(1-2*(ABS($K$6-$D26)/$K$6)))</calculatedColumnFormula>
    </tableColumn>
    <tableColumn id="6" name="ORDEN" dataDxfId="14">
      <calculatedColumnFormula>_xlfn.RANK.EQ(G26,$G$26:$G$33,0)</calculatedColumnFormula>
    </tableColumn>
    <tableColumn id="7" name="TOTAL PUNTOS" dataDxfId="13">
      <calculatedColumnFormula>F26+G26</calculatedColumnFormula>
    </tableColumn>
    <tableColumn id="8" name="ORDEN DEF" dataDxfId="12">
      <calculatedColumnFormula>_xlfn.RANK.EQ(I26,$I$26:$I$33,0)</calculatedColumnFormula>
    </tableColumn>
    <tableColumn id="9" name="PTOS MEDIA ARITMETICA ALTA" dataDxfId="11">
      <calculatedColumnFormula>IF($D26&lt;=$K$8,$D$18*(1-(($K$8-$D26)/$K$8)),$D$18*(1-2*(ABS($K$8-$D26)/$K$8)))</calculatedColumnFormula>
    </tableColumn>
    <tableColumn id="10" name="ORDEN2" dataDxfId="10">
      <calculatedColumnFormula>_xlfn.RANK.EQ(K26,$K$26:$K$33,0)</calculatedColumnFormula>
    </tableColumn>
    <tableColumn id="11" name="TOTAL PUNTOS3" dataDxfId="9">
      <calculatedColumnFormula>F26+K26</calculatedColumnFormula>
    </tableColumn>
    <tableColumn id="12" name="ORDEN DEF4" dataDxfId="8">
      <calculatedColumnFormula>_xlfn.RANK.EQ(M26,$M$26:$M$33,0)</calculatedColumnFormula>
    </tableColumn>
    <tableColumn id="13" name="PTOS CON LA MEDIA GEOMETRICA" dataDxfId="7">
      <calculatedColumnFormula>IF($D26&lt;=$K$10,$D$18*(1-(($K$10-$D26)/$K$10)),$D$18*(1-2*(ABS($K$10-$D26)/$K$10)))</calculatedColumnFormula>
    </tableColumn>
    <tableColumn id="14" name="ORDEN5" dataDxfId="6">
      <calculatedColumnFormula>_xlfn.RANK.EQ(O26,$O$26:$O$33,0)</calculatedColumnFormula>
    </tableColumn>
    <tableColumn id="15" name="TOTAL PUNTOS6" dataDxfId="5">
      <calculatedColumnFormula>F26+O26</calculatedColumnFormula>
    </tableColumn>
    <tableColumn id="16" name="ORDEN DEF7" dataDxfId="4">
      <calculatedColumnFormula>_xlfn.RANK.EQ(Q26,$Q$26:$Q$33,0)</calculatedColumnFormula>
    </tableColumn>
    <tableColumn id="17" name="PTOS POR MENOR VALOR" dataDxfId="3">
      <calculatedColumnFormula>$D$18*$K$12/D26</calculatedColumnFormula>
    </tableColumn>
    <tableColumn id="18" name="ORDEN8" dataDxfId="2">
      <calculatedColumnFormula>_xlfn.RANK.EQ(S26,$S$26:$S$33,0)</calculatedColumnFormula>
    </tableColumn>
    <tableColumn id="19" name="TOTAL PUNTOS9" dataDxfId="1">
      <calculatedColumnFormula>S26+F26</calculatedColumnFormula>
    </tableColumn>
    <tableColumn id="20" name="ORDEN DEF10" dataDxfId="0">
      <calculatedColumnFormula>_xlfn.RANK.EQ(U26,$U$26:$U$33,0)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45"/>
  <sheetViews>
    <sheetView tabSelected="1" zoomScale="75" zoomScaleNormal="75" workbookViewId="0">
      <selection activeCell="A30" sqref="A30"/>
    </sheetView>
  </sheetViews>
  <sheetFormatPr baseColWidth="10" defaultColWidth="11.5703125" defaultRowHeight="15" x14ac:dyDescent="0.25"/>
  <cols>
    <col min="1" max="1" width="3.28515625" style="1" customWidth="1"/>
    <col min="2" max="2" width="42.42578125" style="1" customWidth="1"/>
    <col min="3" max="3" width="16.7109375" style="1" customWidth="1"/>
    <col min="4" max="5" width="29.85546875" style="2" customWidth="1"/>
    <col min="6" max="6" width="17.85546875" style="2" customWidth="1"/>
    <col min="7" max="7" width="36.42578125" style="2" customWidth="1"/>
    <col min="8" max="8" width="9.28515625" style="2" customWidth="1"/>
    <col min="9" max="9" width="16" style="2" customWidth="1"/>
    <col min="10" max="10" width="12.85546875" style="2" customWidth="1"/>
    <col min="11" max="11" width="29.7109375" style="1" customWidth="1"/>
    <col min="12" max="12" width="10.28515625" style="1" customWidth="1"/>
    <col min="13" max="13" width="17" style="1" customWidth="1"/>
    <col min="14" max="14" width="13.85546875" style="1" customWidth="1"/>
    <col min="15" max="15" width="32.42578125" style="1" customWidth="1"/>
    <col min="16" max="16" width="10.28515625" style="1" customWidth="1"/>
    <col min="17" max="17" width="17" style="1" customWidth="1"/>
    <col min="18" max="18" width="13.85546875" style="1" customWidth="1"/>
    <col min="19" max="19" width="24.7109375" style="1" customWidth="1"/>
    <col min="20" max="20" width="10.28515625" style="1" customWidth="1"/>
    <col min="21" max="21" width="17" style="1" customWidth="1"/>
    <col min="22" max="22" width="15" style="1" customWidth="1"/>
    <col min="23" max="23" width="8.42578125" style="1" customWidth="1"/>
    <col min="24" max="24" width="20.7109375" style="1" customWidth="1"/>
    <col min="25" max="25" width="16.42578125" style="1" customWidth="1"/>
    <col min="26" max="26" width="18.28515625" style="2" customWidth="1"/>
    <col min="27" max="16384" width="11.5703125" style="1"/>
  </cols>
  <sheetData>
    <row r="4" spans="2:22" ht="22.9" customHeight="1" x14ac:dyDescent="0.25">
      <c r="B4" s="68" t="s">
        <v>33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2:22" ht="13.9" customHeight="1" x14ac:dyDescent="0.25">
      <c r="B5" s="3"/>
      <c r="C5" s="3"/>
    </row>
    <row r="6" spans="2:22" ht="13.9" customHeight="1" x14ac:dyDescent="0.3">
      <c r="B6" s="3"/>
      <c r="C6" s="3"/>
      <c r="D6" s="4" t="s">
        <v>34</v>
      </c>
      <c r="E6" s="5"/>
      <c r="F6" s="6"/>
      <c r="G6" s="7"/>
      <c r="H6" s="7"/>
      <c r="I6" s="7"/>
      <c r="J6" s="8"/>
      <c r="K6" s="56">
        <f>(+AVERAGE($D$26:$D$33))</f>
        <v>14992720161.292501</v>
      </c>
      <c r="L6" s="9"/>
      <c r="M6" s="9"/>
      <c r="N6" s="9"/>
    </row>
    <row r="7" spans="2:22" ht="13.9" customHeight="1" x14ac:dyDescent="0.3">
      <c r="B7" s="3"/>
      <c r="C7" s="3"/>
      <c r="D7" s="10"/>
      <c r="E7" s="10"/>
      <c r="F7" s="11"/>
      <c r="G7" s="11"/>
      <c r="H7" s="11"/>
      <c r="I7" s="11"/>
      <c r="J7" s="11"/>
      <c r="K7" s="57"/>
      <c r="L7" s="2"/>
      <c r="M7" s="2"/>
      <c r="N7" s="2"/>
    </row>
    <row r="8" spans="2:22" ht="13.9" customHeight="1" x14ac:dyDescent="0.3">
      <c r="B8" s="3"/>
      <c r="C8" s="3"/>
      <c r="D8" s="12" t="s">
        <v>35</v>
      </c>
      <c r="E8" s="13"/>
      <c r="F8" s="14"/>
      <c r="G8" s="15"/>
      <c r="H8" s="15"/>
      <c r="I8" s="15"/>
      <c r="J8" s="16"/>
      <c r="K8" s="56">
        <f>(MAX($D$26:$D$33)+AVERAGE($D$26:$D$33))/2</f>
        <v>15078967380.646252</v>
      </c>
      <c r="L8" s="9"/>
      <c r="M8" s="9"/>
      <c r="N8" s="9"/>
    </row>
    <row r="9" spans="2:22" ht="13.9" customHeight="1" x14ac:dyDescent="0.3">
      <c r="B9" s="3"/>
      <c r="C9" s="3"/>
      <c r="D9" s="10"/>
      <c r="E9" s="10"/>
      <c r="F9" s="11"/>
      <c r="G9" s="11"/>
      <c r="H9" s="11"/>
      <c r="I9" s="11"/>
      <c r="J9" s="11"/>
      <c r="K9" s="58"/>
    </row>
    <row r="10" spans="2:22" ht="13.9" customHeight="1" x14ac:dyDescent="0.3">
      <c r="B10" s="3"/>
      <c r="C10" s="3"/>
      <c r="D10" s="17" t="s">
        <v>9</v>
      </c>
      <c r="E10" s="18"/>
      <c r="F10" s="19"/>
      <c r="G10" s="20"/>
      <c r="H10" s="20"/>
      <c r="I10" s="20"/>
      <c r="J10" s="21"/>
      <c r="K10" s="59">
        <f>ROUND((PRODUCT($D$26:$D$33))^(1/(COUNT($D$26:$D$33))),2)</f>
        <v>14988948353.549999</v>
      </c>
      <c r="L10" s="22"/>
      <c r="M10" s="22"/>
      <c r="N10" s="22"/>
    </row>
    <row r="11" spans="2:22" ht="13.9" customHeight="1" x14ac:dyDescent="0.3">
      <c r="B11" s="3"/>
      <c r="C11" s="3"/>
      <c r="D11" s="10"/>
      <c r="E11" s="10"/>
      <c r="F11" s="11"/>
      <c r="G11" s="11"/>
      <c r="H11" s="11"/>
      <c r="I11" s="11"/>
      <c r="J11" s="11"/>
      <c r="K11" s="58"/>
    </row>
    <row r="12" spans="2:22" ht="13.9" customHeight="1" x14ac:dyDescent="0.3">
      <c r="B12" s="3"/>
      <c r="C12" s="3"/>
      <c r="D12" s="23" t="s">
        <v>6</v>
      </c>
      <c r="E12" s="24"/>
      <c r="F12" s="25"/>
      <c r="G12" s="26"/>
      <c r="H12" s="26"/>
      <c r="I12" s="26"/>
      <c r="J12" s="27"/>
      <c r="K12" s="59">
        <f>MIN($D$26:$D$33)</f>
        <v>14121169549</v>
      </c>
      <c r="L12" s="22"/>
      <c r="M12" s="22"/>
      <c r="N12" s="22"/>
    </row>
    <row r="13" spans="2:22" x14ac:dyDescent="0.25">
      <c r="B13" s="3"/>
      <c r="C13" s="3"/>
    </row>
    <row r="14" spans="2:22" x14ac:dyDescent="0.25">
      <c r="B14" s="3"/>
      <c r="C14" s="3"/>
    </row>
    <row r="15" spans="2:22" ht="18.75" x14ac:dyDescent="0.3">
      <c r="B15" s="3" t="s">
        <v>13</v>
      </c>
      <c r="C15" s="3"/>
      <c r="D15" s="28">
        <v>15690188381</v>
      </c>
    </row>
    <row r="16" spans="2:22" ht="15.75" x14ac:dyDescent="0.25">
      <c r="B16" s="3" t="s">
        <v>14</v>
      </c>
      <c r="C16" s="3"/>
      <c r="D16" s="60">
        <f>COUNT(Tabla134[[VALOR CORREGIDO DE OFERTA ]])</f>
        <v>8</v>
      </c>
    </row>
    <row r="17" spans="2:22" ht="23.25" x14ac:dyDescent="0.35">
      <c r="B17" s="3" t="s">
        <v>16</v>
      </c>
      <c r="C17" s="3"/>
      <c r="D17" s="61">
        <f>D16/2+1</f>
        <v>5</v>
      </c>
      <c r="G17" s="29" t="s">
        <v>32</v>
      </c>
    </row>
    <row r="18" spans="2:22" ht="18.75" x14ac:dyDescent="0.3">
      <c r="B18" s="30" t="s">
        <v>4</v>
      </c>
      <c r="C18" s="30"/>
      <c r="D18" s="62">
        <v>60</v>
      </c>
      <c r="E18" s="31"/>
      <c r="F18" s="32" t="s">
        <v>3</v>
      </c>
      <c r="G18" s="32"/>
      <c r="H18" s="32"/>
      <c r="I18" s="32"/>
      <c r="J18" s="32"/>
    </row>
    <row r="19" spans="2:22" x14ac:dyDescent="0.25">
      <c r="B19" s="3" t="s">
        <v>26</v>
      </c>
      <c r="D19" s="63">
        <f>STDEVP(D26:D33)</f>
        <v>330687866.87538213</v>
      </c>
    </row>
    <row r="20" spans="2:22" x14ac:dyDescent="0.25">
      <c r="B20" s="3" t="s">
        <v>29</v>
      </c>
      <c r="D20" s="64">
        <f>MEDIAN(Tabla134[[VALOR CORREGIDO DE OFERTA ]])</f>
        <v>15100530988</v>
      </c>
      <c r="F20" s="33"/>
    </row>
    <row r="21" spans="2:22" x14ac:dyDescent="0.25">
      <c r="B21" s="3" t="s">
        <v>30</v>
      </c>
      <c r="D21" s="63">
        <f>D20-D19</f>
        <v>14769843121.124619</v>
      </c>
      <c r="F21" s="33"/>
    </row>
    <row r="22" spans="2:22" x14ac:dyDescent="0.25">
      <c r="B22" s="3" t="s">
        <v>31</v>
      </c>
      <c r="D22" s="64">
        <f>D20+D19</f>
        <v>15431218854.875381</v>
      </c>
    </row>
    <row r="23" spans="2:22" ht="15.75" x14ac:dyDescent="0.25">
      <c r="B23" s="34" t="s">
        <v>28</v>
      </c>
      <c r="C23" s="35"/>
      <c r="D23" s="36"/>
      <c r="E23" s="36"/>
      <c r="F23" s="37"/>
      <c r="G23" s="70" t="s">
        <v>34</v>
      </c>
      <c r="H23" s="70"/>
      <c r="I23" s="70"/>
      <c r="J23" s="70"/>
      <c r="K23" s="71" t="s">
        <v>35</v>
      </c>
      <c r="L23" s="71"/>
      <c r="M23" s="71"/>
      <c r="N23" s="71"/>
      <c r="O23" s="72" t="s">
        <v>9</v>
      </c>
      <c r="P23" s="72"/>
      <c r="Q23" s="72"/>
      <c r="R23" s="72"/>
      <c r="S23" s="73" t="s">
        <v>6</v>
      </c>
      <c r="T23" s="73"/>
      <c r="U23" s="73"/>
      <c r="V23" s="73"/>
    </row>
    <row r="25" spans="2:22" ht="45" x14ac:dyDescent="0.25">
      <c r="B25" s="38" t="s">
        <v>0</v>
      </c>
      <c r="C25" s="39" t="s">
        <v>15</v>
      </c>
      <c r="D25" s="40" t="s">
        <v>8</v>
      </c>
      <c r="E25" s="40" t="s">
        <v>27</v>
      </c>
      <c r="F25" s="41" t="s">
        <v>10</v>
      </c>
      <c r="G25" s="42" t="s">
        <v>36</v>
      </c>
      <c r="H25" s="42" t="s">
        <v>7</v>
      </c>
      <c r="I25" s="42" t="s">
        <v>11</v>
      </c>
      <c r="J25" s="42" t="s">
        <v>12</v>
      </c>
      <c r="K25" s="43" t="s">
        <v>1</v>
      </c>
      <c r="L25" s="43" t="s">
        <v>17</v>
      </c>
      <c r="M25" s="43" t="s">
        <v>18</v>
      </c>
      <c r="N25" s="43" t="s">
        <v>19</v>
      </c>
      <c r="O25" s="44" t="s">
        <v>2</v>
      </c>
      <c r="P25" s="44" t="s">
        <v>20</v>
      </c>
      <c r="Q25" s="44" t="s">
        <v>21</v>
      </c>
      <c r="R25" s="44" t="s">
        <v>22</v>
      </c>
      <c r="S25" s="45" t="s">
        <v>5</v>
      </c>
      <c r="T25" s="45" t="s">
        <v>23</v>
      </c>
      <c r="U25" s="45" t="s">
        <v>24</v>
      </c>
      <c r="V25" s="45" t="s">
        <v>25</v>
      </c>
    </row>
    <row r="26" spans="2:22" ht="15.6" customHeight="1" thickBot="1" x14ac:dyDescent="0.3">
      <c r="B26" s="74" t="s">
        <v>37</v>
      </c>
      <c r="C26" s="46">
        <f t="shared" ref="C26:C33" si="0">_xlfn.RANK.EQ(D26,$D$26:$D$33,0)</f>
        <v>4</v>
      </c>
      <c r="D26" s="47">
        <v>15101883320</v>
      </c>
      <c r="E26" s="65" t="str">
        <f>IF(Tabla134[[#This Row],[VALOR CORREGIDO DE OFERTA ]]&lt;$D$21," PROP BAJA", "")</f>
        <v/>
      </c>
      <c r="F26" s="48">
        <v>0</v>
      </c>
      <c r="G26" s="66">
        <f>IF($D26&lt;=$K$6,$D$18*(1-(($K$6-$D26)/$K$6)),$D$18*(1-2*(ABS($K$6-$D26)/$K$6)))</f>
        <v>59.126270689776518</v>
      </c>
      <c r="H26" s="46">
        <f>_xlfn.RANK.EQ(G26,$G$26:$G$33,0)</f>
        <v>4</v>
      </c>
      <c r="I26" s="49">
        <f>F26+G26</f>
        <v>59.126270689776518</v>
      </c>
      <c r="J26" s="46">
        <f>_xlfn.RANK.EQ(I26,$I$26:$I$33,0)</f>
        <v>4</v>
      </c>
      <c r="K26" s="66">
        <f>IF($D26&lt;=$K$8,$D$18*(1-(($K$8-$D26)/$K$8)),$D$18*(1-2*(ABS($K$8-$D26)/$K$8)))</f>
        <v>59.817632557121961</v>
      </c>
      <c r="L26" s="46">
        <f t="shared" ref="L26:L33" si="1">_xlfn.RANK.EQ(K26,$K$26:$K$33,0)</f>
        <v>4</v>
      </c>
      <c r="M26" s="49">
        <f>F26+K26</f>
        <v>59.817632557121961</v>
      </c>
      <c r="N26" s="46">
        <f t="shared" ref="N26:N33" si="2">_xlfn.RANK.EQ(M26,$M$26:$M$33,0)</f>
        <v>4</v>
      </c>
      <c r="O26" s="67">
        <f t="shared" ref="O26:O33" si="3">IF($D26&lt;=$K$10,$D$18*(1-(($K$10-$D26)/$K$10)),$D$18*(1-2*(ABS($K$10-$D26)/$K$10)))</f>
        <v>59.095854115022661</v>
      </c>
      <c r="P26" s="46">
        <f>_xlfn.RANK.EQ(O26,$O$26:$O$33,0)</f>
        <v>4</v>
      </c>
      <c r="Q26" s="50">
        <f>F26+O26</f>
        <v>59.095854115022661</v>
      </c>
      <c r="R26" s="46">
        <f t="shared" ref="R26:R33" si="4">_xlfn.RANK.EQ(Q26,$Q$26:$Q$33,0)</f>
        <v>4</v>
      </c>
      <c r="S26" s="66">
        <f>$D$18*$K$12/D26</f>
        <v>56.103610058881053</v>
      </c>
      <c r="T26" s="46">
        <f t="shared" ref="T26:T33" si="5">_xlfn.RANK.EQ(S26,$S$26:$S$33,0)</f>
        <v>5</v>
      </c>
      <c r="U26" s="49">
        <f>S26+F26</f>
        <v>56.103610058881053</v>
      </c>
      <c r="V26" s="46">
        <f t="shared" ref="V26:V33" si="6">_xlfn.RANK.EQ(U26,$U$26:$U$33,0)</f>
        <v>5</v>
      </c>
    </row>
    <row r="27" spans="2:22" ht="15.6" customHeight="1" thickBot="1" x14ac:dyDescent="0.3">
      <c r="B27" s="74" t="s">
        <v>38</v>
      </c>
      <c r="C27" s="46">
        <f t="shared" si="0"/>
        <v>2</v>
      </c>
      <c r="D27" s="47">
        <v>15158009866</v>
      </c>
      <c r="E27" s="65" t="str">
        <f>IF(Tabla134[[#This Row],[VALOR CORREGIDO DE OFERTA ]]&lt;$D$21," PROP BAJA", "")</f>
        <v/>
      </c>
      <c r="F27" s="48">
        <v>0</v>
      </c>
      <c r="G27" s="66">
        <f t="shared" ref="G27:G32" si="7">IF($D27&lt;=$K$6,$D$18*(1-(($K$6-$D27)/$K$6)),$D$18*(1-2*(ABS($K$6-$D27)/$K$6)))</f>
        <v>58.677040300124567</v>
      </c>
      <c r="H27" s="46">
        <f t="shared" ref="H27:H32" si="8">_xlfn.RANK.EQ(G27,$G$26:$G$33,0)</f>
        <v>6</v>
      </c>
      <c r="I27" s="49">
        <f t="shared" ref="I27:I30" si="9">F27+G27</f>
        <v>58.677040300124567</v>
      </c>
      <c r="J27" s="46">
        <f t="shared" ref="J27:J33" si="10">_xlfn.RANK.EQ(I27,$I$26:$I$33,0)</f>
        <v>6</v>
      </c>
      <c r="K27" s="66">
        <f t="shared" ref="K27:K33" si="11">IF($D27&lt;=$K$8,$D$18*(1-(($K$8-$D27)/$K$8)),$D$18*(1-2*(ABS($K$8-$D27)/$K$8)))</f>
        <v>59.370971632008178</v>
      </c>
      <c r="L27" s="46">
        <f t="shared" si="1"/>
        <v>6</v>
      </c>
      <c r="M27" s="49">
        <f t="shared" ref="M27:M30" si="12">F27+K27</f>
        <v>59.370971632008178</v>
      </c>
      <c r="N27" s="46">
        <f t="shared" si="2"/>
        <v>6</v>
      </c>
      <c r="O27" s="67">
        <f t="shared" si="3"/>
        <v>58.646510681371772</v>
      </c>
      <c r="P27" s="46">
        <f t="shared" ref="P27:P32" si="13">_xlfn.RANK.EQ(O27,$O$26:$O$33,0)</f>
        <v>6</v>
      </c>
      <c r="Q27" s="50">
        <f t="shared" ref="Q27:Q30" si="14">F27+O27</f>
        <v>58.646510681371772</v>
      </c>
      <c r="R27" s="46">
        <f t="shared" si="4"/>
        <v>6</v>
      </c>
      <c r="S27" s="66">
        <f t="shared" ref="S27:S30" si="15">$D$18*$K$12/D27</f>
        <v>55.895871584069859</v>
      </c>
      <c r="T27" s="46">
        <f t="shared" si="5"/>
        <v>7</v>
      </c>
      <c r="U27" s="49">
        <f t="shared" ref="U27:U30" si="16">S27+F27</f>
        <v>55.895871584069859</v>
      </c>
      <c r="V27" s="46">
        <f t="shared" si="6"/>
        <v>7</v>
      </c>
    </row>
    <row r="28" spans="2:22" ht="15.6" customHeight="1" thickBot="1" x14ac:dyDescent="0.3">
      <c r="B28" s="74" t="s">
        <v>39</v>
      </c>
      <c r="C28" s="46">
        <f t="shared" si="0"/>
        <v>5</v>
      </c>
      <c r="D28" s="47">
        <v>15099178656</v>
      </c>
      <c r="E28" s="65" t="str">
        <f>IF(Tabla134[[#This Row],[VALOR CORREGIDO DE OFERTA ]]&lt;$D$21," PROP BAJA", "")</f>
        <v/>
      </c>
      <c r="F28" s="48">
        <v>0</v>
      </c>
      <c r="G28" s="66">
        <f t="shared" si="7"/>
        <v>59.147918507951488</v>
      </c>
      <c r="H28" s="46">
        <f t="shared" si="8"/>
        <v>3</v>
      </c>
      <c r="I28" s="49">
        <f t="shared" si="9"/>
        <v>59.147918507951488</v>
      </c>
      <c r="J28" s="46">
        <f t="shared" si="10"/>
        <v>3</v>
      </c>
      <c r="K28" s="66">
        <f t="shared" si="11"/>
        <v>59.839156556200081</v>
      </c>
      <c r="L28" s="46">
        <f t="shared" si="1"/>
        <v>3</v>
      </c>
      <c r="M28" s="49">
        <f t="shared" si="12"/>
        <v>59.839156556200081</v>
      </c>
      <c r="N28" s="46">
        <f t="shared" si="2"/>
        <v>3</v>
      </c>
      <c r="O28" s="67">
        <f t="shared" si="3"/>
        <v>59.117507380638401</v>
      </c>
      <c r="P28" s="46">
        <f t="shared" si="13"/>
        <v>3</v>
      </c>
      <c r="Q28" s="50">
        <f t="shared" si="14"/>
        <v>59.117507380638401</v>
      </c>
      <c r="R28" s="46">
        <f t="shared" si="4"/>
        <v>3</v>
      </c>
      <c r="S28" s="66">
        <f t="shared" si="15"/>
        <v>56.113659705809098</v>
      </c>
      <c r="T28" s="46">
        <f t="shared" si="5"/>
        <v>4</v>
      </c>
      <c r="U28" s="49">
        <f t="shared" si="16"/>
        <v>56.113659705809098</v>
      </c>
      <c r="V28" s="46">
        <f t="shared" si="6"/>
        <v>4</v>
      </c>
    </row>
    <row r="29" spans="2:22" ht="15.6" customHeight="1" thickBot="1" x14ac:dyDescent="0.3">
      <c r="B29" s="75" t="s">
        <v>40</v>
      </c>
      <c r="C29" s="46">
        <f t="shared" si="0"/>
        <v>8</v>
      </c>
      <c r="D29" s="47">
        <v>14121169549</v>
      </c>
      <c r="E29" s="65" t="str">
        <f>IF(Tabla134[[#This Row],[VALOR CORREGIDO DE OFERTA ]]&lt;$D$21," PROP BAJA", "")</f>
        <v xml:space="preserve"> PROP BAJA</v>
      </c>
      <c r="F29" s="48">
        <v>0</v>
      </c>
      <c r="G29" s="66">
        <f t="shared" si="7"/>
        <v>56.512104796529329</v>
      </c>
      <c r="H29" s="46">
        <f t="shared" si="8"/>
        <v>8</v>
      </c>
      <c r="I29" s="49">
        <f t="shared" si="9"/>
        <v>56.512104796529329</v>
      </c>
      <c r="J29" s="46">
        <f t="shared" si="10"/>
        <v>8</v>
      </c>
      <c r="K29" s="66">
        <f t="shared" si="11"/>
        <v>56.188872324736593</v>
      </c>
      <c r="L29" s="46">
        <f t="shared" si="1"/>
        <v>8</v>
      </c>
      <c r="M29" s="49">
        <f t="shared" si="12"/>
        <v>56.188872324736593</v>
      </c>
      <c r="N29" s="46">
        <f t="shared" si="2"/>
        <v>8</v>
      </c>
      <c r="O29" s="67">
        <f t="shared" si="3"/>
        <v>56.52632546027364</v>
      </c>
      <c r="P29" s="46">
        <f t="shared" si="13"/>
        <v>8</v>
      </c>
      <c r="Q29" s="50">
        <f t="shared" si="14"/>
        <v>56.52632546027364</v>
      </c>
      <c r="R29" s="46">
        <f t="shared" si="4"/>
        <v>8</v>
      </c>
      <c r="S29" s="66">
        <f t="shared" si="15"/>
        <v>60</v>
      </c>
      <c r="T29" s="46">
        <f t="shared" si="5"/>
        <v>1</v>
      </c>
      <c r="U29" s="49">
        <f t="shared" si="16"/>
        <v>60</v>
      </c>
      <c r="V29" s="46">
        <f t="shared" si="6"/>
        <v>1</v>
      </c>
    </row>
    <row r="30" spans="2:22" ht="15.6" customHeight="1" thickBot="1" x14ac:dyDescent="0.3">
      <c r="B30" s="74" t="s">
        <v>41</v>
      </c>
      <c r="C30" s="46">
        <f t="shared" si="0"/>
        <v>7</v>
      </c>
      <c r="D30" s="47">
        <v>15078080492</v>
      </c>
      <c r="E30" s="65" t="str">
        <f>IF(Tabla134[[#This Row],[VALOR CORREGIDO DE OFERTA ]]&lt;$D$21," PROP BAJA", "")</f>
        <v/>
      </c>
      <c r="F30" s="48">
        <v>0</v>
      </c>
      <c r="G30" s="66">
        <f t="shared" si="7"/>
        <v>59.316785775049325</v>
      </c>
      <c r="H30" s="46">
        <f t="shared" si="8"/>
        <v>1</v>
      </c>
      <c r="I30" s="49">
        <f t="shared" si="9"/>
        <v>59.316785775049325</v>
      </c>
      <c r="J30" s="46">
        <f t="shared" si="10"/>
        <v>1</v>
      </c>
      <c r="K30" s="66">
        <f t="shared" si="11"/>
        <v>59.996471023682737</v>
      </c>
      <c r="L30" s="46">
        <f t="shared" si="1"/>
        <v>1</v>
      </c>
      <c r="M30" s="49">
        <f t="shared" si="12"/>
        <v>59.996471023682737</v>
      </c>
      <c r="N30" s="46">
        <f t="shared" si="2"/>
        <v>1</v>
      </c>
      <c r="O30" s="67">
        <f t="shared" si="3"/>
        <v>59.286417141368908</v>
      </c>
      <c r="P30" s="46">
        <f t="shared" si="13"/>
        <v>1</v>
      </c>
      <c r="Q30" s="50">
        <f t="shared" si="14"/>
        <v>59.286417141368908</v>
      </c>
      <c r="R30" s="46">
        <f t="shared" si="4"/>
        <v>1</v>
      </c>
      <c r="S30" s="66">
        <f t="shared" si="15"/>
        <v>56.192177339120683</v>
      </c>
      <c r="T30" s="46">
        <f t="shared" si="5"/>
        <v>2</v>
      </c>
      <c r="U30" s="49">
        <f t="shared" si="16"/>
        <v>56.192177339120683</v>
      </c>
      <c r="V30" s="46">
        <f t="shared" si="6"/>
        <v>2</v>
      </c>
    </row>
    <row r="31" spans="2:22" ht="15.6" customHeight="1" thickBot="1" x14ac:dyDescent="0.3">
      <c r="B31" s="74" t="s">
        <v>42</v>
      </c>
      <c r="C31" s="46">
        <f>_xlfn.RANK.EQ(D31,$D$26:$D$33,0)</f>
        <v>3</v>
      </c>
      <c r="D31" s="47">
        <v>15125384069.07</v>
      </c>
      <c r="E31" s="65" t="str">
        <f>IF(Tabla134[[#This Row],[VALOR CORREGIDO DE OFERTA ]]&lt;$D$21," PROP BAJA", "")</f>
        <v/>
      </c>
      <c r="F31" s="48">
        <v>0</v>
      </c>
      <c r="G31" s="66">
        <f>IF($D31&lt;=$K$6,$D$18*(1-(($K$6-$D31)/$K$6)),$D$18*(1-2*(ABS($K$6-$D31)/$K$6)))</f>
        <v>58.938173409359003</v>
      </c>
      <c r="H31" s="46">
        <f>_xlfn.RANK.EQ(G31,$G$26:$G$33,0)</f>
        <v>5</v>
      </c>
      <c r="I31" s="49">
        <f>F31+G31</f>
        <v>58.938173409359003</v>
      </c>
      <c r="J31" s="46">
        <f>_xlfn.RANK.EQ(I31,$I$26:$I$33,0)</f>
        <v>5</v>
      </c>
      <c r="K31" s="66">
        <f>IF($D31&lt;=$K$8,$D$18*(1-(($K$8-$D31)/$K$8)),$D$18*(1-2*(ABS($K$8-$D31)/$K$8)))</f>
        <v>59.630611137338306</v>
      </c>
      <c r="L31" s="46">
        <f>_xlfn.RANK.EQ(K31,$K$26:$K$33,0)</f>
        <v>5</v>
      </c>
      <c r="M31" s="49">
        <f>F31+K31</f>
        <v>59.630611137338306</v>
      </c>
      <c r="N31" s="46">
        <f>_xlfn.RANK.EQ(M31,$M$26:$M$33,0)</f>
        <v>5</v>
      </c>
      <c r="O31" s="67">
        <f>IF($D31&lt;=$K$10,$D$18*(1-(($K$10-$D31)/$K$10)),$D$18*(1-2*(ABS($K$10-$D31)/$K$10)))</f>
        <v>58.907709501946314</v>
      </c>
      <c r="P31" s="46">
        <f>_xlfn.RANK.EQ(O31,$O$26:$O$33,0)</f>
        <v>5</v>
      </c>
      <c r="Q31" s="50">
        <f>F31+O31</f>
        <v>58.907709501946314</v>
      </c>
      <c r="R31" s="46">
        <f>_xlfn.RANK.EQ(Q31,$Q$26:$Q$33,0)</f>
        <v>5</v>
      </c>
      <c r="S31" s="66">
        <f>$D$18*$K$12/D31</f>
        <v>56.016440248455474</v>
      </c>
      <c r="T31" s="46">
        <f>_xlfn.RANK.EQ(S31,$S$26:$S$33,0)</f>
        <v>6</v>
      </c>
      <c r="U31" s="49">
        <f>S31+F31</f>
        <v>56.016440248455474</v>
      </c>
      <c r="V31" s="46">
        <f>_xlfn.RANK.EQ(U31,$U$26:$U$33,0)</f>
        <v>6</v>
      </c>
    </row>
    <row r="32" spans="2:22" ht="15.6" customHeight="1" thickBot="1" x14ac:dyDescent="0.3">
      <c r="B32" s="74" t="s">
        <v>43</v>
      </c>
      <c r="C32" s="46">
        <f t="shared" si="0"/>
        <v>6</v>
      </c>
      <c r="D32" s="47">
        <v>15092840738.27</v>
      </c>
      <c r="E32" s="65" t="str">
        <f>IF(Tabla134[[#This Row],[VALOR CORREGIDO DE OFERTA ]]&lt;$D$21," PROP BAJA", "")</f>
        <v/>
      </c>
      <c r="F32" s="48">
        <v>0</v>
      </c>
      <c r="G32" s="66">
        <f t="shared" si="7"/>
        <v>59.198646469216555</v>
      </c>
      <c r="H32" s="46">
        <f t="shared" si="8"/>
        <v>2</v>
      </c>
      <c r="I32" s="49">
        <f t="shared" ref="I32:I33" si="17">F32+G32</f>
        <v>59.198646469216555</v>
      </c>
      <c r="J32" s="46">
        <f t="shared" si="10"/>
        <v>2</v>
      </c>
      <c r="K32" s="66">
        <f t="shared" si="11"/>
        <v>59.889594368578138</v>
      </c>
      <c r="L32" s="46">
        <f t="shared" si="1"/>
        <v>2</v>
      </c>
      <c r="M32" s="49">
        <f t="shared" ref="M32:M33" si="18">F32+K32</f>
        <v>59.889594368578138</v>
      </c>
      <c r="N32" s="46">
        <f t="shared" si="2"/>
        <v>2</v>
      </c>
      <c r="O32" s="67">
        <f t="shared" si="3"/>
        <v>59.168248107049656</v>
      </c>
      <c r="P32" s="46">
        <f t="shared" si="13"/>
        <v>2</v>
      </c>
      <c r="Q32" s="50">
        <f t="shared" ref="Q32:Q33" si="19">F32+O32</f>
        <v>59.168248107049656</v>
      </c>
      <c r="R32" s="46">
        <f t="shared" si="4"/>
        <v>2</v>
      </c>
      <c r="S32" s="66">
        <f t="shared" ref="S32:S33" si="20">$D$18*$K$12/D32</f>
        <v>56.137223444730878</v>
      </c>
      <c r="T32" s="46">
        <f t="shared" si="5"/>
        <v>3</v>
      </c>
      <c r="U32" s="49">
        <f t="shared" ref="U32:U33" si="21">S32+F32</f>
        <v>56.137223444730878</v>
      </c>
      <c r="V32" s="46">
        <f t="shared" si="6"/>
        <v>3</v>
      </c>
    </row>
    <row r="33" spans="2:22" ht="15.6" customHeight="1" thickBot="1" x14ac:dyDescent="0.3">
      <c r="B33" s="74" t="s">
        <v>44</v>
      </c>
      <c r="C33" s="46">
        <f t="shared" si="0"/>
        <v>1</v>
      </c>
      <c r="D33" s="47">
        <v>15165214600</v>
      </c>
      <c r="E33" s="65" t="str">
        <f>IF(Tabla134[[#This Row],[VALOR CORREGIDO DE OFERTA ]]&lt;$D$21," PROP BAJA", "")</f>
        <v/>
      </c>
      <c r="F33" s="48">
        <v>0</v>
      </c>
      <c r="G33" s="66">
        <f>IF($D33&lt;=$K$6,$D$18*(1-(($K$6-$D33)/$K$6)),$D$18*(1-2*(ABS($K$6-$D33)/$K$6)))</f>
        <v>58.619374441581293</v>
      </c>
      <c r="H33" s="46">
        <f>_xlfn.RANK.EQ(G33,$G$26:$G$33,0)</f>
        <v>7</v>
      </c>
      <c r="I33" s="49">
        <f t="shared" si="17"/>
        <v>58.619374441581293</v>
      </c>
      <c r="J33" s="46">
        <f t="shared" si="10"/>
        <v>7</v>
      </c>
      <c r="K33" s="66">
        <f t="shared" si="11"/>
        <v>59.313635605065805</v>
      </c>
      <c r="L33" s="46">
        <f t="shared" si="1"/>
        <v>7</v>
      </c>
      <c r="M33" s="49">
        <f t="shared" si="18"/>
        <v>59.313635605065805</v>
      </c>
      <c r="N33" s="46">
        <f t="shared" si="2"/>
        <v>7</v>
      </c>
      <c r="O33" s="67">
        <f t="shared" si="3"/>
        <v>58.588830311835025</v>
      </c>
      <c r="P33" s="46">
        <f>_xlfn.RANK.EQ(O33,$O$26:$O$33,0)</f>
        <v>7</v>
      </c>
      <c r="Q33" s="50">
        <f t="shared" si="19"/>
        <v>58.588830311835025</v>
      </c>
      <c r="R33" s="46">
        <f t="shared" si="4"/>
        <v>7</v>
      </c>
      <c r="S33" s="66">
        <f t="shared" si="20"/>
        <v>55.869316411783579</v>
      </c>
      <c r="T33" s="46">
        <f t="shared" si="5"/>
        <v>8</v>
      </c>
      <c r="U33" s="49">
        <f t="shared" si="21"/>
        <v>55.869316411783579</v>
      </c>
      <c r="V33" s="46">
        <f t="shared" si="6"/>
        <v>8</v>
      </c>
    </row>
    <row r="36" spans="2:22" x14ac:dyDescent="0.25">
      <c r="D36" s="51"/>
    </row>
    <row r="38" spans="2:22" x14ac:dyDescent="0.25">
      <c r="D38" s="33"/>
      <c r="E38" s="52"/>
    </row>
    <row r="39" spans="2:22" x14ac:dyDescent="0.25">
      <c r="D39" s="33"/>
      <c r="E39" s="52"/>
    </row>
    <row r="40" spans="2:22" x14ac:dyDescent="0.25">
      <c r="D40" s="33"/>
      <c r="E40" s="52"/>
    </row>
    <row r="41" spans="2:22" x14ac:dyDescent="0.25">
      <c r="D41" s="33"/>
      <c r="E41" s="52"/>
    </row>
    <row r="42" spans="2:22" x14ac:dyDescent="0.25">
      <c r="B42" s="53"/>
      <c r="C42" s="53"/>
      <c r="D42" s="54"/>
      <c r="E42" s="55"/>
    </row>
    <row r="43" spans="2:22" x14ac:dyDescent="0.25">
      <c r="D43" s="33"/>
      <c r="E43" s="52"/>
    </row>
    <row r="44" spans="2:22" x14ac:dyDescent="0.25">
      <c r="D44" s="33"/>
      <c r="E44" s="52"/>
    </row>
    <row r="45" spans="2:22" x14ac:dyDescent="0.25">
      <c r="D45" s="33"/>
      <c r="E45" s="52"/>
    </row>
  </sheetData>
  <sheetProtection algorithmName="SHA-512" hashValue="kv0TvwfEJICEpGf/nvPXW+7Ql70ZR3xtrAo71ikMVGzz45UHpQyHaEGE7gyuK5YsF82XOAbh40RpTJDwh78jjg==" saltValue="2dphAyyY5WXI76g3fNUJsg==" spinCount="100000" sheet="1" objects="1" scenarios="1"/>
  <mergeCells count="5">
    <mergeCell ref="B4:V4"/>
    <mergeCell ref="G23:J23"/>
    <mergeCell ref="K23:N23"/>
    <mergeCell ref="O23:R23"/>
    <mergeCell ref="S23:V23"/>
  </mergeCells>
  <phoneticPr fontId="12" type="noConversion"/>
  <conditionalFormatting sqref="P26:P33">
    <cfRule type="top10" dxfId="36" priority="142" bottom="1" rank="1"/>
  </conditionalFormatting>
  <conditionalFormatting sqref="C26:C33">
    <cfRule type="top10" dxfId="35" priority="143" bottom="1" rank="1"/>
  </conditionalFormatting>
  <conditionalFormatting sqref="D26:E33">
    <cfRule type="top10" dxfId="34" priority="144" bottom="1" rank="1"/>
  </conditionalFormatting>
  <conditionalFormatting sqref="H26:H33">
    <cfRule type="top10" dxfId="33" priority="145" bottom="1" rank="1"/>
  </conditionalFormatting>
  <conditionalFormatting sqref="J26:J33">
    <cfRule type="top10" dxfId="32" priority="146" bottom="1" rank="1"/>
  </conditionalFormatting>
  <conditionalFormatting sqref="L26:L33">
    <cfRule type="top10" dxfId="31" priority="147" bottom="1" rank="1"/>
  </conditionalFormatting>
  <conditionalFormatting sqref="N26:N33">
    <cfRule type="top10" dxfId="30" priority="148" bottom="1" rank="1"/>
  </conditionalFormatting>
  <conditionalFormatting sqref="R26:R33">
    <cfRule type="top10" dxfId="29" priority="149" bottom="1" rank="1"/>
  </conditionalFormatting>
  <conditionalFormatting sqref="T26:T33">
    <cfRule type="top10" dxfId="28" priority="150" bottom="1" rank="1"/>
  </conditionalFormatting>
  <conditionalFormatting sqref="V26:V33">
    <cfRule type="top10" dxfId="27" priority="151" bottom="1" rank="1"/>
  </conditionalFormatting>
  <pageMargins left="0.7" right="0.7" top="0.75" bottom="0.75" header="0.3" footer="0.3"/>
  <pageSetup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 PROCESO CHARALA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USER1</cp:lastModifiedBy>
  <dcterms:created xsi:type="dcterms:W3CDTF">2020-11-18T14:13:45Z</dcterms:created>
  <dcterms:modified xsi:type="dcterms:W3CDTF">2022-09-01T21:32:15Z</dcterms:modified>
</cp:coreProperties>
</file>