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A:\AGUA\3. CONVOCATORIAS\ESTUDIOS PREVIOS CONTRATO 438\ISTMINA NUEVA CONVOCATORIA\Carpeta No 3\Estudios Previos\Obra\CD CONTRATACIÓN\"/>
    </mc:Choice>
  </mc:AlternateContent>
  <workbookProtection workbookAlgorithmName="SHA-512" workbookHashValue="hjdN92lTSKwcLZ7Z61Cog2CfU2Rbmm8BbyVf7DJML5z0o4EwkP+eD/JozpGjCeVin2xCxoNOGrpOrutv2Gegww==" workbookSaltValue="oS4ytT64zFfknSORB8fPFA==" workbookSpinCount="100000" lockStructure="1"/>
  <bookViews>
    <workbookView xWindow="0" yWindow="0" windowWidth="20490" windowHeight="7530" firstSheet="1" activeTab="1"/>
  </bookViews>
  <sheets>
    <sheet name="RES ALC ACTUAL F2-3" sheetId="70" state="hidden" r:id="rId1"/>
    <sheet name="RESUMEN PRESUPUESTO ESTIMADO" sheetId="73" r:id="rId2"/>
    <sheet name="PPTO REDES ACUEDUCTO" sheetId="59" r:id="rId3"/>
    <sheet name="Hoja1" sheetId="76" state="hidden" r:id="rId4"/>
    <sheet name="TUBERIAS" sheetId="61" state="hidden" r:id="rId5"/>
    <sheet name="LONGITUDES" sheetId="71" state="hidden" r:id="rId6"/>
    <sheet name="HIDRA. PURGAS. MACROS Y PILAS" sheetId="77" state="hidden" r:id="rId7"/>
    <sheet name="VALVULAS" sheetId="78" state="hidden" r:id="rId8"/>
    <sheet name="ACCESORIOS" sheetId="60" state="hidden" r:id="rId9"/>
    <sheet name="Concreto anclajes y cajas" sheetId="79" state="hidden" r:id="rId10"/>
    <sheet name="PPTO PASOS ESPCECIALES" sheetId="66" r:id="rId11"/>
    <sheet name="MEMORIAS CRUCES" sheetId="65" state="hidden" r:id="rId12"/>
    <sheet name="ESTRUCT VIADUCTOS" sheetId="75" state="hidden" r:id="rId13"/>
    <sheet name=" PPTO OBRAS ELÉCTRICAS BT Y MT" sheetId="6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Fill" localSheetId="6" hidden="1">#REF!</definedName>
    <definedName name="_Fill" localSheetId="10" hidden="1">#REF!</definedName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13" hidden="1">' PPTO OBRAS ELÉCTRICAS BT Y MT'!$A$4:$F$191</definedName>
    <definedName name="_xlnm._FilterDatabase" localSheetId="6" hidden="1">#REF!</definedName>
    <definedName name="_xlnm._FilterDatabase" localSheetId="11" hidden="1">#REF!</definedName>
    <definedName name="_xlnm._FilterDatabase" localSheetId="10" hidden="1">#REF!</definedName>
    <definedName name="_xlnm._FilterDatabase" localSheetId="2" hidden="1">'PPTO REDES ACUEDUCTO'!$A$3:$E$190</definedName>
    <definedName name="_xlnm._FilterDatabase" localSheetId="0" hidden="1">#REF!</definedName>
    <definedName name="_xlnm._FilterDatabase" localSheetId="1" hidden="1">#REF!</definedName>
    <definedName name="_xlnm._FilterDatabase" localSheetId="4" hidden="1">TUBERIAS!$B$3:$L$125</definedName>
    <definedName name="_xlnm._FilterDatabase" localSheetId="7" hidden="1">#REF!</definedName>
    <definedName name="_xlnm._FilterDatabase" hidden="1">#REF!</definedName>
    <definedName name="_Order1" hidden="1">255</definedName>
    <definedName name="_scenchg1" localSheetId="13" hidden="1">[1]inpermeabOTRO!#REF!</definedName>
    <definedName name="_scenchg1" localSheetId="11" hidden="1">[2]inpermeabOTRO!#REF!</definedName>
    <definedName name="_scenchg1" localSheetId="10" hidden="1">[2]inpermeabOTRO!#REF!</definedName>
    <definedName name="_scenchg1" localSheetId="2" hidden="1">[3]inpermeabOTRO!#REF!</definedName>
    <definedName name="_scenchg1" localSheetId="0" hidden="1">[1]inpermeabOTRO!#REF!</definedName>
    <definedName name="_scenchg1" localSheetId="1" hidden="1">[1]inpermeabOTRO!#REF!</definedName>
    <definedName name="_scenchg1" hidden="1">[3]inpermeabOTRO!#REF!</definedName>
    <definedName name="_Sort" localSheetId="13" hidden="1">'[4]C 4A'!$E$2:$W$53</definedName>
    <definedName name="_Sort" localSheetId="11" hidden="1">'[5]C 4A'!$E$2:$W$53</definedName>
    <definedName name="_Sort" localSheetId="10" hidden="1">'[5]C 4A'!$E$2:$W$53</definedName>
    <definedName name="_Sort" localSheetId="0" hidden="1">'[4]C 4A'!$E$2:$W$53</definedName>
    <definedName name="_Sort" localSheetId="1" hidden="1">'[4]C 4A'!$E$2:$W$53</definedName>
    <definedName name="_Sort" hidden="1">'[6]C 4A'!$E$2:$W$53</definedName>
    <definedName name="AA" localSheetId="13" hidden="1">{"SUMINISTRO E INSTALACIÓN CANALETAS L=7.50"}</definedName>
    <definedName name="AA" localSheetId="9" hidden="1">{"SUMINISTRO E INSTALACIÓN CANALETAS L=7.50"}</definedName>
    <definedName name="AA" localSheetId="6" hidden="1">{"SUMINISTRO E INSTALACIÓN CANALETAS L=7.50"}</definedName>
    <definedName name="AA" localSheetId="11" hidden="1">{"SUMINISTRO E INSTALACIÓN CANALETAS L=7.50"}</definedName>
    <definedName name="AA" localSheetId="10" hidden="1">{"SUMINISTRO E INSTALACIÓN CANALETAS L=7.50"}</definedName>
    <definedName name="AA" localSheetId="0" hidden="1">{"SUMINISTRO E INSTALACIÓN CANALETAS L=7.50"}</definedName>
    <definedName name="AA" localSheetId="1" hidden="1">{"SUMINISTRO E INSTALACIÓN CANALETAS L=7.50"}</definedName>
    <definedName name="AA" localSheetId="7" hidden="1">{"SUMINISTRO E INSTALACIÓN CANALETAS L=7.50"}</definedName>
    <definedName name="AA" hidden="1">{"SUMINISTRO E INSTALACIÓN CANALETAS L=7.50"}</definedName>
    <definedName name="AccessDatabase" hidden="1">"C:\C-314\VOLUMENES\volfin4.mdb"</definedName>
    <definedName name="ANDRES" localSheetId="13" hidden="1">{"SUMINISTRO E INSTALACIÓN CANALETAS L=7.50"}</definedName>
    <definedName name="ANDRES" localSheetId="9" hidden="1">{"SUMINISTRO E INSTALACIÓN CANALETAS L=7.50"}</definedName>
    <definedName name="ANDRES" localSheetId="6" hidden="1">{"SUMINISTRO E INSTALACIÓN CANALETAS L=7.50"}</definedName>
    <definedName name="ANDRES" localSheetId="11" hidden="1">{"SUMINISTRO E INSTALACIÓN CANALETAS L=7.50"}</definedName>
    <definedName name="ANDRES" localSheetId="10" hidden="1">{"SUMINISTRO E INSTALACIÓN CANALETAS L=7.50"}</definedName>
    <definedName name="ANDRES" localSheetId="0" hidden="1">{"SUMINISTRO E INSTALACIÓN CANALETAS L=7.50"}</definedName>
    <definedName name="ANDRES" localSheetId="1" hidden="1">{"SUMINISTRO E INSTALACIÓN CANALETAS L=7.50"}</definedName>
    <definedName name="ANDRES" localSheetId="7" hidden="1">{"SUMINISTRO E INSTALACIÓN CANALETAS L=7.50"}</definedName>
    <definedName name="ANDRES" hidden="1">{"SUMINISTRO E INSTALACIÓN CANALETAS L=7.50"}</definedName>
    <definedName name="_xlnm.Print_Area" localSheetId="13">' PPTO OBRAS ELÉCTRICAS BT Y MT'!$A$1:$F$191</definedName>
    <definedName name="_xlnm.Print_Area" localSheetId="11">'MEMORIAS CRUCES'!$A$36:$AF$93</definedName>
    <definedName name="_xlnm.Print_Area" localSheetId="10">'PPTO PASOS ESPCECIALES'!$A$1:$F$51</definedName>
    <definedName name="_xlnm.Print_Area" localSheetId="2">'PPTO REDES ACUEDUCTO'!$A$1:$F$192</definedName>
    <definedName name="_xlnm.Print_Area" localSheetId="1">'RESUMEN PRESUPUESTO ESTIMADO'!$A$2:$B$22</definedName>
    <definedName name="_xlnm.Print_Area" localSheetId="4">TUBERIAS!$A$3:$P$125</definedName>
    <definedName name="CantObraDefinitiva" localSheetId="13" hidden="1">{"SUMINISTRO E INSTALACIÓN CANALETAS L=7.50"}</definedName>
    <definedName name="CantObraDefinitiva" localSheetId="9" hidden="1">{"SUMINISTRO E INSTALACIÓN CANALETAS L=7.50"}</definedName>
    <definedName name="CantObraDefinitiva" localSheetId="6" hidden="1">{"SUMINISTRO E INSTALACIÓN CANALETAS L=7.50"}</definedName>
    <definedName name="CantObraDefinitiva" localSheetId="11" hidden="1">{"SUMINISTRO E INSTALACIÓN CANALETAS L=7.50"}</definedName>
    <definedName name="CantObraDefinitiva" localSheetId="10" hidden="1">{"SUMINISTRO E INSTALACIÓN CANALETAS L=7.50"}</definedName>
    <definedName name="CantObraDefinitiva" localSheetId="0" hidden="1">{"SUMINISTRO E INSTALACIÓN CANALETAS L=7.50"}</definedName>
    <definedName name="CantObraDefinitiva" localSheetId="1" hidden="1">{"SUMINISTRO E INSTALACIÓN CANALETAS L=7.50"}</definedName>
    <definedName name="CantObraDefinitiva" localSheetId="7" hidden="1">{"SUMINISTRO E INSTALACIÓN CANALETAS L=7.50"}</definedName>
    <definedName name="CantObraDefinitiva" hidden="1">{"SUMINISTRO E INSTALACIÓN CANALETAS L=7.50"}</definedName>
    <definedName name="ConsMaestro" localSheetId="10" hidden="1">#REF!</definedName>
    <definedName name="ConsMaestro" localSheetId="2" hidden="1">#REF!</definedName>
    <definedName name="ConsMaestro" localSheetId="0" hidden="1">#REF!</definedName>
    <definedName name="ConsMaestro" localSheetId="1" hidden="1">#REF!</definedName>
    <definedName name="ConsMaestro" hidden="1">#REF!</definedName>
    <definedName name="CXZ_XLS" localSheetId="13" hidden="1">[1]inpermeabOTRO!#REF!</definedName>
    <definedName name="CXZ_XLS" localSheetId="11" hidden="1">[2]inpermeabOTRO!#REF!</definedName>
    <definedName name="CXZ_XLS" localSheetId="10" hidden="1">[2]inpermeabOTRO!#REF!</definedName>
    <definedName name="CXZ_XLS" localSheetId="2" hidden="1">[3]inpermeabOTRO!#REF!</definedName>
    <definedName name="CXZ_XLS" localSheetId="0" hidden="1">[1]inpermeabOTRO!#REF!</definedName>
    <definedName name="CXZ_XLS" localSheetId="1" hidden="1">[1]inpermeabOTRO!#REF!</definedName>
    <definedName name="CXZ_XLS" hidden="1">[3]inpermeabOTRO!#REF!</definedName>
    <definedName name="DD" localSheetId="13" hidden="1">{"SUMINISTRO E INSTALACIÓN CANALETAS L=7.50"}</definedName>
    <definedName name="DD" localSheetId="9" hidden="1">{"SUMINISTRO E INSTALACIÓN CANALETAS L=7.50"}</definedName>
    <definedName name="DD" localSheetId="6" hidden="1">{"SUMINISTRO E INSTALACIÓN CANALETAS L=7.50"}</definedName>
    <definedName name="DD" localSheetId="11" hidden="1">{"SUMINISTRO E INSTALACIÓN CANALETAS L=7.50"}</definedName>
    <definedName name="DD" localSheetId="10" hidden="1">{"SUMINISTRO E INSTALACIÓN CANALETAS L=7.50"}</definedName>
    <definedName name="DD" localSheetId="0" hidden="1">{"SUMINISTRO E INSTALACIÓN CANALETAS L=7.50"}</definedName>
    <definedName name="DD" localSheetId="1" hidden="1">{"SUMINISTRO E INSTALACIÓN CANALETAS L=7.50"}</definedName>
    <definedName name="DD" localSheetId="7" hidden="1">{"SUMINISTRO E INSTALACIÓN CANALETAS L=7.50"}</definedName>
    <definedName name="DD" hidden="1">{"SUMINISTRO E INSTALACIÓN CANALETAS L=7.50"}</definedName>
    <definedName name="DD_SS" localSheetId="13" hidden="1">[1]inpermeabOTRO!#REF!</definedName>
    <definedName name="DD_SS" localSheetId="11" hidden="1">[2]inpermeabOTRO!#REF!</definedName>
    <definedName name="DD_SS" localSheetId="10" hidden="1">[2]inpermeabOTRO!#REF!</definedName>
    <definedName name="DD_SS" localSheetId="2" hidden="1">[3]inpermeabOTRO!#REF!</definedName>
    <definedName name="DD_SS" localSheetId="0" hidden="1">[1]inpermeabOTRO!#REF!</definedName>
    <definedName name="DD_SS" localSheetId="1" hidden="1">[1]inpermeabOTRO!#REF!</definedName>
    <definedName name="DD_SS" hidden="1">[3]inpermeabOTRO!#REF!</definedName>
    <definedName name="DFSGF_FDS" localSheetId="13" hidden="1">[1]inpermeabOTRO!#REF!</definedName>
    <definedName name="DFSGF_FDS" localSheetId="11" hidden="1">[2]inpermeabOTRO!#REF!</definedName>
    <definedName name="DFSGF_FDS" localSheetId="10" hidden="1">[2]inpermeabOTRO!#REF!</definedName>
    <definedName name="DFSGF_FDS" localSheetId="2" hidden="1">[3]inpermeabOTRO!#REF!</definedName>
    <definedName name="DFSGF_FDS" localSheetId="0" hidden="1">[1]inpermeabOTRO!#REF!</definedName>
    <definedName name="DFSGF_FDS" localSheetId="1" hidden="1">[1]inpermeabOTRO!#REF!</definedName>
    <definedName name="DFSGF_FDS" hidden="1">[3]inpermeabOTRO!#REF!</definedName>
    <definedName name="DSFGSDR" localSheetId="13" hidden="1">[1]inpermeabOTRO!#REF!</definedName>
    <definedName name="DSFGSDR" localSheetId="11" hidden="1">[2]inpermeabOTRO!#REF!</definedName>
    <definedName name="DSFGSDR" localSheetId="10" hidden="1">[2]inpermeabOTRO!#REF!</definedName>
    <definedName name="DSFGSDR" localSheetId="2" hidden="1">[3]inpermeabOTRO!#REF!</definedName>
    <definedName name="DSFGSDR" localSheetId="0" hidden="1">[1]inpermeabOTRO!#REF!</definedName>
    <definedName name="DSFGSDR" localSheetId="1" hidden="1">[1]inpermeabOTRO!#REF!</definedName>
    <definedName name="DSFGSDR" hidden="1">[3]inpermeabOTRO!#REF!</definedName>
    <definedName name="FDGGFDG" localSheetId="13" hidden="1">[1]inpermeabOTRO!#REF!</definedName>
    <definedName name="FDGGFDG" localSheetId="11" hidden="1">[2]inpermeabOTRO!#REF!</definedName>
    <definedName name="FDGGFDG" localSheetId="10" hidden="1">[2]inpermeabOTRO!#REF!</definedName>
    <definedName name="FDGGFDG" localSheetId="2" hidden="1">[3]inpermeabOTRO!#REF!</definedName>
    <definedName name="FDGGFDG" localSheetId="0" hidden="1">[1]inpermeabOTRO!#REF!</definedName>
    <definedName name="FDGGFDG" localSheetId="1" hidden="1">[1]inpermeabOTRO!#REF!</definedName>
    <definedName name="FDGGFDG" hidden="1">[3]inpermeabOTRO!#REF!</definedName>
    <definedName name="FSDFDSFD" localSheetId="13" hidden="1">[1]inpermeabOTRO!#REF!</definedName>
    <definedName name="FSDFDSFD" localSheetId="11" hidden="1">[2]inpermeabOTRO!#REF!</definedName>
    <definedName name="FSDFDSFD" localSheetId="10" hidden="1">[2]inpermeabOTRO!#REF!</definedName>
    <definedName name="FSDFDSFD" localSheetId="2" hidden="1">[3]inpermeabOTRO!#REF!</definedName>
    <definedName name="FSDFDSFD" localSheetId="0" hidden="1">[1]inpermeabOTRO!#REF!</definedName>
    <definedName name="FSDFDSFD" localSheetId="1" hidden="1">[1]inpermeabOTRO!#REF!</definedName>
    <definedName name="FSDFDSFD" hidden="1">[3]inpermeabOTRO!#REF!</definedName>
    <definedName name="GADFG" localSheetId="13" hidden="1">[1]inpermeabOTRO!#REF!</definedName>
    <definedName name="GADFG" localSheetId="11" hidden="1">[2]inpermeabOTRO!#REF!</definedName>
    <definedName name="GADFG" localSheetId="10" hidden="1">[2]inpermeabOTRO!#REF!</definedName>
    <definedName name="GADFG" localSheetId="2" hidden="1">[3]inpermeabOTRO!#REF!</definedName>
    <definedName name="GADFG" localSheetId="0" hidden="1">[1]inpermeabOTRO!#REF!</definedName>
    <definedName name="GADFG" localSheetId="1" hidden="1">[1]inpermeabOTRO!#REF!</definedName>
    <definedName name="GADFG" hidden="1">[3]inpermeabOTRO!#REF!</definedName>
    <definedName name="GFADG" localSheetId="13" hidden="1">[1]inpermeabOTRO!#REF!</definedName>
    <definedName name="GFADG" localSheetId="11" hidden="1">[2]inpermeabOTRO!#REF!</definedName>
    <definedName name="GFADG" localSheetId="10" hidden="1">[2]inpermeabOTRO!#REF!</definedName>
    <definedName name="GFADG" localSheetId="2" hidden="1">[3]inpermeabOTRO!#REF!</definedName>
    <definedName name="GFADG" localSheetId="0" hidden="1">[1]inpermeabOTRO!#REF!</definedName>
    <definedName name="GFADG" localSheetId="1" hidden="1">[1]inpermeabOTRO!#REF!</definedName>
    <definedName name="GFADG" hidden="1">[3]inpermeabOTRO!#REF!</definedName>
    <definedName name="h" localSheetId="13" hidden="1">{"SUMINISTRO E INSTALACIÓN CANALETAS L=7.50"}</definedName>
    <definedName name="h" localSheetId="9" hidden="1">{"SUMINISTRO E INSTALACIÓN CANALETAS L=7.50"}</definedName>
    <definedName name="h" localSheetId="6" hidden="1">{"SUMINISTRO E INSTALACIÓN CANALETAS L=7.50"}</definedName>
    <definedName name="h" localSheetId="11" hidden="1">{"SUMINISTRO E INSTALACIÓN CANALETAS L=7.50"}</definedName>
    <definedName name="h" localSheetId="10" hidden="1">{"SUMINISTRO E INSTALACIÓN CANALETAS L=7.50"}</definedName>
    <definedName name="h" localSheetId="0" hidden="1">{"SUMINISTRO E INSTALACIÓN CANALETAS L=7.50"}</definedName>
    <definedName name="h" localSheetId="1" hidden="1">{"SUMINISTRO E INSTALACIÓN CANALETAS L=7.50"}</definedName>
    <definedName name="h" localSheetId="7" hidden="1">{"SUMINISTRO E INSTALACIÓN CANALETAS L=7.50"}</definedName>
    <definedName name="h" hidden="1">{"SUMINISTRO E INSTALACIÓN CANALETAS L=7.50"}</definedName>
    <definedName name="HIJADSHYH" localSheetId="13" hidden="1">[1]inpermeabOTRO!#REF!</definedName>
    <definedName name="HIJADSHYH" localSheetId="11" hidden="1">[2]inpermeabOTRO!#REF!</definedName>
    <definedName name="HIJADSHYH" localSheetId="10" hidden="1">[2]inpermeabOTRO!#REF!</definedName>
    <definedName name="HIJADSHYH" localSheetId="2" hidden="1">[3]inpermeabOTRO!#REF!</definedName>
    <definedName name="HIJADSHYH" localSheetId="0" hidden="1">[1]inpermeabOTRO!#REF!</definedName>
    <definedName name="HIJADSHYH" localSheetId="1" hidden="1">[1]inpermeabOTRO!#REF!</definedName>
    <definedName name="HIJADSHYH" hidden="1">[3]inpermeabOTRO!#REF!</definedName>
    <definedName name="HJH" localSheetId="13" hidden="1">{"SUMINISTRO E INSTALACIÓN CANALETAS L=7.50"}</definedName>
    <definedName name="HJH" localSheetId="9" hidden="1">{"SUMINISTRO E INSTALACIÓN CANALETAS L=7.50"}</definedName>
    <definedName name="HJH" localSheetId="6" hidden="1">{"SUMINISTRO E INSTALACIÓN CANALETAS L=7.50"}</definedName>
    <definedName name="HJH" localSheetId="11" hidden="1">{"SUMINISTRO E INSTALACIÓN CANALETAS L=7.50"}</definedName>
    <definedName name="HJH" localSheetId="10" hidden="1">{"SUMINISTRO E INSTALACIÓN CANALETAS L=7.50"}</definedName>
    <definedName name="HJH" localSheetId="0" hidden="1">{"SUMINISTRO E INSTALACIÓN CANALETAS L=7.50"}</definedName>
    <definedName name="HJH" localSheetId="1" hidden="1">{"SUMINISTRO E INSTALACIÓN CANALETAS L=7.50"}</definedName>
    <definedName name="HJH" localSheetId="7" hidden="1">{"SUMINISTRO E INSTALACIÓN CANALETAS L=7.50"}</definedName>
    <definedName name="HJH" hidden="1">{"SUMINISTRO E INSTALACIÓN CANALETAS L=7.50"}</definedName>
    <definedName name="HTML_CodePage" hidden="1">1252</definedName>
    <definedName name="HTML_Control" localSheetId="13" hidden="1">{"'Parámetros'!$A$3:$C$3"}</definedName>
    <definedName name="HTML_Control" localSheetId="9" hidden="1">{"'Parámetros'!$A$3:$C$3"}</definedName>
    <definedName name="HTML_Control" localSheetId="6" hidden="1">{"'Parámetros'!$A$3:$C$3"}</definedName>
    <definedName name="HTML_Control" localSheetId="11" hidden="1">{"'Parámetros'!$A$3:$C$3"}</definedName>
    <definedName name="HTML_Control" localSheetId="10" hidden="1">{"'Parámetros'!$A$3:$C$3"}</definedName>
    <definedName name="HTML_Control" localSheetId="0" hidden="1">{"'Parámetros'!$A$3:$C$3"}</definedName>
    <definedName name="HTML_Control" localSheetId="1" hidden="1">{"'Parámetros'!$A$3:$C$3"}</definedName>
    <definedName name="HTML_Control" localSheetId="7" hidden="1">{"'Parámetros'!$A$3:$C$3"}</definedName>
    <definedName name="HTML_Control" hidden="1">{"'Parámetros'!$A$3:$C$3"}</definedName>
    <definedName name="HTML_Control2" localSheetId="13" hidden="1">{"'Parámetros'!$A$3:$C$3"}</definedName>
    <definedName name="HTML_Control2" localSheetId="9" hidden="1">{"'Parámetros'!$A$3:$C$3"}</definedName>
    <definedName name="HTML_Control2" localSheetId="6" hidden="1">{"'Parámetros'!$A$3:$C$3"}</definedName>
    <definedName name="HTML_Control2" localSheetId="11" hidden="1">{"'Parámetros'!$A$3:$C$3"}</definedName>
    <definedName name="HTML_Control2" localSheetId="10" hidden="1">{"'Parámetros'!$A$3:$C$3"}</definedName>
    <definedName name="HTML_Control2" localSheetId="0" hidden="1">{"'Parámetros'!$A$3:$C$3"}</definedName>
    <definedName name="HTML_Control2" localSheetId="1" hidden="1">{"'Parámetros'!$A$3:$C$3"}</definedName>
    <definedName name="HTML_Control2" localSheetId="7" hidden="1">{"'Parámetros'!$A$3:$C$3"}</definedName>
    <definedName name="HTML_Control2" hidden="1">{"'Parámetros'!$A$3:$C$3"}</definedName>
    <definedName name="HTML_Description" hidden="1">""</definedName>
    <definedName name="HTML_Email" hidden="1">""</definedName>
    <definedName name="HTML_Header" hidden="1">"Parámetros"</definedName>
    <definedName name="HTML_LastUpdate" hidden="1">"7/06/2001"</definedName>
    <definedName name="HTML_LineAfter" hidden="1">FALSE</definedName>
    <definedName name="HTML_LineBefore" hidden="1">TRUE</definedName>
    <definedName name="HTML_Name" hidden="1">"EMPRESA DE ACUEDUCTO Y ALCANT"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"C:\Verificacion\Modelo.htm"</definedName>
    <definedName name="HTML_PathTemplate" hidden="1">"C:\Verificacion\&lt;!--##Table##--&gt;"</definedName>
    <definedName name="HTML_Title" hidden="1">"Empresarial"</definedName>
    <definedName name="hu" localSheetId="13" hidden="1">{"SUMINISTRO E INSTALACIÓN CANALETAS L=7.50"}</definedName>
    <definedName name="hu" localSheetId="9" hidden="1">{"SUMINISTRO E INSTALACIÓN CANALETAS L=7.50"}</definedName>
    <definedName name="hu" localSheetId="6" hidden="1">{"SUMINISTRO E INSTALACIÓN CANALETAS L=7.50"}</definedName>
    <definedName name="hu" localSheetId="11" hidden="1">{"SUMINISTRO E INSTALACIÓN CANALETAS L=7.50"}</definedName>
    <definedName name="hu" localSheetId="10" hidden="1">{"SUMINISTRO E INSTALACIÓN CANALETAS L=7.50"}</definedName>
    <definedName name="hu" localSheetId="0" hidden="1">{"SUMINISTRO E INSTALACIÓN CANALETAS L=7.50"}</definedName>
    <definedName name="hu" localSheetId="1" hidden="1">{"SUMINISTRO E INSTALACIÓN CANALETAS L=7.50"}</definedName>
    <definedName name="hu" localSheetId="7" hidden="1">{"SUMINISTRO E INSTALACIÓN CANALETAS L=7.50"}</definedName>
    <definedName name="hu" hidden="1">{"SUMINISTRO E INSTALACIÓN CANALETAS L=7.50"}</definedName>
    <definedName name="jairo" localSheetId="10" hidden="1">#REF!</definedName>
    <definedName name="jairo" localSheetId="2" hidden="1">#REF!</definedName>
    <definedName name="jairo" localSheetId="0" hidden="1">#REF!</definedName>
    <definedName name="jairo" localSheetId="1" hidden="1">#REF!</definedName>
    <definedName name="jairo" hidden="1">#REF!</definedName>
    <definedName name="jairo2" localSheetId="10" hidden="1">#REF!</definedName>
    <definedName name="jairo2" localSheetId="2" hidden="1">#REF!</definedName>
    <definedName name="jairo2" localSheetId="0" hidden="1">#REF!</definedName>
    <definedName name="jairo2" localSheetId="1" hidden="1">#REF!</definedName>
    <definedName name="jairo2" hidden="1">#REF!</definedName>
    <definedName name="JJJJJ" localSheetId="13" hidden="1">{"SUMINISTRO E INSTALACIÓN CANALETAS L=7.50"}</definedName>
    <definedName name="JJJJJ" localSheetId="9" hidden="1">{"SUMINISTRO E INSTALACIÓN CANALETAS L=7.50"}</definedName>
    <definedName name="JJJJJ" localSheetId="6" hidden="1">{"SUMINISTRO E INSTALACIÓN CANALETAS L=7.50"}</definedName>
    <definedName name="JJJJJ" localSheetId="11" hidden="1">{"SUMINISTRO E INSTALACIÓN CANALETAS L=7.50"}</definedName>
    <definedName name="JJJJJ" localSheetId="10" hidden="1">{"SUMINISTRO E INSTALACIÓN CANALETAS L=7.50"}</definedName>
    <definedName name="JJJJJ" localSheetId="0" hidden="1">{"SUMINISTRO E INSTALACIÓN CANALETAS L=7.50"}</definedName>
    <definedName name="JJJJJ" localSheetId="1" hidden="1">{"SUMINISTRO E INSTALACIÓN CANALETAS L=7.50"}</definedName>
    <definedName name="JJJJJ" localSheetId="7" hidden="1">{"SUMINISTRO E INSTALACIÓN CANALETAS L=7.50"}</definedName>
    <definedName name="JJJJJ" hidden="1">{"SUMINISTRO E INSTALACIÓN CANALETAS L=7.50"}</definedName>
    <definedName name="KI" localSheetId="13" hidden="1">[1]inpermeabOTRO!#REF!</definedName>
    <definedName name="KI" localSheetId="11" hidden="1">[2]inpermeabOTRO!#REF!</definedName>
    <definedName name="KI" localSheetId="10" hidden="1">[2]inpermeabOTRO!#REF!</definedName>
    <definedName name="KI" localSheetId="2" hidden="1">[3]inpermeabOTRO!#REF!</definedName>
    <definedName name="KI" localSheetId="0" hidden="1">[1]inpermeabOTRO!#REF!</definedName>
    <definedName name="KI" localSheetId="1" hidden="1">[1]inpermeabOTRO!#REF!</definedName>
    <definedName name="KI" hidden="1">[3]inpermeabOTRO!#REF!</definedName>
    <definedName name="lig_xls" localSheetId="13" hidden="1">[1]inpermeabOTRO!#REF!</definedName>
    <definedName name="lig_xls" localSheetId="11" hidden="1">[2]inpermeabOTRO!#REF!</definedName>
    <definedName name="lig_xls" localSheetId="10" hidden="1">[2]inpermeabOTRO!#REF!</definedName>
    <definedName name="lig_xls" localSheetId="2" hidden="1">[3]inpermeabOTRO!#REF!</definedName>
    <definedName name="lig_xls" localSheetId="0" hidden="1">[1]inpermeabOTRO!#REF!</definedName>
    <definedName name="lig_xls" localSheetId="1" hidden="1">[1]inpermeabOTRO!#REF!</definedName>
    <definedName name="lig_xls" hidden="1">[3]inpermeabOTRO!#REF!</definedName>
    <definedName name="LK_JK" localSheetId="13" hidden="1">[1]inpermeabOTRO!#REF!</definedName>
    <definedName name="LK_JK" localSheetId="11" hidden="1">[2]inpermeabOTRO!#REF!</definedName>
    <definedName name="LK_JK" localSheetId="10" hidden="1">[2]inpermeabOTRO!#REF!</definedName>
    <definedName name="LK_JK" localSheetId="2" hidden="1">[3]inpermeabOTRO!#REF!</definedName>
    <definedName name="LK_JK" localSheetId="0" hidden="1">[1]inpermeabOTRO!#REF!</definedName>
    <definedName name="LK_JK" localSheetId="1" hidden="1">[1]inpermeabOTRO!#REF!</definedName>
    <definedName name="LK_JK" hidden="1">[3]inpermeabOTRO!#REF!</definedName>
    <definedName name="LLL_KK" localSheetId="13" hidden="1">[1]inpermeabOTRO!#REF!</definedName>
    <definedName name="LLL_KK" localSheetId="11" hidden="1">[2]inpermeabOTRO!#REF!</definedName>
    <definedName name="LLL_KK" localSheetId="10" hidden="1">[2]inpermeabOTRO!#REF!</definedName>
    <definedName name="LLL_KK" localSheetId="2" hidden="1">[3]inpermeabOTRO!#REF!</definedName>
    <definedName name="LLL_KK" localSheetId="0" hidden="1">[1]inpermeabOTRO!#REF!</definedName>
    <definedName name="LLL_KK" localSheetId="1" hidden="1">[1]inpermeabOTRO!#REF!</definedName>
    <definedName name="LLL_KK" hidden="1">[3]inpermeabOTRO!#REF!</definedName>
    <definedName name="LOCAT1999" localSheetId="13" hidden="1">{"SUMINISTRO E INSTALACIÓN CANALETAS L=7.50"}</definedName>
    <definedName name="LOCAT1999" localSheetId="9" hidden="1">{"SUMINISTRO E INSTALACIÓN CANALETAS L=7.50"}</definedName>
    <definedName name="LOCAT1999" localSheetId="6" hidden="1">{"SUMINISTRO E INSTALACIÓN CANALETAS L=7.50"}</definedName>
    <definedName name="LOCAT1999" localSheetId="11" hidden="1">{"SUMINISTRO E INSTALACIÓN CANALETAS L=7.50"}</definedName>
    <definedName name="LOCAT1999" localSheetId="10" hidden="1">{"SUMINISTRO E INSTALACIÓN CANALETAS L=7.50"}</definedName>
    <definedName name="LOCAT1999" localSheetId="0" hidden="1">{"SUMINISTRO E INSTALACIÓN CANALETAS L=7.50"}</definedName>
    <definedName name="LOCAT1999" localSheetId="1" hidden="1">{"SUMINISTRO E INSTALACIÓN CANALETAS L=7.50"}</definedName>
    <definedName name="LOCAT1999" localSheetId="7" hidden="1">{"SUMINISTRO E INSTALACIÓN CANALETAS L=7.50"}</definedName>
    <definedName name="LOCAT1999" hidden="1">{"SUMINISTRO E INSTALACIÓN CANALETAS L=7.50"}</definedName>
    <definedName name="q" localSheetId="13" hidden="1">{"via1",#N/A,TRUE,"general";"via2",#N/A,TRUE,"general";"via3",#N/A,TRUE,"general"}</definedName>
    <definedName name="q" localSheetId="9" hidden="1">{"via1",#N/A,TRUE,"general";"via2",#N/A,TRUE,"general";"via3",#N/A,TRUE,"general"}</definedName>
    <definedName name="q" localSheetId="6" hidden="1">{"via1",#N/A,TRUE,"general";"via2",#N/A,TRUE,"general";"via3",#N/A,TRUE,"general"}</definedName>
    <definedName name="q" localSheetId="11" hidden="1">{"via1",#N/A,TRUE,"general";"via2",#N/A,TRUE,"general";"via3",#N/A,TRUE,"general"}</definedName>
    <definedName name="q" localSheetId="10" hidden="1">{"via1",#N/A,TRUE,"general";"via2",#N/A,TRUE,"general";"via3",#N/A,TRUE,"general"}</definedName>
    <definedName name="q" localSheetId="0" hidden="1">{"via1",#N/A,TRUE,"general";"via2",#N/A,TRUE,"general";"via3",#N/A,TRUE,"general"}</definedName>
    <definedName name="q" localSheetId="1" hidden="1">{"via1",#N/A,TRUE,"general";"via2",#N/A,TRUE,"general";"via3",#N/A,TRUE,"general"}</definedName>
    <definedName name="q" localSheetId="7" hidden="1">{"via1",#N/A,TRUE,"general";"via2",#N/A,TRUE,"general";"via3",#N/A,TRUE,"general"}</definedName>
    <definedName name="q" hidden="1">{"via1",#N/A,TRUE,"general";"via2",#N/A,TRUE,"general";"via3",#N/A,TRUE,"general"}</definedName>
    <definedName name="QWEE" localSheetId="13" hidden="1">[1]inpermeabOTRO!#REF!</definedName>
    <definedName name="QWEE" localSheetId="11" hidden="1">[2]inpermeabOTRO!#REF!</definedName>
    <definedName name="QWEE" localSheetId="10" hidden="1">[2]inpermeabOTRO!#REF!</definedName>
    <definedName name="QWEE" localSheetId="2" hidden="1">[3]inpermeabOTRO!#REF!</definedName>
    <definedName name="QWEE" localSheetId="0" hidden="1">[1]inpermeabOTRO!#REF!</definedName>
    <definedName name="QWEE" localSheetId="1" hidden="1">[1]inpermeabOTRO!#REF!</definedName>
    <definedName name="QWEE" hidden="1">[3]inpermeabOTRO!#REF!</definedName>
    <definedName name="sanjorge" localSheetId="13" hidden="1">{"SUMINISTRO E INSTALACIÓN CANALETAS L=7.50"}</definedName>
    <definedName name="sanjorge" localSheetId="9" hidden="1">{"SUMINISTRO E INSTALACIÓN CANALETAS L=7.50"}</definedName>
    <definedName name="sanjorge" localSheetId="6" hidden="1">{"SUMINISTRO E INSTALACIÓN CANALETAS L=7.50"}</definedName>
    <definedName name="sanjorge" localSheetId="11" hidden="1">{"SUMINISTRO E INSTALACIÓN CANALETAS L=7.50"}</definedName>
    <definedName name="sanjorge" localSheetId="10" hidden="1">{"SUMINISTRO E INSTALACIÓN CANALETAS L=7.50"}</definedName>
    <definedName name="sanjorge" localSheetId="0" hidden="1">{"SUMINISTRO E INSTALACIÓN CANALETAS L=7.50"}</definedName>
    <definedName name="sanjorge" localSheetId="1" hidden="1">{"SUMINISTRO E INSTALACIÓN CANALETAS L=7.50"}</definedName>
    <definedName name="sanjorge" localSheetId="7" hidden="1">{"SUMINISTRO E INSTALACIÓN CANALETAS L=7.50"}</definedName>
    <definedName name="sanjorge" hidden="1">{"SUMINISTRO E INSTALACIÓN CANALETAS L=7.50"}</definedName>
    <definedName name="SAPBEXrevision" hidden="1">0</definedName>
    <definedName name="SAPBEXsysID" hidden="1">"BWP"</definedName>
    <definedName name="SAPBEXwbID" hidden="1">"4A0Q8IOGXKY1EQBMQUM4CE2HB"</definedName>
    <definedName name="scen_change" localSheetId="13" hidden="1">[1]inpermeabOTRO!#REF!</definedName>
    <definedName name="scen_change" localSheetId="6" hidden="1">[3]inpermeabOTRO!#REF!</definedName>
    <definedName name="scen_change" localSheetId="11" hidden="1">[2]inpermeabOTRO!#REF!</definedName>
    <definedName name="scen_change" localSheetId="10" hidden="1">[2]inpermeabOTRO!#REF!</definedName>
    <definedName name="scen_change" localSheetId="2" hidden="1">[3]inpermeabOTRO!#REF!</definedName>
    <definedName name="scen_change" localSheetId="0" hidden="1">[1]inpermeabOTRO!#REF!</definedName>
    <definedName name="scen_change" localSheetId="1" hidden="1">[1]inpermeabOTRO!#REF!</definedName>
    <definedName name="scen_change" localSheetId="7" hidden="1">[3]inpermeabOTRO!#REF!</definedName>
    <definedName name="scen_change" hidden="1">[3]inpermeabOTRO!#REF!</definedName>
    <definedName name="scen_name1" hidden="1">"arial"</definedName>
    <definedName name="scen_num" hidden="1">1</definedName>
    <definedName name="scen_user1" hidden="1">"DIRECCION DE INFORMATICA"</definedName>
    <definedName name="scen_value1" localSheetId="13" hidden="1">{"SUMINISTRO E INSTALACIÓN CANALETAS L=7.50"}</definedName>
    <definedName name="scen_value1" localSheetId="9" hidden="1">{"SUMINISTRO E INSTALACIÓN CANALETAS L=7.50"}</definedName>
    <definedName name="scen_value1" localSheetId="6" hidden="1">{"SUMINISTRO E INSTALACIÓN CANALETAS L=7.50"}</definedName>
    <definedName name="scen_value1" localSheetId="11" hidden="1">{"SUMINISTRO E INSTALACIÓN CANALETAS L=7.50"}</definedName>
    <definedName name="scen_value1" localSheetId="10" hidden="1">{"SUMINISTRO E INSTALACIÓN CANALETAS L=7.50"}</definedName>
    <definedName name="scen_value1" localSheetId="0" hidden="1">{"SUMINISTRO E INSTALACIÓN CANALETAS L=7.50"}</definedName>
    <definedName name="scen_value1" localSheetId="1" hidden="1">{"SUMINISTRO E INSTALACIÓN CANALETAS L=7.50"}</definedName>
    <definedName name="scen_value1" localSheetId="7" hidden="1">{"SUMINISTRO E INSTALACIÓN CANALETAS L=7.50"}</definedName>
    <definedName name="scen_value1" hidden="1">{"SUMINISTRO E INSTALACIÓN CANALETAS L=7.50"}</definedName>
    <definedName name="SDFS" localSheetId="13" hidden="1">[1]inpermeabOTRO!#REF!</definedName>
    <definedName name="SDFS" localSheetId="11" hidden="1">[2]inpermeabOTRO!#REF!</definedName>
    <definedName name="SDFS" localSheetId="10" hidden="1">[2]inpermeabOTRO!#REF!</definedName>
    <definedName name="SDFS" localSheetId="2" hidden="1">[3]inpermeabOTRO!#REF!</definedName>
    <definedName name="SDFS" localSheetId="0" hidden="1">[1]inpermeabOTRO!#REF!</definedName>
    <definedName name="SDFS" localSheetId="1" hidden="1">[1]inpermeabOTRO!#REF!</definedName>
    <definedName name="SDFS" hidden="1">[3]inpermeabOTRO!#REF!</definedName>
    <definedName name="SR" localSheetId="13" hidden="1">[1]inpermeabOTRO!#REF!</definedName>
    <definedName name="SR" localSheetId="11" hidden="1">[2]inpermeabOTRO!#REF!</definedName>
    <definedName name="SR" localSheetId="10" hidden="1">[2]inpermeabOTRO!#REF!</definedName>
    <definedName name="SR" localSheetId="2" hidden="1">[3]inpermeabOTRO!#REF!</definedName>
    <definedName name="SR" localSheetId="0" hidden="1">[1]inpermeabOTRO!#REF!</definedName>
    <definedName name="SR" localSheetId="1" hidden="1">[1]inpermeabOTRO!#REF!</definedName>
    <definedName name="SR" hidden="1">[3]inpermeabOTRO!#REF!</definedName>
    <definedName name="SS_SS" localSheetId="13" hidden="1">[1]inpermeabOTRO!#REF!</definedName>
    <definedName name="SS_SS" localSheetId="11" hidden="1">[2]inpermeabOTRO!#REF!</definedName>
    <definedName name="SS_SS" localSheetId="10" hidden="1">[2]inpermeabOTRO!#REF!</definedName>
    <definedName name="SS_SS" localSheetId="2" hidden="1">[3]inpermeabOTRO!#REF!</definedName>
    <definedName name="SS_SS" localSheetId="0" hidden="1">[1]inpermeabOTRO!#REF!</definedName>
    <definedName name="SS_SS" localSheetId="1" hidden="1">[1]inpermeabOTRO!#REF!</definedName>
    <definedName name="SS_SS" hidden="1">[3]inpermeabOTRO!#REF!</definedName>
    <definedName name="wbas" localSheetId="6" hidden="1">#REF!</definedName>
    <definedName name="wbas" localSheetId="10" hidden="1">#REF!</definedName>
    <definedName name="wbas" localSheetId="2" hidden="1">#REF!</definedName>
    <definedName name="wbas" localSheetId="0" hidden="1">#REF!</definedName>
    <definedName name="wbas" localSheetId="1" hidden="1">#REF!</definedName>
    <definedName name="wbas" localSheetId="7" hidden="1">#REF!</definedName>
    <definedName name="wbas" hidden="1">#REF!</definedName>
    <definedName name="wrn.actafabi." localSheetId="13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localSheetId="9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localSheetId="6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localSheetId="11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localSheetId="10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localSheetId="0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localSheetId="1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localSheetId="7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actafabi." hidden="1">{"hoja1",#N/A,FALSE,"Hoja1";"hoja2cuadro1",#N/A,FALSE,"Hoja2";"hoja2cuadro2",#N/A,FALSE,"Hoja2";"hoja2cuadro3",#N/A,FALSE,"Hoja2";"hoja2cuadro4",#N/A,FALSE,"Hoja2";"hoja3",#N/A,FALSE,"Hoja3";"hoja4",#N/A,FALSE,"Hoja4";"hoja5cuadro1",#N/A,FALSE,"Hoja5";"hoja5cuadro2",#N/A,FALSE,"Hoja5";"hoja5cuadro3",#N/A,FALSE,"Hoja5";"hoja5cuadro4",#N/A,FALSE,"Hoja5";"hoja5cuadro5",#N/A,FALSE,"Hoja5";"hoja5cuadro6",#N/A,FALSE,"Hoja5";"hoja6cuadro1",#N/A,FALSE,"Hoja6";"hoja6cuadro2",#N/A,FALSE,"Hoja6";"hoja7",#N/A,FALSE,"Hoja7";"hoja 9",#N/A,FALSE,"Hoja9";"hoja8",#N/A,FALSE,"Hoja8"}</definedName>
    <definedName name="wrn.formu." localSheetId="13" hidden="1">{"VIA1",#N/A,TRUE,"formul";"VIA2",#N/A,TRUE,"formul";"VIA3",#N/A,TRUE,"formul"}</definedName>
    <definedName name="wrn.formu." localSheetId="9" hidden="1">{"VIA1",#N/A,TRUE,"formul";"VIA2",#N/A,TRUE,"formul";"VIA3",#N/A,TRUE,"formul"}</definedName>
    <definedName name="wrn.formu." localSheetId="6" hidden="1">{"VIA1",#N/A,TRUE,"formul";"VIA2",#N/A,TRUE,"formul";"VIA3",#N/A,TRUE,"formul"}</definedName>
    <definedName name="wrn.formu." localSheetId="11" hidden="1">{"VIA1",#N/A,TRUE,"formul";"VIA2",#N/A,TRUE,"formul";"VIA3",#N/A,TRUE,"formul"}</definedName>
    <definedName name="wrn.formu." localSheetId="10" hidden="1">{"VIA1",#N/A,TRUE,"formul";"VIA2",#N/A,TRUE,"formul";"VIA3",#N/A,TRUE,"formul"}</definedName>
    <definedName name="wrn.formu." localSheetId="0" hidden="1">{"VIA1",#N/A,TRUE,"formul";"VIA2",#N/A,TRUE,"formul";"VIA3",#N/A,TRUE,"formul"}</definedName>
    <definedName name="wrn.formu." localSheetId="1" hidden="1">{"VIA1",#N/A,TRUE,"formul";"VIA2",#N/A,TRUE,"formul";"VIA3",#N/A,TRUE,"formul"}</definedName>
    <definedName name="wrn.formu." localSheetId="7" hidden="1">{"VIA1",#N/A,TRUE,"formul";"VIA2",#N/A,TRUE,"formul";"VIA3",#N/A,TRUE,"formul"}</definedName>
    <definedName name="wrn.formu." hidden="1">{"VIA1",#N/A,TRUE,"formul";"VIA2",#N/A,TRUE,"formul";"VIA3",#N/A,TRUE,"formul"}</definedName>
    <definedName name="wrn.GENERAL." localSheetId="13" hidden="1">{"TAB1",#N/A,TRUE,"GENERAL";"TAB2",#N/A,TRUE,"GENERAL";"TAB3",#N/A,TRUE,"GENERAL";"TAB4",#N/A,TRUE,"GENERAL";"TAB5",#N/A,TRUE,"GENERAL"}</definedName>
    <definedName name="wrn.GENERAL." localSheetId="9" hidden="1">{"TAB1",#N/A,TRUE,"GENERAL";"TAB2",#N/A,TRUE,"GENERAL";"TAB3",#N/A,TRUE,"GENERAL";"TAB4",#N/A,TRUE,"GENERAL";"TAB5",#N/A,TRUE,"GENERAL"}</definedName>
    <definedName name="wrn.GENERAL." localSheetId="6" hidden="1">{"TAB1",#N/A,TRUE,"GENERAL";"TAB2",#N/A,TRUE,"GENERAL";"TAB3",#N/A,TRUE,"GENERAL";"TAB4",#N/A,TRUE,"GENERAL";"TAB5",#N/A,TRUE,"GENERAL"}</definedName>
    <definedName name="wrn.GENERAL." localSheetId="11" hidden="1">{"TAB1",#N/A,TRUE,"GENERAL";"TAB2",#N/A,TRUE,"GENERAL";"TAB3",#N/A,TRUE,"GENERAL";"TAB4",#N/A,TRUE,"GENERAL";"TAB5",#N/A,TRUE,"GENERAL"}</definedName>
    <definedName name="wrn.GENERAL." localSheetId="10" hidden="1">{"TAB1",#N/A,TRUE,"GENERAL";"TAB2",#N/A,TRUE,"GENERAL";"TAB3",#N/A,TRUE,"GENERAL";"TAB4",#N/A,TRUE,"GENERAL";"TAB5",#N/A,TRUE,"GENERAL"}</definedName>
    <definedName name="wrn.GENERAL." localSheetId="0" hidden="1">{"TAB1",#N/A,TRUE,"GENERAL";"TAB2",#N/A,TRUE,"GENERAL";"TAB3",#N/A,TRUE,"GENERAL";"TAB4",#N/A,TRUE,"GENERAL";"TAB5",#N/A,TRUE,"GENERAL"}</definedName>
    <definedName name="wrn.GENERAL." localSheetId="1" hidden="1">{"TAB1",#N/A,TRUE,"GENERAL";"TAB2",#N/A,TRUE,"GENERAL";"TAB3",#N/A,TRUE,"GENERAL";"TAB4",#N/A,TRUE,"GENERAL";"TAB5",#N/A,TRUE,"GENERAL"}</definedName>
    <definedName name="wrn.GENERAL." localSheetId="7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localSheetId="13" hidden="1">{"via1",#N/A,TRUE,"general";"via2",#N/A,TRUE,"general";"via3",#N/A,TRUE,"general"}</definedName>
    <definedName name="wrn.via." localSheetId="9" hidden="1">{"via1",#N/A,TRUE,"general";"via2",#N/A,TRUE,"general";"via3",#N/A,TRUE,"general"}</definedName>
    <definedName name="wrn.via." localSheetId="6" hidden="1">{"via1",#N/A,TRUE,"general";"via2",#N/A,TRUE,"general";"via3",#N/A,TRUE,"general"}</definedName>
    <definedName name="wrn.via." localSheetId="11" hidden="1">{"via1",#N/A,TRUE,"general";"via2",#N/A,TRUE,"general";"via3",#N/A,TRUE,"general"}</definedName>
    <definedName name="wrn.via." localSheetId="10" hidden="1">{"via1",#N/A,TRUE,"general";"via2",#N/A,TRUE,"general";"via3",#N/A,TRUE,"general"}</definedName>
    <definedName name="wrn.via." localSheetId="0" hidden="1">{"via1",#N/A,TRUE,"general";"via2",#N/A,TRUE,"general";"via3",#N/A,TRUE,"general"}</definedName>
    <definedName name="wrn.via." localSheetId="1" hidden="1">{"via1",#N/A,TRUE,"general";"via2",#N/A,TRUE,"general";"via3",#N/A,TRUE,"general"}</definedName>
    <definedName name="wrn.via." localSheetId="7" hidden="1">{"via1",#N/A,TRUE,"general";"via2",#N/A,TRUE,"general";"via3",#N/A,TRUE,"general"}</definedName>
    <definedName name="wrn.via." hidden="1">{"via1",#N/A,TRUE,"general";"via2",#N/A,TRUE,"general";"via3",#N/A,TRUE,"general"}</definedName>
    <definedName name="WWWWW" localSheetId="13" hidden="1">{"SUMINISTRO E INSTALACIÓN CANALETAS L=7.50"}</definedName>
    <definedName name="WWWWW" localSheetId="9" hidden="1">{"SUMINISTRO E INSTALACIÓN CANALETAS L=7.50"}</definedName>
    <definedName name="WWWWW" localSheetId="6" hidden="1">{"SUMINISTRO E INSTALACIÓN CANALETAS L=7.50"}</definedName>
    <definedName name="WWWWW" localSheetId="11" hidden="1">{"SUMINISTRO E INSTALACIÓN CANALETAS L=7.50"}</definedName>
    <definedName name="WWWWW" localSheetId="10" hidden="1">{"SUMINISTRO E INSTALACIÓN CANALETAS L=7.50"}</definedName>
    <definedName name="WWWWW" localSheetId="0" hidden="1">{"SUMINISTRO E INSTALACIÓN CANALETAS L=7.50"}</definedName>
    <definedName name="WWWWW" localSheetId="1" hidden="1">{"SUMINISTRO E INSTALACIÓN CANALETAS L=7.50"}</definedName>
    <definedName name="WWWWW" localSheetId="7" hidden="1">{"SUMINISTRO E INSTALACIÓN CANALETAS L=7.50"}</definedName>
    <definedName name="WWWWW" hidden="1">{"SUMINISTRO E INSTALACIÓN CANALETAS L=7.50"}</definedName>
    <definedName name="XXX" localSheetId="10" hidden="1">#REF!</definedName>
    <definedName name="XXX" localSheetId="2" hidden="1">#REF!</definedName>
    <definedName name="XXX" localSheetId="0" hidden="1">#REF!</definedName>
    <definedName name="XXX" localSheetId="1" hidden="1">#REF!</definedName>
    <definedName name="XXX" hidden="1">#REF!</definedName>
    <definedName name="Z_235A93C1_87C6_11D4_BB51_444553540000_.wvu.Cols" localSheetId="13" hidden="1">'[7]3'!#REF!,'[7]3'!#REF!</definedName>
    <definedName name="Z_235A93C1_87C6_11D4_BB51_444553540000_.wvu.Cols" localSheetId="6" hidden="1">'[7]3'!#REF!,'[7]3'!#REF!</definedName>
    <definedName name="Z_235A93C1_87C6_11D4_BB51_444553540000_.wvu.Cols" localSheetId="10" hidden="1">'[7]3'!#REF!,'[7]3'!#REF!</definedName>
    <definedName name="Z_235A93C1_87C6_11D4_BB51_444553540000_.wvu.Cols" localSheetId="2" hidden="1">'[7]3'!#REF!,'[7]3'!#REF!</definedName>
    <definedName name="Z_235A93C1_87C6_11D4_BB51_444553540000_.wvu.Cols" localSheetId="0" hidden="1">'[7]3'!#REF!,'[7]3'!#REF!</definedName>
    <definedName name="Z_235A93C1_87C6_11D4_BB51_444553540000_.wvu.Cols" localSheetId="1" hidden="1">'[7]3'!#REF!,'[7]3'!#REF!</definedName>
    <definedName name="Z_235A93C1_87C6_11D4_BB51_444553540000_.wvu.Cols" localSheetId="7" hidden="1">'[7]3'!#REF!,'[7]3'!#REF!</definedName>
    <definedName name="Z_235A93C1_87C6_11D4_BB51_444553540000_.wvu.Cols" hidden="1">'[7]3'!#REF!,'[7]3'!#REF!</definedName>
    <definedName name="Z_235A93C2_87C6_11D4_BB51_444553540000_.wvu.Cols" localSheetId="13" hidden="1">'[7]3'!#REF!,'[7]3'!#REF!</definedName>
    <definedName name="Z_235A93C2_87C6_11D4_BB51_444553540000_.wvu.Cols" localSheetId="6" hidden="1">'[7]3'!#REF!,'[7]3'!#REF!</definedName>
    <definedName name="Z_235A93C2_87C6_11D4_BB51_444553540000_.wvu.Cols" localSheetId="10" hidden="1">'[7]3'!#REF!,'[7]3'!#REF!</definedName>
    <definedName name="Z_235A93C2_87C6_11D4_BB51_444553540000_.wvu.Cols" localSheetId="2" hidden="1">'[7]3'!#REF!,'[7]3'!#REF!</definedName>
    <definedName name="Z_235A93C2_87C6_11D4_BB51_444553540000_.wvu.Cols" localSheetId="0" hidden="1">'[7]3'!#REF!,'[7]3'!#REF!</definedName>
    <definedName name="Z_235A93C2_87C6_11D4_BB51_444553540000_.wvu.Cols" localSheetId="1" hidden="1">'[7]3'!#REF!,'[7]3'!#REF!</definedName>
    <definedName name="Z_235A93C2_87C6_11D4_BB51_444553540000_.wvu.Cols" localSheetId="7" hidden="1">'[7]3'!#REF!,'[7]3'!#REF!</definedName>
    <definedName name="Z_235A93C2_87C6_11D4_BB51_444553540000_.wvu.Cols" hidden="1">'[7]3'!#REF!,'[7]3'!#REF!</definedName>
    <definedName name="Z_235A93C3_87C6_11D4_BB51_444553540000_.wvu.Cols" localSheetId="13" hidden="1">'[7]3'!#REF!,'[7]3'!#REF!</definedName>
    <definedName name="Z_235A93C3_87C6_11D4_BB51_444553540000_.wvu.Cols" localSheetId="6" hidden="1">'[7]3'!#REF!,'[7]3'!#REF!</definedName>
    <definedName name="Z_235A93C3_87C6_11D4_BB51_444553540000_.wvu.Cols" localSheetId="10" hidden="1">'[7]3'!#REF!,'[7]3'!#REF!</definedName>
    <definedName name="Z_235A93C3_87C6_11D4_BB51_444553540000_.wvu.Cols" localSheetId="2" hidden="1">'[7]3'!#REF!,'[7]3'!#REF!</definedName>
    <definedName name="Z_235A93C3_87C6_11D4_BB51_444553540000_.wvu.Cols" localSheetId="0" hidden="1">'[7]3'!#REF!,'[7]3'!#REF!</definedName>
    <definedName name="Z_235A93C3_87C6_11D4_BB51_444553540000_.wvu.Cols" localSheetId="1" hidden="1">'[7]3'!#REF!,'[7]3'!#REF!</definedName>
    <definedName name="Z_235A93C3_87C6_11D4_BB51_444553540000_.wvu.Cols" localSheetId="7" hidden="1">'[7]3'!#REF!,'[7]3'!#REF!</definedName>
    <definedName name="Z_235A93C3_87C6_11D4_BB51_444553540000_.wvu.Cols" hidden="1">'[7]3'!#REF!,'[7]3'!#REF!</definedName>
    <definedName name="Z_235A93C4_87C6_11D4_BB51_444553540000_.wvu.Cols" localSheetId="13" hidden="1">'[7]3'!#REF!,'[7]3'!#REF!</definedName>
    <definedName name="Z_235A93C4_87C6_11D4_BB51_444553540000_.wvu.Cols" localSheetId="6" hidden="1">'[7]3'!#REF!,'[7]3'!#REF!</definedName>
    <definedName name="Z_235A93C4_87C6_11D4_BB51_444553540000_.wvu.Cols" localSheetId="10" hidden="1">'[7]3'!#REF!,'[7]3'!#REF!</definedName>
    <definedName name="Z_235A93C4_87C6_11D4_BB51_444553540000_.wvu.Cols" localSheetId="2" hidden="1">'[7]3'!#REF!,'[7]3'!#REF!</definedName>
    <definedName name="Z_235A93C4_87C6_11D4_BB51_444553540000_.wvu.Cols" localSheetId="0" hidden="1">'[7]3'!#REF!,'[7]3'!#REF!</definedName>
    <definedName name="Z_235A93C4_87C6_11D4_BB51_444553540000_.wvu.Cols" localSheetId="1" hidden="1">'[7]3'!#REF!,'[7]3'!#REF!</definedName>
    <definedName name="Z_235A93C4_87C6_11D4_BB51_444553540000_.wvu.Cols" localSheetId="7" hidden="1">'[7]3'!#REF!,'[7]3'!#REF!</definedName>
    <definedName name="Z_235A93C4_87C6_11D4_BB51_444553540000_.wvu.Cols" hidden="1">'[7]3'!#REF!,'[7]3'!#REF!</definedName>
    <definedName name="Z_235A93C5_87C6_11D4_BB51_444553540000_.wvu.Cols" localSheetId="13" hidden="1">'[7]3'!#REF!,'[7]3'!#REF!</definedName>
    <definedName name="Z_235A93C5_87C6_11D4_BB51_444553540000_.wvu.Cols" localSheetId="6" hidden="1">'[7]3'!#REF!,'[7]3'!#REF!</definedName>
    <definedName name="Z_235A93C5_87C6_11D4_BB51_444553540000_.wvu.Cols" localSheetId="10" hidden="1">'[7]3'!#REF!,'[7]3'!#REF!</definedName>
    <definedName name="Z_235A93C5_87C6_11D4_BB51_444553540000_.wvu.Cols" localSheetId="2" hidden="1">'[7]3'!#REF!,'[7]3'!#REF!</definedName>
    <definedName name="Z_235A93C5_87C6_11D4_BB51_444553540000_.wvu.Cols" localSheetId="0" hidden="1">'[7]3'!#REF!,'[7]3'!#REF!</definedName>
    <definedName name="Z_235A93C5_87C6_11D4_BB51_444553540000_.wvu.Cols" localSheetId="1" hidden="1">'[7]3'!#REF!,'[7]3'!#REF!</definedName>
    <definedName name="Z_235A93C5_87C6_11D4_BB51_444553540000_.wvu.Cols" localSheetId="7" hidden="1">'[7]3'!#REF!,'[7]3'!#REF!</definedName>
    <definedName name="Z_235A93C5_87C6_11D4_BB51_444553540000_.wvu.Cols" hidden="1">'[7]3'!#REF!,'[7]3'!#REF!</definedName>
    <definedName name="Z_235A93C6_87C6_11D4_BB51_444553540000_.wvu.Cols" localSheetId="13" hidden="1">'[7]3'!#REF!,'[7]3'!#REF!</definedName>
    <definedName name="Z_235A93C6_87C6_11D4_BB51_444553540000_.wvu.Cols" localSheetId="6" hidden="1">'[7]3'!#REF!,'[7]3'!#REF!</definedName>
    <definedName name="Z_235A93C6_87C6_11D4_BB51_444553540000_.wvu.Cols" localSheetId="10" hidden="1">'[7]3'!#REF!,'[7]3'!#REF!</definedName>
    <definedName name="Z_235A93C6_87C6_11D4_BB51_444553540000_.wvu.Cols" localSheetId="2" hidden="1">'[7]3'!#REF!,'[7]3'!#REF!</definedName>
    <definedName name="Z_235A93C6_87C6_11D4_BB51_444553540000_.wvu.Cols" localSheetId="0" hidden="1">'[7]3'!#REF!,'[7]3'!#REF!</definedName>
    <definedName name="Z_235A93C6_87C6_11D4_BB51_444553540000_.wvu.Cols" localSheetId="1" hidden="1">'[7]3'!#REF!,'[7]3'!#REF!</definedName>
    <definedName name="Z_235A93C6_87C6_11D4_BB51_444553540000_.wvu.Cols" localSheetId="7" hidden="1">'[7]3'!#REF!,'[7]3'!#REF!</definedName>
    <definedName name="Z_235A93C6_87C6_11D4_BB51_444553540000_.wvu.Cols" hidden="1">'[7]3'!#REF!,'[7]3'!#REF!</definedName>
    <definedName name="Z_235A93C7_87C6_11D4_BB51_444553540000_.wvu.Cols" localSheetId="13" hidden="1">'[7]3'!#REF!,'[7]3'!#REF!</definedName>
    <definedName name="Z_235A93C7_87C6_11D4_BB51_444553540000_.wvu.Cols" localSheetId="6" hidden="1">'[7]3'!#REF!,'[7]3'!#REF!</definedName>
    <definedName name="Z_235A93C7_87C6_11D4_BB51_444553540000_.wvu.Cols" localSheetId="10" hidden="1">'[7]3'!#REF!,'[7]3'!#REF!</definedName>
    <definedName name="Z_235A93C7_87C6_11D4_BB51_444553540000_.wvu.Cols" localSheetId="2" hidden="1">'[7]3'!#REF!,'[7]3'!#REF!</definedName>
    <definedName name="Z_235A93C7_87C6_11D4_BB51_444553540000_.wvu.Cols" localSheetId="0" hidden="1">'[7]3'!#REF!,'[7]3'!#REF!</definedName>
    <definedName name="Z_235A93C7_87C6_11D4_BB51_444553540000_.wvu.Cols" localSheetId="1" hidden="1">'[7]3'!#REF!,'[7]3'!#REF!</definedName>
    <definedName name="Z_235A93C7_87C6_11D4_BB51_444553540000_.wvu.Cols" localSheetId="7" hidden="1">'[7]3'!#REF!,'[7]3'!#REF!</definedName>
    <definedName name="Z_235A93C7_87C6_11D4_BB51_444553540000_.wvu.Cols" hidden="1">'[7]3'!#REF!,'[7]3'!#REF!</definedName>
    <definedName name="Z_6CDBE1A1_8642_11D4_8E16_005004999978_.wvu.PrintTitles" localSheetId="6" hidden="1">#REF!</definedName>
    <definedName name="Z_6CDBE1A1_8642_11D4_8E16_005004999978_.wvu.PrintTitles" localSheetId="10" hidden="1">#REF!</definedName>
    <definedName name="Z_6CDBE1A1_8642_11D4_8E16_005004999978_.wvu.PrintTitles" localSheetId="2" hidden="1">#REF!</definedName>
    <definedName name="Z_6CDBE1A1_8642_11D4_8E16_005004999978_.wvu.PrintTitles" localSheetId="0" hidden="1">#REF!</definedName>
    <definedName name="Z_6CDBE1A1_8642_11D4_8E16_005004999978_.wvu.PrintTitles" localSheetId="1" hidden="1">#REF!</definedName>
    <definedName name="Z_6CDBE1A1_8642_11D4_8E16_005004999978_.wvu.PrintTitles" localSheetId="7" hidden="1">#REF!</definedName>
    <definedName name="Z_6CDBE1A1_8642_11D4_8E16_005004999978_.wvu.PrintTitles" hidden="1">#REF!</definedName>
    <definedName name="Z_6CDBE1A1_8642_11D4_8E16_005004999978_.wvu.Rows" localSheetId="6" hidden="1">#REF!,#REF!,#REF!,#REF!,#REF!</definedName>
    <definedName name="Z_6CDBE1A1_8642_11D4_8E16_005004999978_.wvu.Rows" localSheetId="10" hidden="1">#REF!,#REF!,#REF!,#REF!,#REF!</definedName>
    <definedName name="Z_6CDBE1A1_8642_11D4_8E16_005004999978_.wvu.Rows" localSheetId="2" hidden="1">#REF!,#REF!,#REF!,#REF!,#REF!</definedName>
    <definedName name="Z_6CDBE1A1_8642_11D4_8E16_005004999978_.wvu.Rows" localSheetId="0" hidden="1">#REF!,#REF!,#REF!,#REF!,#REF!</definedName>
    <definedName name="Z_6CDBE1A1_8642_11D4_8E16_005004999978_.wvu.Rows" localSheetId="1" hidden="1">#REF!,#REF!,#REF!,#REF!,#REF!</definedName>
    <definedName name="Z_6CDBE1A1_8642_11D4_8E16_005004999978_.wvu.Rows" localSheetId="7" hidden="1">#REF!,#REF!,#REF!,#REF!,#REF!</definedName>
    <definedName name="Z_6CDBE1A1_8642_11D4_8E16_005004999978_.wvu.Rows" hidden="1">#REF!,#REF!,#REF!,#REF!,#REF!</definedName>
    <definedName name="Z_6CDBE1A2_8642_11D4_8E16_005004999978_.wvu.PrintTitles" localSheetId="6" hidden="1">#REF!</definedName>
    <definedName name="Z_6CDBE1A2_8642_11D4_8E16_005004999978_.wvu.PrintTitles" localSheetId="10" hidden="1">#REF!</definedName>
    <definedName name="Z_6CDBE1A2_8642_11D4_8E16_005004999978_.wvu.PrintTitles" localSheetId="2" hidden="1">#REF!</definedName>
    <definedName name="Z_6CDBE1A2_8642_11D4_8E16_005004999978_.wvu.PrintTitles" localSheetId="0" hidden="1">#REF!</definedName>
    <definedName name="Z_6CDBE1A2_8642_11D4_8E16_005004999978_.wvu.PrintTitles" localSheetId="1" hidden="1">#REF!</definedName>
    <definedName name="Z_6CDBE1A2_8642_11D4_8E16_005004999978_.wvu.PrintTitles" localSheetId="7" hidden="1">#REF!</definedName>
    <definedName name="Z_6CDBE1A2_8642_11D4_8E16_005004999978_.wvu.PrintTitles" hidden="1">#REF!</definedName>
    <definedName name="Z_6CDBE1A2_8642_11D4_8E16_005004999978_.wvu.Rows" localSheetId="6" hidden="1">#REF!,#REF!,#REF!,#REF!,#REF!</definedName>
    <definedName name="Z_6CDBE1A2_8642_11D4_8E16_005004999978_.wvu.Rows" localSheetId="10" hidden="1">#REF!,#REF!,#REF!,#REF!,#REF!</definedName>
    <definedName name="Z_6CDBE1A2_8642_11D4_8E16_005004999978_.wvu.Rows" localSheetId="2" hidden="1">#REF!,#REF!,#REF!,#REF!,#REF!</definedName>
    <definedName name="Z_6CDBE1A2_8642_11D4_8E16_005004999978_.wvu.Rows" localSheetId="0" hidden="1">#REF!,#REF!,#REF!,#REF!,#REF!</definedName>
    <definedName name="Z_6CDBE1A2_8642_11D4_8E16_005004999978_.wvu.Rows" localSheetId="1" hidden="1">#REF!,#REF!,#REF!,#REF!,#REF!</definedName>
    <definedName name="Z_6CDBE1A2_8642_11D4_8E16_005004999978_.wvu.Rows" localSheetId="7" hidden="1">#REF!,#REF!,#REF!,#REF!,#REF!</definedName>
    <definedName name="Z_6CDBE1A2_8642_11D4_8E16_005004999978_.wvu.Rows" hidden="1">#REF!,#REF!,#REF!,#REF!,#REF!</definedName>
    <definedName name="Z_6CDBE1AE_8642_11D4_8E16_005004999978_.wvu.Cols" localSheetId="13" hidden="1">'[7]3'!#REF!,'[7]3'!#REF!</definedName>
    <definedName name="Z_6CDBE1AE_8642_11D4_8E16_005004999978_.wvu.Cols" localSheetId="6" hidden="1">'[7]3'!#REF!,'[7]3'!#REF!</definedName>
    <definedName name="Z_6CDBE1AE_8642_11D4_8E16_005004999978_.wvu.Cols" localSheetId="10" hidden="1">'[7]3'!#REF!,'[7]3'!#REF!</definedName>
    <definedName name="Z_6CDBE1AE_8642_11D4_8E16_005004999978_.wvu.Cols" localSheetId="2" hidden="1">'[7]3'!#REF!,'[7]3'!#REF!</definedName>
    <definedName name="Z_6CDBE1AE_8642_11D4_8E16_005004999978_.wvu.Cols" localSheetId="0" hidden="1">'[7]3'!#REF!,'[7]3'!#REF!</definedName>
    <definedName name="Z_6CDBE1AE_8642_11D4_8E16_005004999978_.wvu.Cols" localSheetId="1" hidden="1">'[7]3'!#REF!,'[7]3'!#REF!</definedName>
    <definedName name="Z_6CDBE1AE_8642_11D4_8E16_005004999978_.wvu.Cols" localSheetId="7" hidden="1">'[7]3'!#REF!,'[7]3'!#REF!</definedName>
    <definedName name="Z_6CDBE1AE_8642_11D4_8E16_005004999978_.wvu.Cols" hidden="1">'[7]3'!#REF!,'[7]3'!#REF!</definedName>
    <definedName name="Z_6CDBE1AE_8642_11D4_8E16_005004999978_.wvu.PrintArea" localSheetId="13" hidden="1">'[7]3'!#REF!</definedName>
    <definedName name="Z_6CDBE1AE_8642_11D4_8E16_005004999978_.wvu.PrintArea" localSheetId="6" hidden="1">'[7]3'!#REF!</definedName>
    <definedName name="Z_6CDBE1AE_8642_11D4_8E16_005004999978_.wvu.PrintArea" localSheetId="11" hidden="1">'[7]3'!#REF!</definedName>
    <definedName name="Z_6CDBE1AE_8642_11D4_8E16_005004999978_.wvu.PrintArea" localSheetId="10" hidden="1">'[7]3'!#REF!</definedName>
    <definedName name="Z_6CDBE1AE_8642_11D4_8E16_005004999978_.wvu.PrintArea" localSheetId="2" hidden="1">'[7]3'!#REF!</definedName>
    <definedName name="Z_6CDBE1AE_8642_11D4_8E16_005004999978_.wvu.PrintArea" localSheetId="0" hidden="1">'[7]3'!#REF!</definedName>
    <definedName name="Z_6CDBE1AE_8642_11D4_8E16_005004999978_.wvu.PrintArea" localSheetId="1" hidden="1">'[7]3'!#REF!</definedName>
    <definedName name="Z_6CDBE1AE_8642_11D4_8E16_005004999978_.wvu.PrintArea" localSheetId="7" hidden="1">'[7]3'!#REF!</definedName>
    <definedName name="Z_6CDBE1AE_8642_11D4_8E16_005004999978_.wvu.PrintArea" hidden="1">'[7]3'!#REF!</definedName>
    <definedName name="Z_6CDBE1AE_8642_11D4_8E16_005004999978_.wvu.Rows" localSheetId="6" hidden="1">#REF!,#REF!,#REF!,#REF!,#REF!</definedName>
    <definedName name="Z_6CDBE1AE_8642_11D4_8E16_005004999978_.wvu.Rows" localSheetId="10" hidden="1">#REF!,#REF!,#REF!,#REF!,#REF!</definedName>
    <definedName name="Z_6CDBE1AE_8642_11D4_8E16_005004999978_.wvu.Rows" localSheetId="2" hidden="1">#REF!,#REF!,#REF!,#REF!,#REF!</definedName>
    <definedName name="Z_6CDBE1AE_8642_11D4_8E16_005004999978_.wvu.Rows" localSheetId="0" hidden="1">#REF!,#REF!,#REF!,#REF!,#REF!</definedName>
    <definedName name="Z_6CDBE1AE_8642_11D4_8E16_005004999978_.wvu.Rows" localSheetId="1" hidden="1">#REF!,#REF!,#REF!,#REF!,#REF!</definedName>
    <definedName name="Z_6CDBE1AE_8642_11D4_8E16_005004999978_.wvu.Rows" localSheetId="7" hidden="1">#REF!,#REF!,#REF!,#REF!,#REF!</definedName>
    <definedName name="Z_6CDBE1AE_8642_11D4_8E16_005004999978_.wvu.Rows" hidden="1">#REF!,#REF!,#REF!,#REF!,#REF!</definedName>
    <definedName name="Z_6CDBE1AF_8642_11D4_8E16_005004999978_.wvu.Cols" localSheetId="13" hidden="1">'[7]3'!#REF!,'[7]3'!#REF!</definedName>
    <definedName name="Z_6CDBE1AF_8642_11D4_8E16_005004999978_.wvu.Cols" localSheetId="6" hidden="1">'[7]3'!#REF!,'[7]3'!#REF!</definedName>
    <definedName name="Z_6CDBE1AF_8642_11D4_8E16_005004999978_.wvu.Cols" localSheetId="10" hidden="1">'[7]3'!#REF!,'[7]3'!#REF!</definedName>
    <definedName name="Z_6CDBE1AF_8642_11D4_8E16_005004999978_.wvu.Cols" localSheetId="2" hidden="1">'[7]3'!#REF!,'[7]3'!#REF!</definedName>
    <definedName name="Z_6CDBE1AF_8642_11D4_8E16_005004999978_.wvu.Cols" localSheetId="0" hidden="1">'[7]3'!#REF!,'[7]3'!#REF!</definedName>
    <definedName name="Z_6CDBE1AF_8642_11D4_8E16_005004999978_.wvu.Cols" localSheetId="1" hidden="1">'[7]3'!#REF!,'[7]3'!#REF!</definedName>
    <definedName name="Z_6CDBE1AF_8642_11D4_8E16_005004999978_.wvu.Cols" localSheetId="7" hidden="1">'[7]3'!#REF!,'[7]3'!#REF!</definedName>
    <definedName name="Z_6CDBE1AF_8642_11D4_8E16_005004999978_.wvu.Cols" hidden="1">'[7]3'!#REF!,'[7]3'!#REF!</definedName>
    <definedName name="Z_6CDBE1AF_8642_11D4_8E16_005004999978_.wvu.Rows" localSheetId="6" hidden="1">#REF!,#REF!,#REF!,#REF!,#REF!</definedName>
    <definedName name="Z_6CDBE1AF_8642_11D4_8E16_005004999978_.wvu.Rows" localSheetId="10" hidden="1">#REF!,#REF!,#REF!,#REF!,#REF!</definedName>
    <definedName name="Z_6CDBE1AF_8642_11D4_8E16_005004999978_.wvu.Rows" localSheetId="2" hidden="1">#REF!,#REF!,#REF!,#REF!,#REF!</definedName>
    <definedName name="Z_6CDBE1AF_8642_11D4_8E16_005004999978_.wvu.Rows" localSheetId="0" hidden="1">#REF!,#REF!,#REF!,#REF!,#REF!</definedName>
    <definedName name="Z_6CDBE1AF_8642_11D4_8E16_005004999978_.wvu.Rows" localSheetId="1" hidden="1">#REF!,#REF!,#REF!,#REF!,#REF!</definedName>
    <definedName name="Z_6CDBE1AF_8642_11D4_8E16_005004999978_.wvu.Rows" localSheetId="7" hidden="1">#REF!,#REF!,#REF!,#REF!,#REF!</definedName>
    <definedName name="Z_6CDBE1AF_8642_11D4_8E16_005004999978_.wvu.Rows" hidden="1">#REF!,#REF!,#REF!,#REF!,#REF!</definedName>
  </definedNames>
  <calcPr calcId="171027"/>
  <fileRecoveryPr autoRecover="0"/>
</workbook>
</file>

<file path=xl/calcChain.xml><?xml version="1.0" encoding="utf-8"?>
<calcChain xmlns="http://schemas.openxmlformats.org/spreadsheetml/2006/main">
  <c r="C187" i="68" l="1"/>
  <c r="C47" i="66" l="1"/>
  <c r="D170" i="59"/>
  <c r="D114" i="59"/>
  <c r="D113" i="59"/>
  <c r="D65" i="59"/>
  <c r="D64" i="59"/>
  <c r="D43" i="59"/>
  <c r="D39" i="59"/>
  <c r="D29" i="59"/>
  <c r="D115" i="59" s="1"/>
  <c r="D20" i="59"/>
  <c r="D19" i="59"/>
  <c r="D17" i="59"/>
  <c r="C186" i="59" l="1"/>
  <c r="P24" i="79" l="1"/>
  <c r="P23" i="79"/>
  <c r="P22" i="79"/>
  <c r="P21" i="79"/>
  <c r="H11" i="79"/>
  <c r="H10" i="79"/>
  <c r="H9" i="79"/>
  <c r="H8" i="79"/>
  <c r="N228" i="78"/>
  <c r="W223" i="78"/>
  <c r="BZ213" i="78"/>
  <c r="AW212" i="78"/>
  <c r="BZ212" i="78" s="1"/>
  <c r="BY201" i="78"/>
  <c r="BY211" i="78" s="1"/>
  <c r="BX201" i="78"/>
  <c r="V225" i="78" s="1"/>
  <c r="BW201" i="78"/>
  <c r="V226" i="78" s="1"/>
  <c r="BV201" i="78"/>
  <c r="BV208" i="78" s="1"/>
  <c r="BU201" i="78"/>
  <c r="U224" i="78" s="1"/>
  <c r="BT201" i="78"/>
  <c r="U225" i="78" s="1"/>
  <c r="BS201" i="78"/>
  <c r="U226" i="78" s="1"/>
  <c r="BR201" i="78"/>
  <c r="BQ201" i="78"/>
  <c r="T224" i="78" s="1"/>
  <c r="BP201" i="78"/>
  <c r="BP210" i="78" s="1"/>
  <c r="BO201" i="78"/>
  <c r="BN201" i="78"/>
  <c r="BM201" i="78"/>
  <c r="S224" i="78" s="1"/>
  <c r="BL201" i="78"/>
  <c r="S225" i="78" s="1"/>
  <c r="BK201" i="78"/>
  <c r="S226" i="78" s="1"/>
  <c r="BJ201" i="78"/>
  <c r="BJ208" i="78" s="1"/>
  <c r="BI201" i="78"/>
  <c r="R224" i="78" s="1"/>
  <c r="BH201" i="78"/>
  <c r="R225" i="78" s="1"/>
  <c r="BG201" i="78"/>
  <c r="R226" i="78" s="1"/>
  <c r="BF201" i="78"/>
  <c r="BF208" i="78" s="1"/>
  <c r="BE201" i="78"/>
  <c r="Q224" i="78" s="1"/>
  <c r="BD201" i="78"/>
  <c r="Q225" i="78" s="1"/>
  <c r="BC201" i="78"/>
  <c r="Q226" i="78" s="1"/>
  <c r="BB201" i="78"/>
  <c r="BA201" i="78"/>
  <c r="P224" i="78" s="1"/>
  <c r="AZ201" i="78"/>
  <c r="AZ210" i="78" s="1"/>
  <c r="AY201" i="78"/>
  <c r="AX201" i="78"/>
  <c r="AV201" i="78"/>
  <c r="O224" i="78" s="1"/>
  <c r="AU201" i="78"/>
  <c r="O225" i="78" s="1"/>
  <c r="AT201" i="78"/>
  <c r="O226" i="78" s="1"/>
  <c r="AS201" i="78"/>
  <c r="AS208" i="78" s="1"/>
  <c r="AR201" i="78"/>
  <c r="AR211" i="78" s="1"/>
  <c r="AQ201" i="78"/>
  <c r="AP201" i="78"/>
  <c r="AP209" i="78" s="1"/>
  <c r="AO201" i="78"/>
  <c r="AO208" i="78" s="1"/>
  <c r="AN201" i="78"/>
  <c r="AN211" i="78" s="1"/>
  <c r="AM201" i="78"/>
  <c r="M225" i="78" s="1"/>
  <c r="AL201" i="78"/>
  <c r="M226" i="78" s="1"/>
  <c r="AK201" i="78"/>
  <c r="AJ201" i="78"/>
  <c r="L224" i="78" s="1"/>
  <c r="AI201" i="78"/>
  <c r="AI210" i="78" s="1"/>
  <c r="AH201" i="78"/>
  <c r="AH209" i="78" s="1"/>
  <c r="AG201" i="78"/>
  <c r="AF201" i="78"/>
  <c r="K224" i="78" s="1"/>
  <c r="AE201" i="78"/>
  <c r="AE210" i="78" s="1"/>
  <c r="AD201" i="78"/>
  <c r="AD209" i="78" s="1"/>
  <c r="AC201" i="78"/>
  <c r="AC208" i="78" s="1"/>
  <c r="AB201" i="78"/>
  <c r="J224" i="78" s="1"/>
  <c r="AA201" i="78"/>
  <c r="J225" i="78" s="1"/>
  <c r="Z201" i="78"/>
  <c r="Z209" i="78" s="1"/>
  <c r="Y201" i="78"/>
  <c r="Y208" i="78" s="1"/>
  <c r="X201" i="78"/>
  <c r="X211" i="78" s="1"/>
  <c r="W201" i="78"/>
  <c r="I225" i="78" s="1"/>
  <c r="V201" i="78"/>
  <c r="V209" i="78" s="1"/>
  <c r="U201" i="78"/>
  <c r="T201" i="78"/>
  <c r="H224" i="78" s="1"/>
  <c r="S201" i="78"/>
  <c r="S210" i="78" s="1"/>
  <c r="R201" i="78"/>
  <c r="R209" i="78" s="1"/>
  <c r="Q201" i="78"/>
  <c r="P201" i="78"/>
  <c r="G224" i="78" s="1"/>
  <c r="O201" i="78"/>
  <c r="O210" i="78" s="1"/>
  <c r="N201" i="78"/>
  <c r="N209" i="78" s="1"/>
  <c r="M201" i="78"/>
  <c r="L201" i="78"/>
  <c r="F224" i="78" s="1"/>
  <c r="K201" i="78"/>
  <c r="F225" i="78" s="1"/>
  <c r="J201" i="78"/>
  <c r="J209" i="78" s="1"/>
  <c r="I201" i="78"/>
  <c r="I208" i="78" s="1"/>
  <c r="H201" i="78"/>
  <c r="H211" i="78" s="1"/>
  <c r="G201" i="78"/>
  <c r="E225" i="78" s="1"/>
  <c r="F201" i="78"/>
  <c r="E201" i="78"/>
  <c r="E227" i="78" s="1"/>
  <c r="BZ200" i="78"/>
  <c r="BZ199" i="78"/>
  <c r="BZ198" i="78"/>
  <c r="BZ197" i="78"/>
  <c r="BZ196" i="78"/>
  <c r="BZ195" i="78"/>
  <c r="BZ194" i="78"/>
  <c r="BZ193" i="78"/>
  <c r="BZ192" i="78"/>
  <c r="BZ191" i="78"/>
  <c r="BZ190" i="78"/>
  <c r="BZ189" i="78"/>
  <c r="BZ188" i="78"/>
  <c r="BZ187" i="78"/>
  <c r="BZ186" i="78"/>
  <c r="BZ185" i="78"/>
  <c r="BZ184" i="78"/>
  <c r="BZ183" i="78"/>
  <c r="BZ182" i="78"/>
  <c r="BZ181" i="78"/>
  <c r="BZ180" i="78"/>
  <c r="BZ179" i="78"/>
  <c r="BZ178" i="78"/>
  <c r="BZ177" i="78"/>
  <c r="BZ176" i="78"/>
  <c r="BZ175" i="78"/>
  <c r="BZ174" i="78"/>
  <c r="BZ173" i="78"/>
  <c r="CA173" i="78" s="1"/>
  <c r="BZ172" i="78"/>
  <c r="CA172" i="78" s="1"/>
  <c r="BZ171" i="78"/>
  <c r="CA171" i="78" s="1"/>
  <c r="BZ170" i="78"/>
  <c r="CA170" i="78" s="1"/>
  <c r="BZ169" i="78"/>
  <c r="CA169" i="78" s="1"/>
  <c r="BZ168" i="78"/>
  <c r="CA168" i="78" s="1"/>
  <c r="BZ167" i="78"/>
  <c r="CA167" i="78" s="1"/>
  <c r="BZ166" i="78"/>
  <c r="CA166" i="78" s="1"/>
  <c r="BZ165" i="78"/>
  <c r="CA165" i="78" s="1"/>
  <c r="BZ164" i="78"/>
  <c r="CA164" i="78" s="1"/>
  <c r="CA163" i="78"/>
  <c r="BZ163" i="78"/>
  <c r="BZ162" i="78"/>
  <c r="CA162" i="78" s="1"/>
  <c r="CA161" i="78"/>
  <c r="BZ161" i="78"/>
  <c r="BZ160" i="78"/>
  <c r="BZ159" i="78"/>
  <c r="CA159" i="78" s="1"/>
  <c r="BZ158" i="78"/>
  <c r="CA157" i="78"/>
  <c r="BZ157" i="78"/>
  <c r="BZ156" i="78"/>
  <c r="BZ155" i="78"/>
  <c r="CA155" i="78" s="1"/>
  <c r="BZ154" i="78"/>
  <c r="BZ153" i="78"/>
  <c r="CA153" i="78" s="1"/>
  <c r="BZ152" i="78"/>
  <c r="BZ151" i="78"/>
  <c r="CA151" i="78" s="1"/>
  <c r="BZ150" i="78"/>
  <c r="BZ149" i="78"/>
  <c r="BZ148" i="78"/>
  <c r="CA148" i="78" s="1"/>
  <c r="BZ147" i="78"/>
  <c r="BZ146" i="78"/>
  <c r="CA146" i="78" s="1"/>
  <c r="BZ145" i="78"/>
  <c r="BZ144" i="78"/>
  <c r="CA144" i="78" s="1"/>
  <c r="BZ143" i="78"/>
  <c r="CA142" i="78"/>
  <c r="BZ142" i="78"/>
  <c r="BZ141" i="78"/>
  <c r="BZ140" i="78"/>
  <c r="CA140" i="78" s="1"/>
  <c r="BZ139" i="78"/>
  <c r="BZ138" i="78"/>
  <c r="CA138" i="78" s="1"/>
  <c r="BZ137" i="78"/>
  <c r="BZ136" i="78"/>
  <c r="CA136" i="78" s="1"/>
  <c r="BZ135" i="78"/>
  <c r="BZ134" i="78"/>
  <c r="CA134" i="78" s="1"/>
  <c r="BZ133" i="78"/>
  <c r="BZ132" i="78"/>
  <c r="CA132" i="78" s="1"/>
  <c r="BZ131" i="78"/>
  <c r="CA131" i="78" s="1"/>
  <c r="BZ130" i="78"/>
  <c r="CA129" i="78"/>
  <c r="BZ129" i="78"/>
  <c r="BZ128" i="78"/>
  <c r="BZ127" i="78"/>
  <c r="CA127" i="78" s="1"/>
  <c r="BZ126" i="78"/>
  <c r="CA125" i="78"/>
  <c r="BZ125" i="78"/>
  <c r="BZ124" i="78"/>
  <c r="BZ123" i="78"/>
  <c r="CA123" i="78" s="1"/>
  <c r="BZ122" i="78"/>
  <c r="CA122" i="78" s="1"/>
  <c r="BZ121" i="78"/>
  <c r="BZ120" i="78"/>
  <c r="CA120" i="78" s="1"/>
  <c r="BZ119" i="78"/>
  <c r="CA119" i="78" s="1"/>
  <c r="BZ118" i="78"/>
  <c r="BZ117" i="78"/>
  <c r="CA117" i="78" s="1"/>
  <c r="BZ116" i="78"/>
  <c r="CA115" i="78"/>
  <c r="BZ115" i="78"/>
  <c r="BZ114" i="78"/>
  <c r="BZ113" i="78"/>
  <c r="CA113" i="78" s="1"/>
  <c r="BZ112" i="78"/>
  <c r="BZ111" i="78"/>
  <c r="CA111" i="78" s="1"/>
  <c r="BZ110" i="78"/>
  <c r="BZ109" i="78"/>
  <c r="CA109" i="78" s="1"/>
  <c r="BZ108" i="78"/>
  <c r="BZ107" i="78"/>
  <c r="CA107" i="78" s="1"/>
  <c r="BZ106" i="78"/>
  <c r="CA106" i="78" s="1"/>
  <c r="BZ105" i="78"/>
  <c r="BZ104" i="78"/>
  <c r="CA104" i="78" s="1"/>
  <c r="BZ103" i="78"/>
  <c r="BZ102" i="78"/>
  <c r="CA102" i="78" s="1"/>
  <c r="BZ101" i="78"/>
  <c r="BZ100" i="78"/>
  <c r="CA100" i="78" s="1"/>
  <c r="BZ99" i="78"/>
  <c r="BZ98" i="78"/>
  <c r="CA98" i="78" s="1"/>
  <c r="BZ97" i="78"/>
  <c r="BZ96" i="78"/>
  <c r="BZ95" i="78"/>
  <c r="BZ94" i="78"/>
  <c r="BZ93" i="78"/>
  <c r="BZ92" i="78"/>
  <c r="BZ91" i="78"/>
  <c r="BZ90" i="78"/>
  <c r="BZ89" i="78"/>
  <c r="BZ88" i="78"/>
  <c r="BZ87" i="78"/>
  <c r="CA87" i="78" s="1"/>
  <c r="BZ86" i="78"/>
  <c r="BZ85" i="78"/>
  <c r="CA85" i="78" s="1"/>
  <c r="BZ84" i="78"/>
  <c r="CA83" i="78"/>
  <c r="BZ83" i="78"/>
  <c r="BZ82" i="78"/>
  <c r="BZ81" i="78"/>
  <c r="CA81" i="78" s="1"/>
  <c r="BZ80" i="78"/>
  <c r="BZ79" i="78"/>
  <c r="CA79" i="78" s="1"/>
  <c r="BZ78" i="78"/>
  <c r="CA77" i="78"/>
  <c r="BZ77" i="78"/>
  <c r="BZ76" i="78"/>
  <c r="BZ75" i="78"/>
  <c r="CA75" i="78" s="1"/>
  <c r="BZ74" i="78"/>
  <c r="BZ73" i="78"/>
  <c r="CA73" i="78" s="1"/>
  <c r="BZ72" i="78"/>
  <c r="CA71" i="78"/>
  <c r="BZ71" i="78"/>
  <c r="BZ70" i="78"/>
  <c r="BZ69" i="78"/>
  <c r="CA69" i="78" s="1"/>
  <c r="BZ68" i="78"/>
  <c r="CA67" i="78"/>
  <c r="BZ67" i="78"/>
  <c r="BZ66" i="78"/>
  <c r="BZ65" i="78"/>
  <c r="CA65" i="78" s="1"/>
  <c r="BZ64" i="78"/>
  <c r="BZ63" i="78"/>
  <c r="BZ62" i="78"/>
  <c r="CA62" i="78" s="1"/>
  <c r="BZ61" i="78"/>
  <c r="CA60" i="78"/>
  <c r="BZ60" i="78"/>
  <c r="BZ59" i="78"/>
  <c r="CA58" i="78"/>
  <c r="BZ58" i="78"/>
  <c r="BZ57" i="78"/>
  <c r="BZ56" i="78"/>
  <c r="CA56" i="78" s="1"/>
  <c r="BZ55" i="78"/>
  <c r="BZ54" i="78"/>
  <c r="CA54" i="78" s="1"/>
  <c r="BZ53" i="78"/>
  <c r="CA52" i="78"/>
  <c r="BZ52" i="78"/>
  <c r="BZ51" i="78"/>
  <c r="BZ50" i="78"/>
  <c r="CA50" i="78" s="1"/>
  <c r="BZ49" i="78"/>
  <c r="BZ48" i="78"/>
  <c r="BZ47" i="78"/>
  <c r="CA47" i="78" s="1"/>
  <c r="BZ46" i="78"/>
  <c r="BZ45" i="78"/>
  <c r="CA45" i="78" s="1"/>
  <c r="CA44" i="78"/>
  <c r="BZ44" i="78"/>
  <c r="BZ43" i="78"/>
  <c r="CA43" i="78" s="1"/>
  <c r="CA42" i="78"/>
  <c r="BZ42" i="78"/>
  <c r="BZ41" i="78"/>
  <c r="CA41" i="78" s="1"/>
  <c r="BZ40" i="78"/>
  <c r="BZ39" i="78"/>
  <c r="CA39" i="78" s="1"/>
  <c r="BZ38" i="78"/>
  <c r="CA38" i="78" s="1"/>
  <c r="BZ37" i="78"/>
  <c r="CA37" i="78" s="1"/>
  <c r="CA36" i="78"/>
  <c r="BZ36" i="78"/>
  <c r="BZ35" i="78"/>
  <c r="BZ34" i="78"/>
  <c r="CA34" i="78" s="1"/>
  <c r="BZ33" i="78"/>
  <c r="BZ32" i="78"/>
  <c r="CA32" i="78" s="1"/>
  <c r="BZ31" i="78"/>
  <c r="CA30" i="78"/>
  <c r="BZ30" i="78"/>
  <c r="BZ29" i="78"/>
  <c r="BZ28" i="78"/>
  <c r="CA28" i="78" s="1"/>
  <c r="BZ27" i="78"/>
  <c r="CA27" i="78" s="1"/>
  <c r="BZ26" i="78"/>
  <c r="BZ25" i="78"/>
  <c r="CA25" i="78" s="1"/>
  <c r="BZ24" i="78"/>
  <c r="BZ23" i="78"/>
  <c r="CA23" i="78" s="1"/>
  <c r="BZ22" i="78"/>
  <c r="BZ21" i="78"/>
  <c r="CA20" i="78"/>
  <c r="BZ20" i="78"/>
  <c r="BZ19" i="78"/>
  <c r="BZ18" i="78"/>
  <c r="CA18" i="78" s="1"/>
  <c r="BZ17" i="78"/>
  <c r="CA17" i="78" s="1"/>
  <c r="BZ16" i="78"/>
  <c r="BZ15" i="78"/>
  <c r="BZ14" i="78"/>
  <c r="CA14" i="78" s="1"/>
  <c r="BZ13" i="78"/>
  <c r="CA12" i="78"/>
  <c r="BZ12" i="78"/>
  <c r="BZ11" i="78"/>
  <c r="BZ10" i="78"/>
  <c r="CA10" i="78" s="1"/>
  <c r="BZ9" i="78"/>
  <c r="BZ8" i="78"/>
  <c r="BZ7" i="78"/>
  <c r="CA7" i="78" s="1"/>
  <c r="BZ6" i="78"/>
  <c r="CA6" i="78" s="1"/>
  <c r="BZ5" i="78"/>
  <c r="CA5" i="78" s="1"/>
  <c r="T82" i="77"/>
  <c r="S82" i="77"/>
  <c r="R82" i="77"/>
  <c r="Q82" i="77"/>
  <c r="P82" i="77"/>
  <c r="O82" i="77"/>
  <c r="N82" i="77"/>
  <c r="M82" i="77"/>
  <c r="L82" i="77"/>
  <c r="K82" i="77"/>
  <c r="J82" i="77"/>
  <c r="I82" i="77"/>
  <c r="H82" i="77"/>
  <c r="G82" i="77"/>
  <c r="F82" i="77"/>
  <c r="E82" i="77"/>
  <c r="D82" i="77"/>
  <c r="C82" i="77"/>
  <c r="T69" i="77"/>
  <c r="S69" i="77"/>
  <c r="R69" i="77"/>
  <c r="Q69" i="77"/>
  <c r="P69" i="77"/>
  <c r="O69" i="77"/>
  <c r="N69" i="77"/>
  <c r="M69" i="77"/>
  <c r="L69" i="77"/>
  <c r="K69" i="77"/>
  <c r="J69" i="77"/>
  <c r="I69" i="77"/>
  <c r="H69" i="77"/>
  <c r="G69" i="77"/>
  <c r="F69" i="77"/>
  <c r="E69" i="77"/>
  <c r="D69" i="77"/>
  <c r="C69" i="77"/>
  <c r="T45" i="77"/>
  <c r="S45" i="77"/>
  <c r="R45" i="77"/>
  <c r="Q45" i="77"/>
  <c r="P45" i="77"/>
  <c r="O45" i="77"/>
  <c r="N45" i="77"/>
  <c r="M45" i="77"/>
  <c r="L45" i="77"/>
  <c r="K45" i="77"/>
  <c r="J45" i="77"/>
  <c r="I45" i="77"/>
  <c r="H45" i="77"/>
  <c r="G45" i="77"/>
  <c r="F45" i="77"/>
  <c r="E45" i="77"/>
  <c r="D45" i="77"/>
  <c r="C45" i="77"/>
  <c r="T27" i="77"/>
  <c r="S27" i="77"/>
  <c r="R27" i="77"/>
  <c r="Q27" i="77"/>
  <c r="P27" i="77"/>
  <c r="O27" i="77"/>
  <c r="N27" i="77"/>
  <c r="M27" i="77"/>
  <c r="L27" i="77"/>
  <c r="K27" i="77"/>
  <c r="J27" i="77"/>
  <c r="I27" i="77"/>
  <c r="H27" i="77"/>
  <c r="G27" i="77"/>
  <c r="F27" i="77"/>
  <c r="E27" i="77"/>
  <c r="D27" i="77"/>
  <c r="C27" i="77"/>
  <c r="J228" i="78" l="1"/>
  <c r="U27" i="77"/>
  <c r="E224" i="78"/>
  <c r="V224" i="78"/>
  <c r="AB211" i="78"/>
  <c r="U69" i="77"/>
  <c r="U82" i="77"/>
  <c r="R228" i="78"/>
  <c r="U45" i="77"/>
  <c r="F209" i="78"/>
  <c r="E226" i="78"/>
  <c r="E228" i="78" s="1"/>
  <c r="P226" i="78"/>
  <c r="AY209" i="78"/>
  <c r="T226" i="78"/>
  <c r="BO209" i="78"/>
  <c r="AQ205" i="78"/>
  <c r="I224" i="78"/>
  <c r="H12" i="79"/>
  <c r="O228" i="78"/>
  <c r="Q228" i="78"/>
  <c r="S228" i="78"/>
  <c r="U228" i="78"/>
  <c r="BI211" i="78"/>
  <c r="M224" i="78"/>
  <c r="W224" i="78" s="1"/>
  <c r="G205" i="78"/>
  <c r="O205" i="78"/>
  <c r="S205" i="78"/>
  <c r="W205" i="78"/>
  <c r="AE205" i="78"/>
  <c r="AI205" i="78"/>
  <c r="AM205" i="78"/>
  <c r="AZ205" i="78"/>
  <c r="BD205" i="78"/>
  <c r="BL205" i="78"/>
  <c r="BP205" i="78"/>
  <c r="BT205" i="78"/>
  <c r="M208" i="78"/>
  <c r="L211" i="78"/>
  <c r="V228" i="78"/>
  <c r="I228" i="78"/>
  <c r="G210" i="78"/>
  <c r="W210" i="78"/>
  <c r="AM210" i="78"/>
  <c r="BD210" i="78"/>
  <c r="BT210" i="78"/>
  <c r="G225" i="78"/>
  <c r="K225" i="78"/>
  <c r="K228" i="78" s="1"/>
  <c r="P225" i="78"/>
  <c r="T225" i="78"/>
  <c r="AV205" i="78"/>
  <c r="Q208" i="78"/>
  <c r="AG208" i="78"/>
  <c r="AX208" i="78"/>
  <c r="BN208" i="78"/>
  <c r="AL209" i="78"/>
  <c r="BC209" i="78"/>
  <c r="BS209" i="78"/>
  <c r="K210" i="78"/>
  <c r="AA210" i="78"/>
  <c r="AQ210" i="78"/>
  <c r="BH210" i="78"/>
  <c r="BX210" i="78"/>
  <c r="P211" i="78"/>
  <c r="AF211" i="78"/>
  <c r="AV211" i="78"/>
  <c r="BM211" i="78"/>
  <c r="H225" i="78"/>
  <c r="L225" i="78"/>
  <c r="F226" i="78"/>
  <c r="F227" i="78"/>
  <c r="K205" i="78"/>
  <c r="AA205" i="78"/>
  <c r="BH205" i="78"/>
  <c r="BX205" i="78"/>
  <c r="BZ201" i="78"/>
  <c r="E208" i="78"/>
  <c r="U208" i="78"/>
  <c r="AK208" i="78"/>
  <c r="BB208" i="78"/>
  <c r="BR208" i="78"/>
  <c r="BG209" i="78"/>
  <c r="BW209" i="78"/>
  <c r="AU210" i="78"/>
  <c r="BL210" i="78"/>
  <c r="T211" i="78"/>
  <c r="AJ211" i="78"/>
  <c r="BA211" i="78"/>
  <c r="BQ211" i="78"/>
  <c r="M227" i="78"/>
  <c r="AT209" i="78"/>
  <c r="BK209" i="78"/>
  <c r="BE211" i="78"/>
  <c r="BU211" i="78"/>
  <c r="P228" i="78" l="1"/>
  <c r="W225" i="78"/>
  <c r="L228" i="78"/>
  <c r="T228" i="78"/>
  <c r="G228" i="78"/>
  <c r="BZ205" i="78"/>
  <c r="H228" i="78"/>
  <c r="BZ211" i="78"/>
  <c r="BZ209" i="78"/>
  <c r="W226" i="78"/>
  <c r="F228" i="78"/>
  <c r="W227" i="78"/>
  <c r="M228" i="78"/>
  <c r="BZ208" i="78"/>
  <c r="BZ210" i="78"/>
  <c r="W229" i="78" l="1"/>
  <c r="W228" i="78"/>
  <c r="BZ214" i="78"/>
  <c r="CA215" i="78" s="1"/>
  <c r="F910" i="76" l="1"/>
  <c r="F895" i="76"/>
  <c r="F878" i="76"/>
  <c r="F836" i="76"/>
  <c r="F799" i="76"/>
  <c r="F749" i="76"/>
  <c r="F707" i="76"/>
  <c r="F648" i="76"/>
  <c r="F607" i="76"/>
  <c r="F573" i="76"/>
  <c r="G527" i="76"/>
  <c r="F527" i="76"/>
  <c r="F525" i="76"/>
  <c r="G526" i="76" s="1"/>
  <c r="F445" i="76"/>
  <c r="F443" i="76"/>
  <c r="F912" i="76" s="1"/>
  <c r="F423" i="76"/>
  <c r="F370" i="76"/>
  <c r="F312" i="76"/>
  <c r="F262" i="76"/>
  <c r="F209" i="76"/>
  <c r="F148" i="76"/>
  <c r="F96" i="76"/>
  <c r="F51" i="76"/>
  <c r="G21" i="76"/>
  <c r="G20" i="76"/>
  <c r="H515" i="76" l="1"/>
  <c r="H517" i="76" s="1"/>
  <c r="H518" i="76" s="1"/>
  <c r="H520" i="76" s="1"/>
  <c r="F444" i="76"/>
  <c r="G444" i="76"/>
  <c r="F930" i="76"/>
  <c r="F530" i="76"/>
  <c r="F533" i="76" s="1"/>
  <c r="F534" i="76" s="1"/>
  <c r="F931" i="76"/>
  <c r="F932" i="76" s="1"/>
  <c r="F914" i="76"/>
  <c r="F915" i="76" s="1"/>
  <c r="F913" i="76"/>
  <c r="F446" i="76"/>
  <c r="F526" i="76"/>
  <c r="F528" i="76" s="1"/>
  <c r="F918" i="76"/>
  <c r="F531" i="76" l="1"/>
  <c r="G533" i="76"/>
  <c r="F924" i="76"/>
  <c r="F926" i="76" s="1"/>
  <c r="F927" i="76" s="1"/>
  <c r="F916" i="76"/>
  <c r="G531" i="76"/>
  <c r="F535" i="76"/>
  <c r="F529" i="76"/>
  <c r="F919" i="76"/>
  <c r="F920" i="76"/>
  <c r="F921" i="76" s="1"/>
  <c r="F925" i="76" l="1"/>
  <c r="F922" i="76"/>
  <c r="F928" i="76"/>
  <c r="F934" i="76" l="1"/>
  <c r="E30" i="75" l="1"/>
  <c r="E31" i="75" s="1"/>
  <c r="E16" i="75"/>
  <c r="E13" i="75"/>
  <c r="E12" i="75"/>
  <c r="E7" i="75"/>
  <c r="E17" i="75" l="1"/>
  <c r="E32" i="75" l="1"/>
  <c r="F123" i="61" l="1"/>
  <c r="F122" i="61"/>
  <c r="I122" i="61" s="1"/>
  <c r="F121" i="61"/>
  <c r="I121" i="61" s="1"/>
  <c r="F117" i="61"/>
  <c r="D117" i="61" s="1"/>
  <c r="L117" i="61" s="1"/>
  <c r="F116" i="61"/>
  <c r="F115" i="61"/>
  <c r="I115" i="61" s="1"/>
  <c r="F111" i="61"/>
  <c r="I111" i="61" s="1"/>
  <c r="F110" i="61"/>
  <c r="D110" i="61" s="1"/>
  <c r="L110" i="61" s="1"/>
  <c r="F109" i="61"/>
  <c r="F105" i="61"/>
  <c r="F104" i="61"/>
  <c r="I104" i="61" s="1"/>
  <c r="F103" i="61"/>
  <c r="K103" i="61" s="1"/>
  <c r="O103" i="61" s="1"/>
  <c r="F99" i="61"/>
  <c r="F98" i="61"/>
  <c r="D98" i="61" s="1"/>
  <c r="L98" i="61" s="1"/>
  <c r="F97" i="61"/>
  <c r="I97" i="61" s="1"/>
  <c r="F93" i="61"/>
  <c r="K93" i="61" s="1"/>
  <c r="O93" i="61" s="1"/>
  <c r="F92" i="61"/>
  <c r="F91" i="61"/>
  <c r="F87" i="61"/>
  <c r="F86" i="61"/>
  <c r="I86" i="61" s="1"/>
  <c r="F85" i="61"/>
  <c r="F81" i="61"/>
  <c r="D81" i="61" s="1"/>
  <c r="L81" i="61" s="1"/>
  <c r="F80" i="61"/>
  <c r="F79" i="61"/>
  <c r="I79" i="61" s="1"/>
  <c r="F74" i="61"/>
  <c r="F73" i="61"/>
  <c r="F68" i="61"/>
  <c r="F67" i="61"/>
  <c r="I67" i="61" s="1"/>
  <c r="F66" i="61"/>
  <c r="F65" i="61"/>
  <c r="I65" i="61" s="1"/>
  <c r="F61" i="61"/>
  <c r="J61" i="61" s="1"/>
  <c r="P61" i="61" s="1"/>
  <c r="F60" i="61"/>
  <c r="J60" i="61" s="1"/>
  <c r="C22" i="71"/>
  <c r="F34" i="61" s="1"/>
  <c r="D34" i="61" s="1"/>
  <c r="C21" i="71"/>
  <c r="F35" i="61" s="1"/>
  <c r="C20" i="71"/>
  <c r="F36" i="61" s="1"/>
  <c r="C19" i="71"/>
  <c r="F37" i="61" s="1"/>
  <c r="K37" i="61" s="1"/>
  <c r="O37" i="61" s="1"/>
  <c r="F30" i="61"/>
  <c r="F29" i="61"/>
  <c r="K29" i="61" s="1"/>
  <c r="O29" i="61" s="1"/>
  <c r="F28" i="61"/>
  <c r="I28" i="61" s="1"/>
  <c r="F27" i="61"/>
  <c r="K27" i="61" s="1"/>
  <c r="O27" i="61" s="1"/>
  <c r="F23" i="61"/>
  <c r="I23" i="61" s="1"/>
  <c r="F22" i="61"/>
  <c r="F21" i="61"/>
  <c r="I21" i="61" s="1"/>
  <c r="F20" i="61"/>
  <c r="J20" i="61" s="1"/>
  <c r="F15" i="61"/>
  <c r="J15" i="61" s="1"/>
  <c r="F14" i="61"/>
  <c r="I14" i="61" s="1"/>
  <c r="F13" i="61"/>
  <c r="I13" i="61" s="1"/>
  <c r="F7" i="61"/>
  <c r="D7" i="61" s="1"/>
  <c r="L7" i="61" s="1"/>
  <c r="F6" i="61"/>
  <c r="I6" i="61" s="1"/>
  <c r="F8" i="61"/>
  <c r="I8" i="61" s="1"/>
  <c r="I15" i="61"/>
  <c r="I22" i="61"/>
  <c r="I103" i="61"/>
  <c r="I105" i="61"/>
  <c r="I27" i="61"/>
  <c r="I30" i="61"/>
  <c r="I109" i="61"/>
  <c r="I116" i="61"/>
  <c r="I117" i="61"/>
  <c r="I123" i="61"/>
  <c r="J21" i="61"/>
  <c r="P21" i="61" s="1"/>
  <c r="J22" i="61"/>
  <c r="P22" i="61" s="1"/>
  <c r="D8" i="61"/>
  <c r="L8" i="61" s="1"/>
  <c r="D21" i="61"/>
  <c r="D22" i="61"/>
  <c r="L22" i="61" s="1"/>
  <c r="D104" i="61"/>
  <c r="L104" i="61" s="1"/>
  <c r="D105" i="61"/>
  <c r="D30" i="61"/>
  <c r="L30" i="61" s="1"/>
  <c r="D109" i="61"/>
  <c r="L109" i="61" s="1"/>
  <c r="D115" i="61"/>
  <c r="L115" i="61" s="1"/>
  <c r="D116" i="61"/>
  <c r="L116" i="61" s="1"/>
  <c r="D121" i="61"/>
  <c r="L121" i="61" s="1"/>
  <c r="D122" i="61"/>
  <c r="D123" i="61"/>
  <c r="L123" i="61" s="1"/>
  <c r="K8" i="61"/>
  <c r="O8" i="61" s="1"/>
  <c r="K6" i="61"/>
  <c r="O6" i="61" s="1"/>
  <c r="K104" i="61"/>
  <c r="O104" i="61" s="1"/>
  <c r="K30" i="61"/>
  <c r="O30" i="61" s="1"/>
  <c r="K109" i="61"/>
  <c r="O109" i="61" s="1"/>
  <c r="K115" i="61"/>
  <c r="O115" i="61" s="1"/>
  <c r="K116" i="61"/>
  <c r="O116" i="61" s="1"/>
  <c r="K122" i="61"/>
  <c r="O122" i="61" s="1"/>
  <c r="K123" i="61"/>
  <c r="O123" i="61" s="1"/>
  <c r="I34" i="61"/>
  <c r="I61" i="61"/>
  <c r="I66" i="61"/>
  <c r="I68" i="61"/>
  <c r="I85" i="61"/>
  <c r="I87" i="61"/>
  <c r="I91" i="61"/>
  <c r="I92" i="61"/>
  <c r="I98" i="61"/>
  <c r="I99" i="61"/>
  <c r="J81" i="61"/>
  <c r="N81" i="61" s="1"/>
  <c r="J85" i="61"/>
  <c r="P85" i="61" s="1"/>
  <c r="J87" i="61"/>
  <c r="K87" i="61" s="1"/>
  <c r="O87" i="61" s="1"/>
  <c r="J98" i="61"/>
  <c r="P98" i="61" s="1"/>
  <c r="J99" i="61"/>
  <c r="P99" i="61" s="1"/>
  <c r="L34" i="61"/>
  <c r="D65" i="61"/>
  <c r="L65" i="61"/>
  <c r="D66" i="61"/>
  <c r="L66" i="61"/>
  <c r="D68" i="61"/>
  <c r="L68" i="61" s="1"/>
  <c r="D80" i="61"/>
  <c r="L80" i="61" s="1"/>
  <c r="D85" i="61"/>
  <c r="L85" i="61" s="1"/>
  <c r="D87" i="61"/>
  <c r="L87" i="61" s="1"/>
  <c r="D91" i="61"/>
  <c r="L91" i="61" s="1"/>
  <c r="D92" i="61"/>
  <c r="L92" i="61" s="1"/>
  <c r="D93" i="61"/>
  <c r="L93" i="61" s="1"/>
  <c r="D97" i="61"/>
  <c r="L97" i="61" s="1"/>
  <c r="D99" i="61"/>
  <c r="L99" i="61" s="1"/>
  <c r="K34" i="61"/>
  <c r="O34" i="61" s="1"/>
  <c r="K35" i="61"/>
  <c r="O35" i="61" s="1"/>
  <c r="K65" i="61"/>
  <c r="O65" i="61" s="1"/>
  <c r="K66" i="61"/>
  <c r="O66" i="61" s="1"/>
  <c r="K68" i="61"/>
  <c r="O68" i="61"/>
  <c r="N85" i="61"/>
  <c r="N87" i="61"/>
  <c r="K91" i="61"/>
  <c r="O91" i="61" s="1"/>
  <c r="K92" i="61"/>
  <c r="O92" i="61" s="1"/>
  <c r="N99" i="61"/>
  <c r="K99" i="61"/>
  <c r="O99" i="61" s="1"/>
  <c r="E20" i="71"/>
  <c r="E21" i="71"/>
  <c r="E19" i="71"/>
  <c r="F43" i="71"/>
  <c r="D43" i="71"/>
  <c r="E38" i="71"/>
  <c r="F36" i="71" s="1"/>
  <c r="D36" i="71"/>
  <c r="E32" i="71"/>
  <c r="D32" i="71"/>
  <c r="E22" i="71"/>
  <c r="D20" i="71"/>
  <c r="E15" i="71"/>
  <c r="F16" i="71" s="1"/>
  <c r="E17" i="71"/>
  <c r="D16" i="71"/>
  <c r="D12" i="71"/>
  <c r="E13" i="71"/>
  <c r="E14" i="71"/>
  <c r="D6" i="71"/>
  <c r="E6" i="71"/>
  <c r="F6" i="71" s="1"/>
  <c r="G6" i="71" s="1"/>
  <c r="E7" i="71"/>
  <c r="AK34" i="60"/>
  <c r="AJ34" i="60"/>
  <c r="AI34" i="60"/>
  <c r="AK33" i="60"/>
  <c r="AJ33" i="60"/>
  <c r="AI33" i="60"/>
  <c r="AK32" i="60"/>
  <c r="AJ32" i="60"/>
  <c r="AI32" i="60"/>
  <c r="AK31" i="60"/>
  <c r="AJ31" i="60"/>
  <c r="AI31" i="60"/>
  <c r="AK30" i="60"/>
  <c r="AJ30" i="60"/>
  <c r="AI30" i="60"/>
  <c r="AK29" i="60"/>
  <c r="AJ29" i="60"/>
  <c r="AI29" i="60"/>
  <c r="AK28" i="60"/>
  <c r="AJ28" i="60"/>
  <c r="AI28" i="60"/>
  <c r="AK27" i="60"/>
  <c r="AJ27" i="60"/>
  <c r="AI27" i="60"/>
  <c r="AK26" i="60"/>
  <c r="AJ26" i="60"/>
  <c r="AI26" i="60"/>
  <c r="AK25" i="60"/>
  <c r="AJ25" i="60"/>
  <c r="AI25" i="60"/>
  <c r="AK24" i="60"/>
  <c r="AJ24" i="60"/>
  <c r="AI24" i="60"/>
  <c r="AK23" i="60"/>
  <c r="AJ23" i="60"/>
  <c r="AI23" i="60"/>
  <c r="AK22" i="60"/>
  <c r="AJ22" i="60"/>
  <c r="AI22" i="60"/>
  <c r="AK21" i="60"/>
  <c r="AJ21" i="60"/>
  <c r="AI21" i="60"/>
  <c r="AK20" i="60"/>
  <c r="AJ20" i="60"/>
  <c r="AI20" i="60"/>
  <c r="AK19" i="60"/>
  <c r="AJ19" i="60"/>
  <c r="AI19" i="60"/>
  <c r="AK18" i="60"/>
  <c r="AJ18" i="60"/>
  <c r="AI18" i="60"/>
  <c r="AK17" i="60"/>
  <c r="AJ17" i="60"/>
  <c r="AI17" i="60"/>
  <c r="AK16" i="60"/>
  <c r="AJ16" i="60"/>
  <c r="AI16" i="60"/>
  <c r="AK15" i="60"/>
  <c r="AJ15" i="60"/>
  <c r="AI15" i="60"/>
  <c r="P34" i="60"/>
  <c r="AH34" i="60" s="1"/>
  <c r="O34" i="60"/>
  <c r="AG34" i="60" s="1"/>
  <c r="N34" i="60"/>
  <c r="AF34" i="60" s="1"/>
  <c r="M34" i="60"/>
  <c r="L34" i="60"/>
  <c r="K34" i="60"/>
  <c r="J34" i="60"/>
  <c r="AB34" i="60" s="1"/>
  <c r="I34" i="60"/>
  <c r="H34" i="60"/>
  <c r="Z34" i="60" s="1"/>
  <c r="G34" i="60"/>
  <c r="Y34" i="60" s="1"/>
  <c r="F34" i="60"/>
  <c r="E34" i="60"/>
  <c r="D34" i="60"/>
  <c r="C34" i="60"/>
  <c r="B34" i="60"/>
  <c r="T34" i="60" s="1"/>
  <c r="P33" i="60"/>
  <c r="O33" i="60"/>
  <c r="AG33" i="60" s="1"/>
  <c r="N33" i="60"/>
  <c r="AF33" i="60" s="1"/>
  <c r="M33" i="60"/>
  <c r="AE33" i="60" s="1"/>
  <c r="L33" i="60"/>
  <c r="K33" i="60"/>
  <c r="J33" i="60"/>
  <c r="I33" i="60"/>
  <c r="AA33" i="60" s="1"/>
  <c r="H33" i="60"/>
  <c r="G33" i="60"/>
  <c r="Y33" i="60" s="1"/>
  <c r="F33" i="60"/>
  <c r="X33" i="60" s="1"/>
  <c r="E33" i="60"/>
  <c r="W33" i="60" s="1"/>
  <c r="D33" i="60"/>
  <c r="C33" i="60"/>
  <c r="B33" i="60"/>
  <c r="P32" i="60"/>
  <c r="AH32" i="60" s="1"/>
  <c r="O32" i="60"/>
  <c r="N32" i="60"/>
  <c r="AF32" i="60" s="1"/>
  <c r="M32" i="60"/>
  <c r="AE32" i="60" s="1"/>
  <c r="L32" i="60"/>
  <c r="AD32" i="60" s="1"/>
  <c r="K32" i="60"/>
  <c r="J32" i="60"/>
  <c r="I32" i="60"/>
  <c r="H32" i="60"/>
  <c r="Z32" i="60" s="1"/>
  <c r="G32" i="60"/>
  <c r="F32" i="60"/>
  <c r="X32" i="60" s="1"/>
  <c r="E32" i="60"/>
  <c r="W32" i="60" s="1"/>
  <c r="D32" i="60"/>
  <c r="V32" i="60" s="1"/>
  <c r="C32" i="60"/>
  <c r="B32" i="60"/>
  <c r="P31" i="60"/>
  <c r="O31" i="60"/>
  <c r="AG31" i="60" s="1"/>
  <c r="N31" i="60"/>
  <c r="M31" i="60"/>
  <c r="AE31" i="60" s="1"/>
  <c r="L31" i="60"/>
  <c r="AD31" i="60" s="1"/>
  <c r="K31" i="60"/>
  <c r="AC31" i="60" s="1"/>
  <c r="J31" i="60"/>
  <c r="I31" i="60"/>
  <c r="H31" i="60"/>
  <c r="G31" i="60"/>
  <c r="Y31" i="60" s="1"/>
  <c r="F31" i="60"/>
  <c r="E31" i="60"/>
  <c r="W31" i="60" s="1"/>
  <c r="D31" i="60"/>
  <c r="V31" i="60" s="1"/>
  <c r="C31" i="60"/>
  <c r="U31" i="60" s="1"/>
  <c r="B31" i="60"/>
  <c r="P30" i="60"/>
  <c r="O30" i="60"/>
  <c r="N30" i="60"/>
  <c r="AF30" i="60" s="1"/>
  <c r="M30" i="60"/>
  <c r="L30" i="60"/>
  <c r="AD30" i="60" s="1"/>
  <c r="K30" i="60"/>
  <c r="AC30" i="60" s="1"/>
  <c r="J30" i="60"/>
  <c r="AB30" i="60" s="1"/>
  <c r="I30" i="60"/>
  <c r="H30" i="60"/>
  <c r="G30" i="60"/>
  <c r="F30" i="60"/>
  <c r="X30" i="60" s="1"/>
  <c r="E30" i="60"/>
  <c r="D30" i="60"/>
  <c r="V30" i="60" s="1"/>
  <c r="C30" i="60"/>
  <c r="U30" i="60" s="1"/>
  <c r="B30" i="60"/>
  <c r="P29" i="60"/>
  <c r="O29" i="60"/>
  <c r="N29" i="60"/>
  <c r="M29" i="60"/>
  <c r="AE29" i="60" s="1"/>
  <c r="L29" i="60"/>
  <c r="K29" i="60"/>
  <c r="AC29" i="60" s="1"/>
  <c r="J29" i="60"/>
  <c r="AB29" i="60" s="1"/>
  <c r="I29" i="60"/>
  <c r="AA29" i="60" s="1"/>
  <c r="H29" i="60"/>
  <c r="G29" i="60"/>
  <c r="F29" i="60"/>
  <c r="E29" i="60"/>
  <c r="W29" i="60" s="1"/>
  <c r="D29" i="60"/>
  <c r="C29" i="60"/>
  <c r="U29" i="60" s="1"/>
  <c r="B29" i="60"/>
  <c r="T29" i="60" s="1"/>
  <c r="P28" i="60"/>
  <c r="AH28" i="60" s="1"/>
  <c r="O28" i="60"/>
  <c r="N28" i="60"/>
  <c r="M28" i="60"/>
  <c r="L28" i="60"/>
  <c r="AD28" i="60" s="1"/>
  <c r="K28" i="60"/>
  <c r="J28" i="60"/>
  <c r="AB28" i="60" s="1"/>
  <c r="I28" i="60"/>
  <c r="AA28" i="60" s="1"/>
  <c r="H28" i="60"/>
  <c r="Z28" i="60" s="1"/>
  <c r="G28" i="60"/>
  <c r="F28" i="60"/>
  <c r="E28" i="60"/>
  <c r="D28" i="60"/>
  <c r="V28" i="60" s="1"/>
  <c r="C28" i="60"/>
  <c r="B28" i="60"/>
  <c r="T28" i="60" s="1"/>
  <c r="P27" i="60"/>
  <c r="AH27" i="60" s="1"/>
  <c r="O27" i="60"/>
  <c r="AG27" i="60" s="1"/>
  <c r="N27" i="60"/>
  <c r="M27" i="60"/>
  <c r="L27" i="60"/>
  <c r="K27" i="60"/>
  <c r="AC27" i="60" s="1"/>
  <c r="J27" i="60"/>
  <c r="I27" i="60"/>
  <c r="AA27" i="60" s="1"/>
  <c r="H27" i="60"/>
  <c r="Z27" i="60" s="1"/>
  <c r="G27" i="60"/>
  <c r="Y27" i="60" s="1"/>
  <c r="F27" i="60"/>
  <c r="E27" i="60"/>
  <c r="D27" i="60"/>
  <c r="C27" i="60"/>
  <c r="U27" i="60" s="1"/>
  <c r="B27" i="60"/>
  <c r="P26" i="60"/>
  <c r="AH26" i="60" s="1"/>
  <c r="O26" i="60"/>
  <c r="AG26" i="60" s="1"/>
  <c r="N26" i="60"/>
  <c r="AF26" i="60" s="1"/>
  <c r="M26" i="60"/>
  <c r="L26" i="60"/>
  <c r="K26" i="60"/>
  <c r="J26" i="60"/>
  <c r="AB26" i="60" s="1"/>
  <c r="I26" i="60"/>
  <c r="H26" i="60"/>
  <c r="Z26" i="60" s="1"/>
  <c r="G26" i="60"/>
  <c r="Y26" i="60" s="1"/>
  <c r="F26" i="60"/>
  <c r="X26" i="60" s="1"/>
  <c r="E26" i="60"/>
  <c r="D26" i="60"/>
  <c r="C26" i="60"/>
  <c r="B26" i="60"/>
  <c r="T26" i="60" s="1"/>
  <c r="P25" i="60"/>
  <c r="O25" i="60"/>
  <c r="AG25" i="60" s="1"/>
  <c r="N25" i="60"/>
  <c r="AF25" i="60" s="1"/>
  <c r="M25" i="60"/>
  <c r="L25" i="60"/>
  <c r="K25" i="60"/>
  <c r="J25" i="60"/>
  <c r="I25" i="60"/>
  <c r="AA25" i="60" s="1"/>
  <c r="H25" i="60"/>
  <c r="G25" i="60"/>
  <c r="Y25" i="60" s="1"/>
  <c r="F25" i="60"/>
  <c r="E25" i="60"/>
  <c r="W25" i="60" s="1"/>
  <c r="D25" i="60"/>
  <c r="C25" i="60"/>
  <c r="B25" i="60"/>
  <c r="P24" i="60"/>
  <c r="AH24" i="60" s="1"/>
  <c r="O24" i="60"/>
  <c r="N24" i="60"/>
  <c r="AF24" i="60" s="1"/>
  <c r="M24" i="60"/>
  <c r="AE24" i="60" s="1"/>
  <c r="L24" i="60"/>
  <c r="AD24" i="60" s="1"/>
  <c r="K24" i="60"/>
  <c r="J24" i="60"/>
  <c r="I24" i="60"/>
  <c r="H24" i="60"/>
  <c r="Z24" i="60" s="1"/>
  <c r="G24" i="60"/>
  <c r="F24" i="60"/>
  <c r="X24" i="60" s="1"/>
  <c r="E24" i="60"/>
  <c r="W24" i="60" s="1"/>
  <c r="D24" i="60"/>
  <c r="V24" i="60" s="1"/>
  <c r="C24" i="60"/>
  <c r="B24" i="60"/>
  <c r="P23" i="60"/>
  <c r="O23" i="60"/>
  <c r="AG23" i="60" s="1"/>
  <c r="N23" i="60"/>
  <c r="M23" i="60"/>
  <c r="AE23" i="60" s="1"/>
  <c r="L23" i="60"/>
  <c r="AD23" i="60" s="1"/>
  <c r="K23" i="60"/>
  <c r="AC23" i="60" s="1"/>
  <c r="J23" i="60"/>
  <c r="I23" i="60"/>
  <c r="H23" i="60"/>
  <c r="G23" i="60"/>
  <c r="Y23" i="60" s="1"/>
  <c r="F23" i="60"/>
  <c r="E23" i="60"/>
  <c r="W23" i="60" s="1"/>
  <c r="D23" i="60"/>
  <c r="V23" i="60" s="1"/>
  <c r="C23" i="60"/>
  <c r="U23" i="60" s="1"/>
  <c r="B23" i="60"/>
  <c r="P22" i="60"/>
  <c r="O22" i="60"/>
  <c r="N22" i="60"/>
  <c r="AF22" i="60" s="1"/>
  <c r="M22" i="60"/>
  <c r="AE22" i="60" s="1"/>
  <c r="L22" i="60"/>
  <c r="K22" i="60"/>
  <c r="AC22" i="60" s="1"/>
  <c r="J22" i="60"/>
  <c r="AB22" i="60" s="1"/>
  <c r="I22" i="60"/>
  <c r="AA22" i="60" s="1"/>
  <c r="H22" i="60"/>
  <c r="G22" i="60"/>
  <c r="F22" i="60"/>
  <c r="E22" i="60"/>
  <c r="W22" i="60" s="1"/>
  <c r="D22" i="60"/>
  <c r="C22" i="60"/>
  <c r="U22" i="60" s="1"/>
  <c r="B22" i="60"/>
  <c r="T22" i="60" s="1"/>
  <c r="P21" i="60"/>
  <c r="AH21" i="60" s="1"/>
  <c r="O21" i="60"/>
  <c r="N21" i="60"/>
  <c r="M21" i="60"/>
  <c r="AE21" i="60" s="1"/>
  <c r="L21" i="60"/>
  <c r="AD21" i="60" s="1"/>
  <c r="K21" i="60"/>
  <c r="AC21" i="60" s="1"/>
  <c r="J21" i="60"/>
  <c r="I21" i="60"/>
  <c r="AA21" i="60" s="1"/>
  <c r="H21" i="60"/>
  <c r="Z21" i="60" s="1"/>
  <c r="G21" i="60"/>
  <c r="F21" i="60"/>
  <c r="E21" i="60"/>
  <c r="W21" i="60" s="1"/>
  <c r="D21" i="60"/>
  <c r="C21" i="60"/>
  <c r="U21" i="60" s="1"/>
  <c r="B21" i="60"/>
  <c r="T21" i="60" s="1"/>
  <c r="P20" i="60"/>
  <c r="AH20" i="60" s="1"/>
  <c r="O20" i="60"/>
  <c r="AG20" i="60" s="1"/>
  <c r="N20" i="60"/>
  <c r="M20" i="60"/>
  <c r="L20" i="60"/>
  <c r="AD20" i="60" s="1"/>
  <c r="K20" i="60"/>
  <c r="AC20" i="60" s="1"/>
  <c r="J20" i="60"/>
  <c r="I20" i="60"/>
  <c r="AA20" i="60" s="1"/>
  <c r="H20" i="60"/>
  <c r="Z20" i="60" s="1"/>
  <c r="G20" i="60"/>
  <c r="Y20" i="60" s="1"/>
  <c r="F20" i="60"/>
  <c r="E20" i="60"/>
  <c r="D20" i="60"/>
  <c r="C20" i="60"/>
  <c r="B20" i="60"/>
  <c r="P19" i="60"/>
  <c r="AH19" i="60" s="1"/>
  <c r="O19" i="60"/>
  <c r="AG19" i="60" s="1"/>
  <c r="N19" i="60"/>
  <c r="AF19" i="60" s="1"/>
  <c r="M19" i="60"/>
  <c r="L19" i="60"/>
  <c r="K19" i="60"/>
  <c r="AC19" i="60" s="1"/>
  <c r="J19" i="60"/>
  <c r="AB19" i="60" s="1"/>
  <c r="I19" i="60"/>
  <c r="AA19" i="60" s="1"/>
  <c r="H19" i="60"/>
  <c r="G19" i="60"/>
  <c r="Y19" i="60" s="1"/>
  <c r="F19" i="60"/>
  <c r="X19" i="60" s="1"/>
  <c r="E19" i="60"/>
  <c r="D19" i="60"/>
  <c r="C19" i="60"/>
  <c r="U19" i="60" s="1"/>
  <c r="B19" i="60"/>
  <c r="P18" i="60"/>
  <c r="AH18" i="60" s="1"/>
  <c r="O18" i="60"/>
  <c r="AG18" i="60" s="1"/>
  <c r="N18" i="60"/>
  <c r="AF18" i="60" s="1"/>
  <c r="M18" i="60"/>
  <c r="AE18" i="60" s="1"/>
  <c r="L18" i="60"/>
  <c r="K18" i="60"/>
  <c r="J18" i="60"/>
  <c r="AB18" i="60" s="1"/>
  <c r="I18" i="60"/>
  <c r="AA18" i="60" s="1"/>
  <c r="H18" i="60"/>
  <c r="G18" i="60"/>
  <c r="Y18" i="60" s="1"/>
  <c r="F18" i="60"/>
  <c r="X18" i="60" s="1"/>
  <c r="E18" i="60"/>
  <c r="W18" i="60" s="1"/>
  <c r="D18" i="60"/>
  <c r="C18" i="60"/>
  <c r="B18" i="60"/>
  <c r="P17" i="60"/>
  <c r="AH17" i="60" s="1"/>
  <c r="O17" i="60"/>
  <c r="N17" i="60"/>
  <c r="AF17" i="60" s="1"/>
  <c r="M17" i="60"/>
  <c r="AE17" i="60" s="1"/>
  <c r="L17" i="60"/>
  <c r="AD17" i="60" s="1"/>
  <c r="K17" i="60"/>
  <c r="J17" i="60"/>
  <c r="I17" i="60"/>
  <c r="AA17" i="60" s="1"/>
  <c r="H17" i="60"/>
  <c r="Z17" i="60" s="1"/>
  <c r="G17" i="60"/>
  <c r="Y17" i="60" s="1"/>
  <c r="F17" i="60"/>
  <c r="E17" i="60"/>
  <c r="W17" i="60" s="1"/>
  <c r="D17" i="60"/>
  <c r="V17" i="60" s="1"/>
  <c r="C17" i="60"/>
  <c r="B17" i="60"/>
  <c r="P16" i="60"/>
  <c r="AH16" i="60" s="1"/>
  <c r="O16" i="60"/>
  <c r="AG16" i="60" s="1"/>
  <c r="N16" i="60"/>
  <c r="AF16" i="60" s="1"/>
  <c r="M16" i="60"/>
  <c r="AE16" i="60" s="1"/>
  <c r="L16" i="60"/>
  <c r="AD16" i="60" s="1"/>
  <c r="K16" i="60"/>
  <c r="AC16" i="60" s="1"/>
  <c r="J16" i="60"/>
  <c r="I16" i="60"/>
  <c r="H16" i="60"/>
  <c r="Z16" i="60" s="1"/>
  <c r="G16" i="60"/>
  <c r="Y16" i="60" s="1"/>
  <c r="F16" i="60"/>
  <c r="E16" i="60"/>
  <c r="W16" i="60" s="1"/>
  <c r="D16" i="60"/>
  <c r="V16" i="60" s="1"/>
  <c r="C16" i="60"/>
  <c r="B16" i="60"/>
  <c r="P15" i="60"/>
  <c r="O15" i="60"/>
  <c r="N15" i="60"/>
  <c r="AF15" i="60" s="1"/>
  <c r="M15" i="60"/>
  <c r="L15" i="60"/>
  <c r="AD15" i="60" s="1"/>
  <c r="K15" i="60"/>
  <c r="AC15" i="60" s="1"/>
  <c r="J15" i="60"/>
  <c r="AB15" i="60" s="1"/>
  <c r="I15" i="60"/>
  <c r="H15" i="60"/>
  <c r="G15" i="60"/>
  <c r="Y15" i="60" s="1"/>
  <c r="F15" i="60"/>
  <c r="X15" i="60" s="1"/>
  <c r="E15" i="60"/>
  <c r="W15" i="60" s="1"/>
  <c r="D15" i="60"/>
  <c r="C15" i="60"/>
  <c r="U15" i="60" s="1"/>
  <c r="B15" i="60"/>
  <c r="AH69" i="60"/>
  <c r="AG69" i="60"/>
  <c r="AF69" i="60"/>
  <c r="AE69" i="60"/>
  <c r="AD69" i="60"/>
  <c r="AC69" i="60"/>
  <c r="AB69" i="60"/>
  <c r="AA69" i="60"/>
  <c r="Z69" i="60"/>
  <c r="Y69" i="60"/>
  <c r="X69" i="60"/>
  <c r="W69" i="60"/>
  <c r="V69" i="60"/>
  <c r="U69" i="60"/>
  <c r="T69" i="60"/>
  <c r="S69" i="60"/>
  <c r="R69" i="60"/>
  <c r="Q69" i="60"/>
  <c r="AH68" i="60"/>
  <c r="AG68" i="60"/>
  <c r="AF68" i="60"/>
  <c r="AE68" i="60"/>
  <c r="AD68" i="60"/>
  <c r="AC68" i="60"/>
  <c r="AB68" i="60"/>
  <c r="AA68" i="60"/>
  <c r="Z68" i="60"/>
  <c r="Y68" i="60"/>
  <c r="X68" i="60"/>
  <c r="W68" i="60"/>
  <c r="V68" i="60"/>
  <c r="U68" i="60"/>
  <c r="T68" i="60"/>
  <c r="S68" i="60"/>
  <c r="R68" i="60"/>
  <c r="Q68" i="60"/>
  <c r="AH67" i="60"/>
  <c r="AG67" i="60"/>
  <c r="AF67" i="60"/>
  <c r="AE67" i="60"/>
  <c r="AD67" i="60"/>
  <c r="AC67" i="60"/>
  <c r="AB67" i="60"/>
  <c r="AA67" i="60"/>
  <c r="Z67" i="60"/>
  <c r="Y67" i="60"/>
  <c r="X67" i="60"/>
  <c r="W67" i="60"/>
  <c r="V67" i="60"/>
  <c r="U67" i="60"/>
  <c r="T67" i="60"/>
  <c r="Q67" i="60"/>
  <c r="AH66" i="60"/>
  <c r="AG66" i="60"/>
  <c r="AF66" i="60"/>
  <c r="AE66" i="60"/>
  <c r="AD66" i="60"/>
  <c r="AC66" i="60"/>
  <c r="AB66" i="60"/>
  <c r="AA66" i="60"/>
  <c r="Z66" i="60"/>
  <c r="Y66" i="60"/>
  <c r="X66" i="60"/>
  <c r="W66" i="60"/>
  <c r="V66" i="60"/>
  <c r="U66" i="60"/>
  <c r="T66" i="60"/>
  <c r="Q66" i="60"/>
  <c r="AH65" i="60"/>
  <c r="AG65" i="60"/>
  <c r="AF65" i="60"/>
  <c r="AE65" i="60"/>
  <c r="AD65" i="60"/>
  <c r="AC65" i="60"/>
  <c r="AB65" i="60"/>
  <c r="AA65" i="60"/>
  <c r="Z65" i="60"/>
  <c r="Y65" i="60"/>
  <c r="X65" i="60"/>
  <c r="W65" i="60"/>
  <c r="V65" i="60"/>
  <c r="U65" i="60"/>
  <c r="T65" i="60"/>
  <c r="R65" i="60"/>
  <c r="Q65" i="60"/>
  <c r="AH64" i="60"/>
  <c r="AG64" i="60"/>
  <c r="AF64" i="60"/>
  <c r="AE64" i="60"/>
  <c r="AD64" i="60"/>
  <c r="AC64" i="60"/>
  <c r="AB64" i="60"/>
  <c r="AA64" i="60"/>
  <c r="Z64" i="60"/>
  <c r="Y64" i="60"/>
  <c r="X64" i="60"/>
  <c r="W64" i="60"/>
  <c r="V64" i="60"/>
  <c r="U64" i="60"/>
  <c r="T64" i="60"/>
  <c r="Q64" i="60"/>
  <c r="AH63" i="60"/>
  <c r="AG63" i="60"/>
  <c r="AF63" i="60"/>
  <c r="AE63" i="60"/>
  <c r="AD63" i="60"/>
  <c r="AC63" i="60"/>
  <c r="AB63" i="60"/>
  <c r="AA63" i="60"/>
  <c r="Z63" i="60"/>
  <c r="Y63" i="60"/>
  <c r="X63" i="60"/>
  <c r="W63" i="60"/>
  <c r="V63" i="60"/>
  <c r="U63" i="60"/>
  <c r="T63" i="60"/>
  <c r="Q63" i="60"/>
  <c r="AH62" i="60"/>
  <c r="AG62" i="60"/>
  <c r="AF62" i="60"/>
  <c r="AE62" i="60"/>
  <c r="AD62" i="60"/>
  <c r="AC62" i="60"/>
  <c r="AB62" i="60"/>
  <c r="AA62" i="60"/>
  <c r="Z62" i="60"/>
  <c r="Y62" i="60"/>
  <c r="X62" i="60"/>
  <c r="W62" i="60"/>
  <c r="V62" i="60"/>
  <c r="U62" i="60"/>
  <c r="T62" i="60"/>
  <c r="Q62" i="60"/>
  <c r="AH61" i="60"/>
  <c r="AG61" i="60"/>
  <c r="AF61" i="60"/>
  <c r="AE61" i="60"/>
  <c r="AD61" i="60"/>
  <c r="AC61" i="60"/>
  <c r="AB61" i="60"/>
  <c r="AA61" i="60"/>
  <c r="Z61" i="60"/>
  <c r="Y61" i="60"/>
  <c r="X61" i="60"/>
  <c r="W61" i="60"/>
  <c r="V61" i="60"/>
  <c r="U61" i="60"/>
  <c r="T61" i="60"/>
  <c r="R61" i="60"/>
  <c r="Q61" i="60"/>
  <c r="AH60" i="60"/>
  <c r="AG60" i="60"/>
  <c r="AF60" i="60"/>
  <c r="AE60" i="60"/>
  <c r="AD60" i="60"/>
  <c r="AC60" i="60"/>
  <c r="AB60" i="60"/>
  <c r="AA60" i="60"/>
  <c r="Z60" i="60"/>
  <c r="Y60" i="60"/>
  <c r="X60" i="60"/>
  <c r="W60" i="60"/>
  <c r="V60" i="60"/>
  <c r="U60" i="60"/>
  <c r="T60" i="60"/>
  <c r="Q60" i="60"/>
  <c r="AH59" i="60"/>
  <c r="AG59" i="60"/>
  <c r="AF59" i="60"/>
  <c r="AE59" i="60"/>
  <c r="AD59" i="60"/>
  <c r="AC59" i="60"/>
  <c r="AB59" i="60"/>
  <c r="AA59" i="60"/>
  <c r="Z59" i="60"/>
  <c r="Y59" i="60"/>
  <c r="X59" i="60"/>
  <c r="W59" i="60"/>
  <c r="V59" i="60"/>
  <c r="U59" i="60"/>
  <c r="T59" i="60"/>
  <c r="R59" i="60"/>
  <c r="Q59" i="60"/>
  <c r="AH58" i="60"/>
  <c r="AG58" i="60"/>
  <c r="AF58" i="60"/>
  <c r="AE58" i="60"/>
  <c r="AD58" i="60"/>
  <c r="AC58" i="60"/>
  <c r="AB58" i="60"/>
  <c r="AA58" i="60"/>
  <c r="Z58" i="60"/>
  <c r="Y58" i="60"/>
  <c r="X58" i="60"/>
  <c r="W58" i="60"/>
  <c r="V58" i="60"/>
  <c r="U58" i="60"/>
  <c r="T58" i="60"/>
  <c r="S58" i="60"/>
  <c r="Q58" i="60"/>
  <c r="AH57" i="60"/>
  <c r="AG57" i="60"/>
  <c r="AF57" i="60"/>
  <c r="AE57" i="60"/>
  <c r="AD57" i="60"/>
  <c r="AC57" i="60"/>
  <c r="AB57" i="60"/>
  <c r="AA57" i="60"/>
  <c r="Z57" i="60"/>
  <c r="Y57" i="60"/>
  <c r="X57" i="60"/>
  <c r="W57" i="60"/>
  <c r="V57" i="60"/>
  <c r="U57" i="60"/>
  <c r="T57" i="60"/>
  <c r="R57" i="60"/>
  <c r="Q57" i="60"/>
  <c r="AH56" i="60"/>
  <c r="AG56" i="60"/>
  <c r="AF56" i="60"/>
  <c r="AE56" i="60"/>
  <c r="AD56" i="60"/>
  <c r="AC56" i="60"/>
  <c r="AB56" i="60"/>
  <c r="AA56" i="60"/>
  <c r="Z56" i="60"/>
  <c r="Y56" i="60"/>
  <c r="X56" i="60"/>
  <c r="W56" i="60"/>
  <c r="V56" i="60"/>
  <c r="U56" i="60"/>
  <c r="T56" i="60"/>
  <c r="Q56" i="60"/>
  <c r="AH55" i="60"/>
  <c r="AG55" i="60"/>
  <c r="AF55" i="60"/>
  <c r="AE55" i="60"/>
  <c r="AD55" i="60"/>
  <c r="AC55" i="60"/>
  <c r="AB55" i="60"/>
  <c r="AA55" i="60"/>
  <c r="Z55" i="60"/>
  <c r="Y55" i="60"/>
  <c r="X55" i="60"/>
  <c r="W55" i="60"/>
  <c r="V55" i="60"/>
  <c r="U55" i="60"/>
  <c r="T55" i="60"/>
  <c r="R55" i="60"/>
  <c r="Q55" i="60"/>
  <c r="AH54" i="60"/>
  <c r="AG54" i="60"/>
  <c r="AF54" i="60"/>
  <c r="AE54" i="60"/>
  <c r="AD54" i="60"/>
  <c r="AC54" i="60"/>
  <c r="AB54" i="60"/>
  <c r="AA54" i="60"/>
  <c r="Z54" i="60"/>
  <c r="Y54" i="60"/>
  <c r="X54" i="60"/>
  <c r="W54" i="60"/>
  <c r="V54" i="60"/>
  <c r="U54" i="60"/>
  <c r="T54" i="60"/>
  <c r="Q54" i="60"/>
  <c r="AH53" i="60"/>
  <c r="AG53" i="60"/>
  <c r="AF53" i="60"/>
  <c r="AE53" i="60"/>
  <c r="AD53" i="60"/>
  <c r="AC53" i="60"/>
  <c r="AB53" i="60"/>
  <c r="AA53" i="60"/>
  <c r="Z53" i="60"/>
  <c r="Y53" i="60"/>
  <c r="X53" i="60"/>
  <c r="W53" i="60"/>
  <c r="V53" i="60"/>
  <c r="U53" i="60"/>
  <c r="T53" i="60"/>
  <c r="Q53" i="60"/>
  <c r="AH52" i="60"/>
  <c r="AG52" i="60"/>
  <c r="AF52" i="60"/>
  <c r="AE52" i="60"/>
  <c r="AD52" i="60"/>
  <c r="AC52" i="60"/>
  <c r="AB52" i="60"/>
  <c r="AA52" i="60"/>
  <c r="Z52" i="60"/>
  <c r="Y52" i="60"/>
  <c r="X52" i="60"/>
  <c r="W52" i="60"/>
  <c r="V52" i="60"/>
  <c r="U52" i="60"/>
  <c r="T52" i="60"/>
  <c r="R52" i="60"/>
  <c r="Q52" i="60"/>
  <c r="AH51" i="60"/>
  <c r="AG51" i="60"/>
  <c r="AF51" i="60"/>
  <c r="AE51" i="60"/>
  <c r="AD51" i="60"/>
  <c r="AC51" i="60"/>
  <c r="AB51" i="60"/>
  <c r="AA51" i="60"/>
  <c r="Z51" i="60"/>
  <c r="Y51" i="60"/>
  <c r="X51" i="60"/>
  <c r="W51" i="60"/>
  <c r="V51" i="60"/>
  <c r="U51" i="60"/>
  <c r="T51" i="60"/>
  <c r="R51" i="60"/>
  <c r="Q51" i="60"/>
  <c r="AH50" i="60"/>
  <c r="AG50" i="60"/>
  <c r="AF50" i="60"/>
  <c r="AE50" i="60"/>
  <c r="AD50" i="60"/>
  <c r="AC50" i="60"/>
  <c r="AB50" i="60"/>
  <c r="AA50" i="60"/>
  <c r="Z50" i="60"/>
  <c r="Y50" i="60"/>
  <c r="X50" i="60"/>
  <c r="W50" i="60"/>
  <c r="V50" i="60"/>
  <c r="U50" i="60"/>
  <c r="T50" i="60"/>
  <c r="R50" i="60"/>
  <c r="Q50" i="60"/>
  <c r="AH49" i="60"/>
  <c r="AG49" i="60"/>
  <c r="AF49" i="60"/>
  <c r="AE49" i="60"/>
  <c r="AD49" i="60"/>
  <c r="AC49" i="60"/>
  <c r="AB49" i="60"/>
  <c r="AA49" i="60"/>
  <c r="Z49" i="60"/>
  <c r="Y49" i="60"/>
  <c r="X49" i="60"/>
  <c r="W49" i="60"/>
  <c r="V49" i="60"/>
  <c r="U49" i="60"/>
  <c r="T49" i="60"/>
  <c r="Q49" i="60"/>
  <c r="AH48" i="60"/>
  <c r="AG48" i="60"/>
  <c r="AF48" i="60"/>
  <c r="AE48" i="60"/>
  <c r="AD48" i="60"/>
  <c r="AC48" i="60"/>
  <c r="AB48" i="60"/>
  <c r="AA48" i="60"/>
  <c r="Z48" i="60"/>
  <c r="Y48" i="60"/>
  <c r="X48" i="60"/>
  <c r="W48" i="60"/>
  <c r="V48" i="60"/>
  <c r="U48" i="60"/>
  <c r="T48" i="60"/>
  <c r="S48" i="60"/>
  <c r="R48" i="60"/>
  <c r="Q48" i="60"/>
  <c r="AH47" i="60"/>
  <c r="AG47" i="60"/>
  <c r="AF47" i="60"/>
  <c r="AE47" i="60"/>
  <c r="AD47" i="60"/>
  <c r="AC47" i="60"/>
  <c r="AB47" i="60"/>
  <c r="AA47" i="60"/>
  <c r="Z47" i="60"/>
  <c r="Y47" i="60"/>
  <c r="X47" i="60"/>
  <c r="W47" i="60"/>
  <c r="V47" i="60"/>
  <c r="U47" i="60"/>
  <c r="T47" i="60"/>
  <c r="S47" i="60"/>
  <c r="R47" i="60"/>
  <c r="Q47" i="60"/>
  <c r="AH46" i="60"/>
  <c r="AG46" i="60"/>
  <c r="AF46" i="60"/>
  <c r="AE46" i="60"/>
  <c r="AD46" i="60"/>
  <c r="AC46" i="60"/>
  <c r="AB46" i="60"/>
  <c r="AA46" i="60"/>
  <c r="Z46" i="60"/>
  <c r="Y46" i="60"/>
  <c r="X46" i="60"/>
  <c r="W46" i="60"/>
  <c r="V46" i="60"/>
  <c r="U46" i="60"/>
  <c r="T46" i="60"/>
  <c r="S46" i="60"/>
  <c r="R46" i="60"/>
  <c r="Q46" i="60"/>
  <c r="AH45" i="60"/>
  <c r="AG45" i="60"/>
  <c r="AF45" i="60"/>
  <c r="AE45" i="60"/>
  <c r="AD45" i="60"/>
  <c r="AC45" i="60"/>
  <c r="AB45" i="60"/>
  <c r="AA45" i="60"/>
  <c r="Z45" i="60"/>
  <c r="Y45" i="60"/>
  <c r="X45" i="60"/>
  <c r="W45" i="60"/>
  <c r="V45" i="60"/>
  <c r="U45" i="60"/>
  <c r="T45" i="60"/>
  <c r="S45" i="60"/>
  <c r="R45" i="60"/>
  <c r="Q45" i="60"/>
  <c r="AH44" i="60"/>
  <c r="AG44" i="60"/>
  <c r="AF44" i="60"/>
  <c r="AE44" i="60"/>
  <c r="AD44" i="60"/>
  <c r="AC44" i="60"/>
  <c r="AB44" i="60"/>
  <c r="AA44" i="60"/>
  <c r="Z44" i="60"/>
  <c r="Y44" i="60"/>
  <c r="X44" i="60"/>
  <c r="W44" i="60"/>
  <c r="V44" i="60"/>
  <c r="U44" i="60"/>
  <c r="T44" i="60"/>
  <c r="S44" i="60"/>
  <c r="R44" i="60"/>
  <c r="Q44" i="60"/>
  <c r="AH43" i="60"/>
  <c r="AG43" i="60"/>
  <c r="AF43" i="60"/>
  <c r="AE43" i="60"/>
  <c r="AD43" i="60"/>
  <c r="AC43" i="60"/>
  <c r="AB43" i="60"/>
  <c r="AA43" i="60"/>
  <c r="Z43" i="60"/>
  <c r="Y43" i="60"/>
  <c r="X43" i="60"/>
  <c r="W43" i="60"/>
  <c r="V43" i="60"/>
  <c r="U43" i="60"/>
  <c r="T43" i="60"/>
  <c r="S43" i="60"/>
  <c r="R43" i="60"/>
  <c r="Q43" i="60"/>
  <c r="AH42" i="60"/>
  <c r="AG42" i="60"/>
  <c r="AF42" i="60"/>
  <c r="AE42" i="60"/>
  <c r="AD42" i="60"/>
  <c r="AC42" i="60"/>
  <c r="AB42" i="60"/>
  <c r="AA42" i="60"/>
  <c r="Z42" i="60"/>
  <c r="Y42" i="60"/>
  <c r="X42" i="60"/>
  <c r="W42" i="60"/>
  <c r="V42" i="60"/>
  <c r="U42" i="60"/>
  <c r="T42" i="60"/>
  <c r="Q42" i="60"/>
  <c r="AH41" i="60"/>
  <c r="AG41" i="60"/>
  <c r="AF41" i="60"/>
  <c r="AE41" i="60"/>
  <c r="AD41" i="60"/>
  <c r="AC41" i="60"/>
  <c r="AB41" i="60"/>
  <c r="AA41" i="60"/>
  <c r="Z41" i="60"/>
  <c r="Y41" i="60"/>
  <c r="X41" i="60"/>
  <c r="W41" i="60"/>
  <c r="V41" i="60"/>
  <c r="U41" i="60"/>
  <c r="T41" i="60"/>
  <c r="S41" i="60"/>
  <c r="R41" i="60"/>
  <c r="Q41" i="60"/>
  <c r="AH40" i="60"/>
  <c r="AG40" i="60"/>
  <c r="AF40" i="60"/>
  <c r="AE40" i="60"/>
  <c r="AD40" i="60"/>
  <c r="AC40" i="60"/>
  <c r="AB40" i="60"/>
  <c r="AA40" i="60"/>
  <c r="Z40" i="60"/>
  <c r="Y40" i="60"/>
  <c r="X40" i="60"/>
  <c r="W40" i="60"/>
  <c r="V40" i="60"/>
  <c r="U40" i="60"/>
  <c r="T40" i="60"/>
  <c r="S40" i="60"/>
  <c r="R40" i="60"/>
  <c r="Q40" i="60"/>
  <c r="AH39" i="60"/>
  <c r="AG39" i="60"/>
  <c r="AF39" i="60"/>
  <c r="AE39" i="60"/>
  <c r="AD39" i="60"/>
  <c r="AC39" i="60"/>
  <c r="AB39" i="60"/>
  <c r="AA39" i="60"/>
  <c r="Z39" i="60"/>
  <c r="Y39" i="60"/>
  <c r="X39" i="60"/>
  <c r="W39" i="60"/>
  <c r="V39" i="60"/>
  <c r="U39" i="60"/>
  <c r="T39" i="60"/>
  <c r="S39" i="60"/>
  <c r="Q39" i="60"/>
  <c r="AH38" i="60"/>
  <c r="AG38" i="60"/>
  <c r="AF38" i="60"/>
  <c r="AE38" i="60"/>
  <c r="AD38" i="60"/>
  <c r="AC38" i="60"/>
  <c r="AB38" i="60"/>
  <c r="AA38" i="60"/>
  <c r="Z38" i="60"/>
  <c r="Y38" i="60"/>
  <c r="X38" i="60"/>
  <c r="W38" i="60"/>
  <c r="V38" i="60"/>
  <c r="U38" i="60"/>
  <c r="T38" i="60"/>
  <c r="AH37" i="60"/>
  <c r="AG37" i="60"/>
  <c r="AF37" i="60"/>
  <c r="AE37" i="60"/>
  <c r="AD37" i="60"/>
  <c r="AC37" i="60"/>
  <c r="AB37" i="60"/>
  <c r="AA37" i="60"/>
  <c r="Z37" i="60"/>
  <c r="Y37" i="60"/>
  <c r="X37" i="60"/>
  <c r="W37" i="60"/>
  <c r="V37" i="60"/>
  <c r="U37" i="60"/>
  <c r="T37" i="60"/>
  <c r="Q4" i="60"/>
  <c r="Q5" i="60"/>
  <c r="Q6" i="60"/>
  <c r="Q7" i="60"/>
  <c r="Q8" i="60"/>
  <c r="Q9" i="60"/>
  <c r="Q10" i="60"/>
  <c r="Q11" i="60"/>
  <c r="Q12" i="60"/>
  <c r="Q13" i="60"/>
  <c r="Q14" i="60"/>
  <c r="R33" i="60"/>
  <c r="R34" i="60"/>
  <c r="I124" i="61"/>
  <c r="I118" i="61"/>
  <c r="I4" i="61"/>
  <c r="I5" i="61"/>
  <c r="I9" i="61"/>
  <c r="I10" i="61"/>
  <c r="I11" i="61"/>
  <c r="I12" i="61"/>
  <c r="I16" i="61"/>
  <c r="I17" i="61"/>
  <c r="I18" i="61"/>
  <c r="I19" i="61"/>
  <c r="I24" i="61"/>
  <c r="I25" i="61"/>
  <c r="I26" i="61"/>
  <c r="I31" i="61"/>
  <c r="I32" i="61"/>
  <c r="I33" i="61"/>
  <c r="I38" i="61"/>
  <c r="I39" i="61"/>
  <c r="I40" i="61"/>
  <c r="I41" i="61"/>
  <c r="I42" i="61"/>
  <c r="I43" i="61"/>
  <c r="I44" i="61"/>
  <c r="I45" i="61"/>
  <c r="I46" i="61"/>
  <c r="I47" i="61"/>
  <c r="I48" i="61"/>
  <c r="I49" i="61"/>
  <c r="I50" i="61"/>
  <c r="I51" i="61"/>
  <c r="I52" i="61"/>
  <c r="I53" i="61"/>
  <c r="I54" i="61"/>
  <c r="I55" i="61"/>
  <c r="I56" i="61"/>
  <c r="I57" i="61"/>
  <c r="I58" i="61"/>
  <c r="I59" i="61"/>
  <c r="I62" i="61"/>
  <c r="I63" i="61"/>
  <c r="I64" i="61"/>
  <c r="I69" i="61"/>
  <c r="I70" i="61"/>
  <c r="I71" i="61"/>
  <c r="I72" i="61"/>
  <c r="I73" i="61"/>
  <c r="I74" i="61"/>
  <c r="I75" i="61"/>
  <c r="I76" i="61"/>
  <c r="I77" i="61"/>
  <c r="I78" i="61"/>
  <c r="I82" i="61"/>
  <c r="I83" i="61"/>
  <c r="I84" i="61"/>
  <c r="I88" i="61"/>
  <c r="I89" i="61"/>
  <c r="I90" i="61"/>
  <c r="I94" i="61"/>
  <c r="I95" i="61"/>
  <c r="I96" i="61"/>
  <c r="M96" i="61" s="1"/>
  <c r="I100" i="61"/>
  <c r="I101" i="61"/>
  <c r="I102" i="61"/>
  <c r="I106" i="61"/>
  <c r="I107" i="61"/>
  <c r="I108" i="61"/>
  <c r="I112" i="61"/>
  <c r="I113" i="61"/>
  <c r="I114" i="61"/>
  <c r="I119" i="61"/>
  <c r="I120" i="61"/>
  <c r="B37" i="71"/>
  <c r="B40" i="71"/>
  <c r="B41" i="71" s="1"/>
  <c r="B42" i="71" s="1"/>
  <c r="B43" i="71" s="1"/>
  <c r="B44" i="71" s="1"/>
  <c r="B45" i="71" s="1"/>
  <c r="B46" i="71" s="1"/>
  <c r="B47" i="71" s="1"/>
  <c r="B48" i="71" s="1"/>
  <c r="B49" i="71" s="1"/>
  <c r="B50" i="71" s="1"/>
  <c r="B51" i="71" s="1"/>
  <c r="B52" i="71" s="1"/>
  <c r="B53" i="71" s="1"/>
  <c r="B54" i="71" s="1"/>
  <c r="B55" i="71" s="1"/>
  <c r="B56" i="71" s="1"/>
  <c r="B57" i="71" s="1"/>
  <c r="B58" i="71" s="1"/>
  <c r="B59" i="71" s="1"/>
  <c r="B60" i="71" s="1"/>
  <c r="B61" i="71" s="1"/>
  <c r="B62" i="71" s="1"/>
  <c r="B63" i="71" s="1"/>
  <c r="B64" i="71" s="1"/>
  <c r="B65" i="71" s="1"/>
  <c r="B66" i="71" s="1"/>
  <c r="B67" i="71" s="1"/>
  <c r="B68" i="71" s="1"/>
  <c r="B69" i="71" s="1"/>
  <c r="B70" i="71" s="1"/>
  <c r="B71" i="71" s="1"/>
  <c r="B72" i="71" s="1"/>
  <c r="B73" i="71" s="1"/>
  <c r="AA98" i="65"/>
  <c r="AA99" i="65"/>
  <c r="AA100" i="65"/>
  <c r="AA141" i="65"/>
  <c r="Z104" i="65"/>
  <c r="Z105" i="65"/>
  <c r="Z106" i="65"/>
  <c r="Z107" i="65"/>
  <c r="Z108" i="65"/>
  <c r="Z109" i="65"/>
  <c r="Z110" i="65"/>
  <c r="Z111" i="65"/>
  <c r="Z112" i="65"/>
  <c r="Z113" i="65"/>
  <c r="Z114" i="65"/>
  <c r="W104" i="65"/>
  <c r="W105" i="65"/>
  <c r="W106" i="65"/>
  <c r="W107" i="65"/>
  <c r="W108" i="65"/>
  <c r="W109" i="65"/>
  <c r="W110" i="65"/>
  <c r="W111" i="65"/>
  <c r="W112" i="65"/>
  <c r="W113" i="65"/>
  <c r="W114" i="65"/>
  <c r="X104" i="65"/>
  <c r="X105" i="65"/>
  <c r="X106" i="65"/>
  <c r="X107" i="65"/>
  <c r="X108" i="65"/>
  <c r="X109" i="65"/>
  <c r="X110" i="65"/>
  <c r="X111" i="65"/>
  <c r="X112" i="65"/>
  <c r="X113" i="65"/>
  <c r="X114" i="65"/>
  <c r="Y98" i="65"/>
  <c r="Y99" i="65"/>
  <c r="Y100" i="65"/>
  <c r="Y139" i="65"/>
  <c r="Y140" i="65"/>
  <c r="Y141" i="65"/>
  <c r="AF98" i="65"/>
  <c r="AF99" i="65"/>
  <c r="AF100" i="65"/>
  <c r="AF104" i="65"/>
  <c r="AF105" i="65"/>
  <c r="AF106" i="65"/>
  <c r="AF107" i="65"/>
  <c r="AF108" i="65"/>
  <c r="AF109" i="65"/>
  <c r="AF110" i="65"/>
  <c r="AF111" i="65"/>
  <c r="AF112" i="65"/>
  <c r="AF113" i="65"/>
  <c r="AF114" i="65"/>
  <c r="AF139" i="65"/>
  <c r="AF140" i="65"/>
  <c r="AF141" i="65"/>
  <c r="AB115" i="65"/>
  <c r="AB116" i="65"/>
  <c r="AB117" i="65"/>
  <c r="AB118" i="65"/>
  <c r="AB119" i="65"/>
  <c r="AB120" i="65"/>
  <c r="AB121" i="65"/>
  <c r="AB122" i="65"/>
  <c r="AB123" i="65"/>
  <c r="AB124" i="65"/>
  <c r="AB125" i="65"/>
  <c r="AB126" i="65"/>
  <c r="AB127" i="65"/>
  <c r="AB128" i="65"/>
  <c r="AB129" i="65"/>
  <c r="AB130" i="65"/>
  <c r="AB131" i="65"/>
  <c r="AB132" i="65"/>
  <c r="AB133" i="65"/>
  <c r="AB134" i="65"/>
  <c r="AB135" i="65"/>
  <c r="AB136" i="65"/>
  <c r="AB137" i="65"/>
  <c r="AB138" i="65"/>
  <c r="AC104" i="65"/>
  <c r="AC105" i="65"/>
  <c r="AC106" i="65"/>
  <c r="AC107" i="65"/>
  <c r="AC108" i="65"/>
  <c r="AC109" i="65"/>
  <c r="AC110" i="65"/>
  <c r="AC111" i="65"/>
  <c r="AC112" i="65"/>
  <c r="AC113" i="65"/>
  <c r="AC114" i="65"/>
  <c r="AC115" i="65"/>
  <c r="AC116" i="65"/>
  <c r="AC117" i="65"/>
  <c r="AC118" i="65"/>
  <c r="AC119" i="65"/>
  <c r="AC120" i="65"/>
  <c r="AC121" i="65"/>
  <c r="AC122" i="65"/>
  <c r="AC123" i="65"/>
  <c r="AC124" i="65"/>
  <c r="AC125" i="65"/>
  <c r="AC126" i="65"/>
  <c r="AC127" i="65"/>
  <c r="AC128" i="65"/>
  <c r="AC129" i="65"/>
  <c r="AC130" i="65"/>
  <c r="AC131" i="65"/>
  <c r="AC132" i="65"/>
  <c r="AC133" i="65"/>
  <c r="AC134" i="65"/>
  <c r="AC135" i="65"/>
  <c r="AC136" i="65"/>
  <c r="AC137" i="65"/>
  <c r="AC138" i="65"/>
  <c r="AC55" i="65"/>
  <c r="AC56" i="65"/>
  <c r="AC57" i="65"/>
  <c r="AC58" i="65"/>
  <c r="AC59" i="65"/>
  <c r="AC60" i="65"/>
  <c r="AC61" i="65"/>
  <c r="AC62" i="65"/>
  <c r="AC63" i="65"/>
  <c r="AC64" i="65"/>
  <c r="AC65" i="65"/>
  <c r="AC66" i="65"/>
  <c r="AC67" i="65"/>
  <c r="AC68" i="65"/>
  <c r="AC69" i="65"/>
  <c r="AC70" i="65"/>
  <c r="AC71" i="65"/>
  <c r="AC72" i="65"/>
  <c r="AC73" i="65"/>
  <c r="AC74" i="65"/>
  <c r="AC75" i="65"/>
  <c r="AC76" i="65"/>
  <c r="AC77" i="65"/>
  <c r="AC78" i="65"/>
  <c r="AC79" i="65"/>
  <c r="AB62" i="65"/>
  <c r="AB63" i="65"/>
  <c r="AB64" i="65"/>
  <c r="AB65" i="65"/>
  <c r="AB66" i="65"/>
  <c r="AB67" i="65"/>
  <c r="AB68" i="65"/>
  <c r="AB69" i="65"/>
  <c r="AB70" i="65"/>
  <c r="AB71" i="65"/>
  <c r="AB72" i="65"/>
  <c r="AB73" i="65"/>
  <c r="AB74" i="65"/>
  <c r="AB75" i="65"/>
  <c r="AB76" i="65"/>
  <c r="AB77" i="65"/>
  <c r="AB78" i="65"/>
  <c r="AB79" i="65"/>
  <c r="AF41" i="65"/>
  <c r="AF42" i="65"/>
  <c r="AF43" i="65"/>
  <c r="AF44" i="65"/>
  <c r="AF45" i="65"/>
  <c r="AF46" i="65"/>
  <c r="AF47" i="65"/>
  <c r="AF48" i="65"/>
  <c r="AF49" i="65"/>
  <c r="AF50" i="65"/>
  <c r="AF51" i="65"/>
  <c r="AF55" i="65"/>
  <c r="AF56" i="65"/>
  <c r="AF57" i="65"/>
  <c r="AF58" i="65"/>
  <c r="AF59" i="65"/>
  <c r="AF60" i="65"/>
  <c r="AF61" i="65"/>
  <c r="AF87" i="65"/>
  <c r="AF88" i="65"/>
  <c r="Y41" i="65"/>
  <c r="Y42" i="65"/>
  <c r="Y43" i="65"/>
  <c r="Y44" i="65"/>
  <c r="Y45" i="65"/>
  <c r="Y46" i="65"/>
  <c r="Y47" i="65"/>
  <c r="Y48" i="65"/>
  <c r="Y49" i="65"/>
  <c r="Y50" i="65"/>
  <c r="Y51" i="65"/>
  <c r="Y80" i="65"/>
  <c r="Y81" i="65"/>
  <c r="Y82" i="65"/>
  <c r="Y83" i="65"/>
  <c r="Y84" i="65"/>
  <c r="Y85" i="65"/>
  <c r="Y86" i="65"/>
  <c r="Y87" i="65"/>
  <c r="Y88" i="65"/>
  <c r="W55" i="65"/>
  <c r="W56" i="65"/>
  <c r="W57" i="65"/>
  <c r="W58" i="65"/>
  <c r="W59" i="65"/>
  <c r="W60" i="65"/>
  <c r="W61" i="65"/>
  <c r="X55" i="65"/>
  <c r="X56" i="65"/>
  <c r="X57" i="65"/>
  <c r="X58" i="65"/>
  <c r="X59" i="65"/>
  <c r="X60" i="65"/>
  <c r="X61" i="65"/>
  <c r="Z55" i="65"/>
  <c r="Z56" i="65"/>
  <c r="Z57" i="65"/>
  <c r="Z58" i="65"/>
  <c r="Z59" i="65"/>
  <c r="Z60" i="65"/>
  <c r="Z61" i="65"/>
  <c r="AA41" i="65"/>
  <c r="AA42" i="65"/>
  <c r="AA43" i="65"/>
  <c r="AA44" i="65"/>
  <c r="AA45" i="65"/>
  <c r="AA46" i="65"/>
  <c r="AA47" i="65"/>
  <c r="AA48" i="65"/>
  <c r="AA49" i="65"/>
  <c r="AA50" i="65"/>
  <c r="AA51" i="65"/>
  <c r="AE142" i="65"/>
  <c r="V142" i="65"/>
  <c r="U142" i="65"/>
  <c r="T142" i="65"/>
  <c r="S142" i="65"/>
  <c r="R142" i="65"/>
  <c r="Q142" i="65"/>
  <c r="AD114" i="65"/>
  <c r="AD113" i="65"/>
  <c r="AD112" i="65"/>
  <c r="AD111" i="65"/>
  <c r="AD110" i="65"/>
  <c r="AD109" i="65"/>
  <c r="AD108" i="65"/>
  <c r="AD107" i="65"/>
  <c r="AD106" i="65"/>
  <c r="AD105" i="65"/>
  <c r="AD104" i="65"/>
  <c r="V101" i="65"/>
  <c r="U101" i="65"/>
  <c r="T101" i="65"/>
  <c r="S101" i="65"/>
  <c r="R101" i="65"/>
  <c r="Q101" i="65"/>
  <c r="AE89" i="65"/>
  <c r="V89" i="65"/>
  <c r="U89" i="65"/>
  <c r="T89" i="65"/>
  <c r="S89" i="65"/>
  <c r="R89" i="65"/>
  <c r="Q89" i="65"/>
  <c r="AD61" i="65"/>
  <c r="AD60" i="65"/>
  <c r="AD59" i="65"/>
  <c r="AD58" i="65"/>
  <c r="AD57" i="65"/>
  <c r="AD56" i="65"/>
  <c r="AD55" i="65"/>
  <c r="V52" i="65"/>
  <c r="U52" i="65"/>
  <c r="T52" i="65"/>
  <c r="S52" i="65"/>
  <c r="R52" i="65"/>
  <c r="Q52" i="65"/>
  <c r="AE31" i="65"/>
  <c r="AB24" i="65"/>
  <c r="AB25" i="65"/>
  <c r="AB26" i="65"/>
  <c r="AB27" i="65"/>
  <c r="AB28" i="65"/>
  <c r="AB29" i="65"/>
  <c r="AB30" i="65"/>
  <c r="X31" i="65"/>
  <c r="V31" i="65"/>
  <c r="U31" i="65"/>
  <c r="T31" i="65"/>
  <c r="S31" i="65"/>
  <c r="R31" i="65"/>
  <c r="Q31" i="65"/>
  <c r="AC30" i="65"/>
  <c r="AC29" i="65"/>
  <c r="AC28" i="65"/>
  <c r="AC27" i="65"/>
  <c r="AC26" i="65"/>
  <c r="AC25" i="65"/>
  <c r="AC24" i="65"/>
  <c r="AF23" i="65"/>
  <c r="Y23" i="65"/>
  <c r="AF22" i="65"/>
  <c r="Z22" i="65"/>
  <c r="Y22" i="65"/>
  <c r="AF21" i="65"/>
  <c r="Z21" i="65"/>
  <c r="Y21" i="65"/>
  <c r="AF20" i="65"/>
  <c r="AD20" i="65"/>
  <c r="AC20" i="65"/>
  <c r="Z20" i="65"/>
  <c r="W20" i="65"/>
  <c r="AF19" i="65"/>
  <c r="AD19" i="65"/>
  <c r="AC19" i="65"/>
  <c r="Z19" i="65"/>
  <c r="W19" i="65"/>
  <c r="AF18" i="65"/>
  <c r="AD18" i="65"/>
  <c r="AC18" i="65"/>
  <c r="Z18" i="65"/>
  <c r="W18" i="65"/>
  <c r="AF17" i="65"/>
  <c r="AD17" i="65"/>
  <c r="AC17" i="65"/>
  <c r="Z17" i="65"/>
  <c r="W17" i="65"/>
  <c r="V14" i="65"/>
  <c r="U14" i="65"/>
  <c r="T14" i="65"/>
  <c r="S14" i="65"/>
  <c r="R14" i="65"/>
  <c r="Q14" i="65"/>
  <c r="AF13" i="65"/>
  <c r="AA13" i="65"/>
  <c r="Y13" i="65"/>
  <c r="AF12" i="65"/>
  <c r="AA12" i="65"/>
  <c r="Y12" i="65"/>
  <c r="AF11" i="65"/>
  <c r="AA11" i="65"/>
  <c r="Y11" i="65"/>
  <c r="AF10" i="65"/>
  <c r="AA10" i="65"/>
  <c r="Y10" i="65"/>
  <c r="AF9" i="65"/>
  <c r="AA9" i="65"/>
  <c r="Y9" i="65"/>
  <c r="AF8" i="65"/>
  <c r="AA8" i="65"/>
  <c r="Y8" i="65"/>
  <c r="AF7" i="65"/>
  <c r="AA7" i="65"/>
  <c r="Y7" i="65"/>
  <c r="AF6" i="65"/>
  <c r="AA6" i="65"/>
  <c r="Y6" i="65"/>
  <c r="Y5" i="65"/>
  <c r="AF5" i="65"/>
  <c r="AA5" i="65"/>
  <c r="F199" i="59"/>
  <c r="F198" i="59"/>
  <c r="P95" i="61"/>
  <c r="P96" i="61"/>
  <c r="P4" i="61"/>
  <c r="P5" i="61"/>
  <c r="P6" i="61"/>
  <c r="P7" i="61"/>
  <c r="P8" i="61"/>
  <c r="P9" i="61"/>
  <c r="P10" i="61"/>
  <c r="P11" i="61"/>
  <c r="P12" i="61"/>
  <c r="P16" i="61"/>
  <c r="P17" i="61"/>
  <c r="P18" i="61"/>
  <c r="P19" i="61"/>
  <c r="P24" i="61"/>
  <c r="P25" i="61"/>
  <c r="P26" i="61"/>
  <c r="P27" i="61"/>
  <c r="P28" i="61"/>
  <c r="P29" i="61"/>
  <c r="P30" i="61"/>
  <c r="P31" i="61"/>
  <c r="P32" i="61"/>
  <c r="P33" i="61"/>
  <c r="P34" i="61"/>
  <c r="P35" i="61"/>
  <c r="P36" i="61"/>
  <c r="P37" i="61"/>
  <c r="P38" i="61"/>
  <c r="P39" i="61"/>
  <c r="P40" i="61"/>
  <c r="P41" i="61"/>
  <c r="P42" i="61"/>
  <c r="P43" i="61"/>
  <c r="P44" i="61"/>
  <c r="P45" i="61"/>
  <c r="P46" i="61"/>
  <c r="P47" i="61"/>
  <c r="P48" i="61"/>
  <c r="P49" i="61"/>
  <c r="P50" i="61"/>
  <c r="P51" i="61"/>
  <c r="P52" i="61"/>
  <c r="P53" i="61"/>
  <c r="P54" i="61"/>
  <c r="P55" i="61"/>
  <c r="P56" i="61"/>
  <c r="P57" i="61"/>
  <c r="P58" i="61"/>
  <c r="P59" i="61"/>
  <c r="P62" i="61"/>
  <c r="P63" i="61"/>
  <c r="P64" i="61"/>
  <c r="P65" i="61"/>
  <c r="P66" i="61"/>
  <c r="P67" i="61"/>
  <c r="P68" i="61"/>
  <c r="P69" i="61"/>
  <c r="P70" i="61"/>
  <c r="P71" i="61"/>
  <c r="P72" i="61"/>
  <c r="P73" i="61"/>
  <c r="P74" i="61"/>
  <c r="P75" i="61"/>
  <c r="P76" i="61"/>
  <c r="P77" i="61"/>
  <c r="P78" i="61"/>
  <c r="P82" i="61"/>
  <c r="P83" i="61"/>
  <c r="P84" i="61"/>
  <c r="P88" i="61"/>
  <c r="P89" i="61"/>
  <c r="P90" i="61"/>
  <c r="P91" i="61"/>
  <c r="P92" i="61"/>
  <c r="P93" i="61"/>
  <c r="P94" i="61"/>
  <c r="P100" i="61"/>
  <c r="P101" i="61"/>
  <c r="P102" i="61"/>
  <c r="P103" i="61"/>
  <c r="P104" i="61"/>
  <c r="P105" i="61"/>
  <c r="P106" i="61"/>
  <c r="P107" i="61"/>
  <c r="P108" i="61"/>
  <c r="P109" i="61"/>
  <c r="P110" i="61"/>
  <c r="P111" i="61"/>
  <c r="P112" i="61"/>
  <c r="P113" i="61"/>
  <c r="P114" i="61"/>
  <c r="P115" i="61"/>
  <c r="P116" i="61"/>
  <c r="P117" i="61"/>
  <c r="P118" i="61"/>
  <c r="P119" i="61"/>
  <c r="P120" i="61"/>
  <c r="P121" i="61"/>
  <c r="P122" i="61"/>
  <c r="P123" i="61"/>
  <c r="P124" i="61"/>
  <c r="D95" i="61"/>
  <c r="L95" i="61" s="1"/>
  <c r="D96" i="61"/>
  <c r="L96" i="61" s="1"/>
  <c r="D4" i="61"/>
  <c r="L4" i="61" s="1"/>
  <c r="D5" i="61"/>
  <c r="L5" i="61" s="1"/>
  <c r="D9" i="61"/>
  <c r="L9" i="61" s="1"/>
  <c r="D10" i="61"/>
  <c r="L10" i="61" s="1"/>
  <c r="D11" i="61"/>
  <c r="L11" i="61" s="1"/>
  <c r="D12" i="61"/>
  <c r="L12" i="61" s="1"/>
  <c r="D16" i="61"/>
  <c r="L16" i="61" s="1"/>
  <c r="D17" i="61"/>
  <c r="L17" i="61" s="1"/>
  <c r="D18" i="61"/>
  <c r="L18" i="61" s="1"/>
  <c r="D19" i="61"/>
  <c r="L19" i="61" s="1"/>
  <c r="D24" i="61"/>
  <c r="L24" i="61" s="1"/>
  <c r="D25" i="61"/>
  <c r="L25" i="61" s="1"/>
  <c r="D26" i="61"/>
  <c r="L26" i="61" s="1"/>
  <c r="D31" i="61"/>
  <c r="L31" i="61" s="1"/>
  <c r="D32" i="61"/>
  <c r="L32" i="61" s="1"/>
  <c r="D33" i="61"/>
  <c r="L33" i="61" s="1"/>
  <c r="D38" i="61"/>
  <c r="L38" i="61" s="1"/>
  <c r="D39" i="61"/>
  <c r="L39" i="61" s="1"/>
  <c r="D40" i="61"/>
  <c r="L40" i="61" s="1"/>
  <c r="D41" i="61"/>
  <c r="L41" i="61" s="1"/>
  <c r="D42" i="61"/>
  <c r="L42" i="61" s="1"/>
  <c r="D43" i="61"/>
  <c r="L43" i="61" s="1"/>
  <c r="D44" i="61"/>
  <c r="L44" i="61" s="1"/>
  <c r="D45" i="61"/>
  <c r="L45" i="61" s="1"/>
  <c r="D46" i="61"/>
  <c r="L46" i="61" s="1"/>
  <c r="D47" i="61"/>
  <c r="L47" i="61" s="1"/>
  <c r="D48" i="61"/>
  <c r="L48" i="61" s="1"/>
  <c r="D49" i="61"/>
  <c r="L49" i="61" s="1"/>
  <c r="D50" i="61"/>
  <c r="L50" i="61" s="1"/>
  <c r="D51" i="61"/>
  <c r="L51" i="61" s="1"/>
  <c r="D52" i="61"/>
  <c r="L52" i="61" s="1"/>
  <c r="D53" i="61"/>
  <c r="L53" i="61" s="1"/>
  <c r="D54" i="61"/>
  <c r="L54" i="61" s="1"/>
  <c r="D55" i="61"/>
  <c r="L55" i="61" s="1"/>
  <c r="D56" i="61"/>
  <c r="L56" i="61" s="1"/>
  <c r="D57" i="61"/>
  <c r="L57" i="61" s="1"/>
  <c r="D58" i="61"/>
  <c r="L58" i="61" s="1"/>
  <c r="D59" i="61"/>
  <c r="L59" i="61" s="1"/>
  <c r="D62" i="61"/>
  <c r="L62" i="61" s="1"/>
  <c r="D63" i="61"/>
  <c r="L63" i="61" s="1"/>
  <c r="D64" i="61"/>
  <c r="L64" i="61" s="1"/>
  <c r="D69" i="61"/>
  <c r="L69" i="61" s="1"/>
  <c r="D70" i="61"/>
  <c r="L70" i="61" s="1"/>
  <c r="D71" i="61"/>
  <c r="L71" i="61" s="1"/>
  <c r="D72" i="61"/>
  <c r="L72" i="61" s="1"/>
  <c r="D73" i="61"/>
  <c r="L73" i="61" s="1"/>
  <c r="D74" i="61"/>
  <c r="L74" i="61" s="1"/>
  <c r="D75" i="61"/>
  <c r="L75" i="61" s="1"/>
  <c r="D76" i="61"/>
  <c r="L76" i="61" s="1"/>
  <c r="D77" i="61"/>
  <c r="L77" i="61" s="1"/>
  <c r="D78" i="61"/>
  <c r="L78" i="61" s="1"/>
  <c r="D82" i="61"/>
  <c r="L82" i="61" s="1"/>
  <c r="D83" i="61"/>
  <c r="L83" i="61" s="1"/>
  <c r="D84" i="61"/>
  <c r="L84" i="61" s="1"/>
  <c r="D88" i="61"/>
  <c r="L88" i="61" s="1"/>
  <c r="D89" i="61"/>
  <c r="L89" i="61" s="1"/>
  <c r="D90" i="61"/>
  <c r="L90" i="61" s="1"/>
  <c r="D94" i="61"/>
  <c r="L94" i="61" s="1"/>
  <c r="D100" i="61"/>
  <c r="L100" i="61" s="1"/>
  <c r="D101" i="61"/>
  <c r="L101" i="61"/>
  <c r="D102" i="61"/>
  <c r="L102" i="61" s="1"/>
  <c r="D106" i="61"/>
  <c r="L106" i="61" s="1"/>
  <c r="D107" i="61"/>
  <c r="L107" i="61" s="1"/>
  <c r="D108" i="61"/>
  <c r="L108" i="61" s="1"/>
  <c r="D112" i="61"/>
  <c r="L112" i="61" s="1"/>
  <c r="D113" i="61"/>
  <c r="L113" i="61" s="1"/>
  <c r="D114" i="61"/>
  <c r="L114" i="61" s="1"/>
  <c r="D118" i="61"/>
  <c r="L118" i="61" s="1"/>
  <c r="D119" i="61"/>
  <c r="L119" i="61" s="1"/>
  <c r="D120" i="61"/>
  <c r="L120" i="61" s="1"/>
  <c r="D124" i="61"/>
  <c r="L124" i="61" s="1"/>
  <c r="N95" i="61"/>
  <c r="K95" i="61"/>
  <c r="O95" i="61" s="1"/>
  <c r="N96" i="61"/>
  <c r="K96" i="61"/>
  <c r="O96" i="61" s="1"/>
  <c r="N4" i="61"/>
  <c r="K4" i="61"/>
  <c r="O4" i="61" s="1"/>
  <c r="N5" i="61"/>
  <c r="K5" i="61"/>
  <c r="O5" i="61" s="1"/>
  <c r="N6" i="61"/>
  <c r="N7" i="61"/>
  <c r="N8" i="61"/>
  <c r="N9" i="61"/>
  <c r="K9" i="61"/>
  <c r="O9" i="61" s="1"/>
  <c r="N10" i="61"/>
  <c r="K10" i="61"/>
  <c r="O10" i="61" s="1"/>
  <c r="N11" i="61"/>
  <c r="K11" i="61"/>
  <c r="O11" i="61" s="1"/>
  <c r="N12" i="61"/>
  <c r="K12" i="61"/>
  <c r="O12" i="61" s="1"/>
  <c r="N16" i="61"/>
  <c r="K16" i="61"/>
  <c r="O16" i="61"/>
  <c r="N17" i="61"/>
  <c r="K17" i="61"/>
  <c r="O17" i="61" s="1"/>
  <c r="N18" i="61"/>
  <c r="K18" i="61"/>
  <c r="O18" i="61" s="1"/>
  <c r="N19" i="61"/>
  <c r="K19" i="61"/>
  <c r="O19" i="61" s="1"/>
  <c r="M19" i="61" s="1"/>
  <c r="N24" i="61"/>
  <c r="K24" i="61"/>
  <c r="O24" i="61" s="1"/>
  <c r="M24" i="61" s="1"/>
  <c r="N25" i="61"/>
  <c r="K25" i="61"/>
  <c r="O25" i="61" s="1"/>
  <c r="N26" i="61"/>
  <c r="K26" i="61"/>
  <c r="O26" i="61" s="1"/>
  <c r="N27" i="61"/>
  <c r="N28" i="61"/>
  <c r="N29" i="61"/>
  <c r="N30" i="61"/>
  <c r="M30" i="61" s="1"/>
  <c r="N31" i="61"/>
  <c r="K31" i="61"/>
  <c r="O31" i="61" s="1"/>
  <c r="N32" i="61"/>
  <c r="N33" i="61"/>
  <c r="N34" i="61"/>
  <c r="N35" i="61"/>
  <c r="N36" i="61"/>
  <c r="N37" i="61"/>
  <c r="N38" i="61"/>
  <c r="N39" i="61"/>
  <c r="N40" i="61"/>
  <c r="N41" i="61"/>
  <c r="N42" i="61"/>
  <c r="N43" i="61"/>
  <c r="N44" i="61"/>
  <c r="N45" i="61"/>
  <c r="M45" i="61" s="1"/>
  <c r="N46" i="61"/>
  <c r="N47" i="61"/>
  <c r="N48" i="61"/>
  <c r="N49" i="61"/>
  <c r="N50" i="61"/>
  <c r="N51" i="61"/>
  <c r="N52" i="61"/>
  <c r="N53" i="61"/>
  <c r="M53" i="61" s="1"/>
  <c r="N54" i="61"/>
  <c r="N55" i="61"/>
  <c r="N56" i="61"/>
  <c r="N57" i="61"/>
  <c r="N58" i="61"/>
  <c r="N59" i="61"/>
  <c r="N62" i="61"/>
  <c r="N63" i="61"/>
  <c r="M63" i="61" s="1"/>
  <c r="N64" i="61"/>
  <c r="N65" i="61"/>
  <c r="N66" i="61"/>
  <c r="M66" i="61" s="1"/>
  <c r="N67" i="61"/>
  <c r="N68" i="61"/>
  <c r="N69" i="61"/>
  <c r="N70" i="61"/>
  <c r="N71" i="61"/>
  <c r="N72" i="61"/>
  <c r="N73" i="61"/>
  <c r="N74" i="61"/>
  <c r="N75" i="61"/>
  <c r="N76" i="61"/>
  <c r="N77" i="61"/>
  <c r="N78" i="61"/>
  <c r="N82" i="61"/>
  <c r="N83" i="61"/>
  <c r="N84" i="61"/>
  <c r="N88" i="61"/>
  <c r="N89" i="61"/>
  <c r="N90" i="61"/>
  <c r="N91" i="61"/>
  <c r="N92" i="61"/>
  <c r="N93" i="61"/>
  <c r="N94" i="61"/>
  <c r="N100" i="61"/>
  <c r="N101" i="61"/>
  <c r="N102" i="61"/>
  <c r="N103" i="61"/>
  <c r="N104" i="61"/>
  <c r="M104" i="61" s="1"/>
  <c r="N105" i="61"/>
  <c r="N106" i="61"/>
  <c r="M106" i="61" s="1"/>
  <c r="N107" i="61"/>
  <c r="N108" i="61"/>
  <c r="N109" i="61"/>
  <c r="N110" i="61"/>
  <c r="N111" i="61"/>
  <c r="N112" i="61"/>
  <c r="N113" i="61"/>
  <c r="N114" i="61"/>
  <c r="N115" i="61"/>
  <c r="N116" i="61"/>
  <c r="N117" i="61"/>
  <c r="N118" i="61"/>
  <c r="N119" i="61"/>
  <c r="N120" i="61"/>
  <c r="N121" i="61"/>
  <c r="N122" i="61"/>
  <c r="M122" i="61" s="1"/>
  <c r="N123" i="61"/>
  <c r="N124" i="61"/>
  <c r="K32" i="61"/>
  <c r="O32" i="61" s="1"/>
  <c r="K33" i="61"/>
  <c r="O33" i="61" s="1"/>
  <c r="K38" i="61"/>
  <c r="O38" i="61" s="1"/>
  <c r="K39" i="61"/>
  <c r="O39" i="61" s="1"/>
  <c r="K40" i="61"/>
  <c r="O40" i="61" s="1"/>
  <c r="K41" i="61"/>
  <c r="O41" i="61" s="1"/>
  <c r="M41" i="61" s="1"/>
  <c r="K42" i="61"/>
  <c r="O42" i="61" s="1"/>
  <c r="K43" i="61"/>
  <c r="O43" i="61" s="1"/>
  <c r="K44" i="61"/>
  <c r="O44" i="61" s="1"/>
  <c r="K45" i="61"/>
  <c r="O45" i="61" s="1"/>
  <c r="K46" i="61"/>
  <c r="O46" i="61" s="1"/>
  <c r="K47" i="61"/>
  <c r="O47" i="61" s="1"/>
  <c r="K48" i="61"/>
  <c r="O48" i="61" s="1"/>
  <c r="K49" i="61"/>
  <c r="O49" i="61" s="1"/>
  <c r="M49" i="61" s="1"/>
  <c r="K50" i="61"/>
  <c r="O50" i="61" s="1"/>
  <c r="K51" i="61"/>
  <c r="O51" i="61" s="1"/>
  <c r="K52" i="61"/>
  <c r="O52" i="61" s="1"/>
  <c r="K53" i="61"/>
  <c r="O53" i="61" s="1"/>
  <c r="K54" i="61"/>
  <c r="O54" i="61" s="1"/>
  <c r="K55" i="61"/>
  <c r="O55" i="61" s="1"/>
  <c r="K56" i="61"/>
  <c r="O56" i="61" s="1"/>
  <c r="K57" i="61"/>
  <c r="O57" i="61" s="1"/>
  <c r="K58" i="61"/>
  <c r="O58" i="61" s="1"/>
  <c r="K59" i="61"/>
  <c r="O59" i="61" s="1"/>
  <c r="K62" i="61"/>
  <c r="O62" i="61" s="1"/>
  <c r="K63" i="61"/>
  <c r="O63" i="61" s="1"/>
  <c r="K64" i="61"/>
  <c r="O64" i="61"/>
  <c r="K69" i="61"/>
  <c r="O69" i="61" s="1"/>
  <c r="K70" i="61"/>
  <c r="O70" i="61" s="1"/>
  <c r="K71" i="61"/>
  <c r="O71" i="61" s="1"/>
  <c r="K72" i="61"/>
  <c r="O72" i="61" s="1"/>
  <c r="K73" i="61"/>
  <c r="O73" i="61" s="1"/>
  <c r="K74" i="61"/>
  <c r="O74" i="61" s="1"/>
  <c r="K75" i="61"/>
  <c r="O75" i="61" s="1"/>
  <c r="K76" i="61"/>
  <c r="O76" i="61" s="1"/>
  <c r="K77" i="61"/>
  <c r="O77" i="61" s="1"/>
  <c r="K78" i="61"/>
  <c r="O78" i="61" s="1"/>
  <c r="K82" i="61"/>
  <c r="O82" i="61" s="1"/>
  <c r="K83" i="61"/>
  <c r="O83" i="61" s="1"/>
  <c r="K84" i="61"/>
  <c r="O84" i="61" s="1"/>
  <c r="K88" i="61"/>
  <c r="O88" i="61" s="1"/>
  <c r="K89" i="61"/>
  <c r="O89" i="61" s="1"/>
  <c r="K90" i="61"/>
  <c r="O90" i="61" s="1"/>
  <c r="K94" i="61"/>
  <c r="O94" i="61" s="1"/>
  <c r="K100" i="61"/>
  <c r="O100" i="61" s="1"/>
  <c r="M100" i="61" s="1"/>
  <c r="K101" i="61"/>
  <c r="O101" i="61" s="1"/>
  <c r="K102" i="61"/>
  <c r="O102" i="61" s="1"/>
  <c r="M102" i="61" s="1"/>
  <c r="K106" i="61"/>
  <c r="O106" i="61" s="1"/>
  <c r="K107" i="61"/>
  <c r="O107" i="61" s="1"/>
  <c r="K108" i="61"/>
  <c r="O108" i="61" s="1"/>
  <c r="K112" i="61"/>
  <c r="O112" i="61" s="1"/>
  <c r="K113" i="61"/>
  <c r="O113" i="61" s="1"/>
  <c r="K114" i="61"/>
  <c r="O114" i="61" s="1"/>
  <c r="K118" i="61"/>
  <c r="O118" i="61" s="1"/>
  <c r="K119" i="61"/>
  <c r="O119" i="61" s="1"/>
  <c r="M119" i="61" s="1"/>
  <c r="K120" i="61"/>
  <c r="O120" i="61" s="1"/>
  <c r="K124" i="61"/>
  <c r="O124" i="61" s="1"/>
  <c r="T2" i="60"/>
  <c r="U2" i="60"/>
  <c r="V2" i="60"/>
  <c r="W2" i="60"/>
  <c r="X2" i="60"/>
  <c r="Y2" i="60"/>
  <c r="Z2" i="60"/>
  <c r="AA2" i="60"/>
  <c r="AB2" i="60"/>
  <c r="AC2" i="60"/>
  <c r="AD2" i="60"/>
  <c r="AE2" i="60"/>
  <c r="AF2" i="60"/>
  <c r="AG2" i="60"/>
  <c r="AH2" i="60"/>
  <c r="T3" i="60"/>
  <c r="U3" i="60"/>
  <c r="V3" i="60"/>
  <c r="W3" i="60"/>
  <c r="X3" i="60"/>
  <c r="Y3" i="60"/>
  <c r="Z3" i="60"/>
  <c r="AA3" i="60"/>
  <c r="AB3" i="60"/>
  <c r="AC3" i="60"/>
  <c r="AD3" i="60"/>
  <c r="AE3" i="60"/>
  <c r="AF3" i="60"/>
  <c r="AG3" i="60"/>
  <c r="AH3" i="60"/>
  <c r="T4" i="60"/>
  <c r="U4" i="60"/>
  <c r="V4" i="60"/>
  <c r="W4" i="60"/>
  <c r="X4" i="60"/>
  <c r="Y4" i="60"/>
  <c r="Z4" i="60"/>
  <c r="AA4" i="60"/>
  <c r="AB4" i="60"/>
  <c r="AC4" i="60"/>
  <c r="AD4" i="60"/>
  <c r="AE4" i="60"/>
  <c r="AF4" i="60"/>
  <c r="AG4" i="60"/>
  <c r="AH4" i="60"/>
  <c r="T5" i="60"/>
  <c r="U5" i="60"/>
  <c r="V5" i="60"/>
  <c r="W5" i="60"/>
  <c r="X5" i="60"/>
  <c r="Y5" i="60"/>
  <c r="Z5" i="60"/>
  <c r="AA5" i="60"/>
  <c r="AB5" i="60"/>
  <c r="AC5" i="60"/>
  <c r="AD5" i="60"/>
  <c r="AE5" i="60"/>
  <c r="AF5" i="60"/>
  <c r="AG5" i="60"/>
  <c r="AH5" i="60"/>
  <c r="T6" i="60"/>
  <c r="U6" i="60"/>
  <c r="V6" i="60"/>
  <c r="W6" i="60"/>
  <c r="X6" i="60"/>
  <c r="Y6" i="60"/>
  <c r="Z6" i="60"/>
  <c r="AA6" i="60"/>
  <c r="AB6" i="60"/>
  <c r="AC6" i="60"/>
  <c r="AD6" i="60"/>
  <c r="AE6" i="60"/>
  <c r="AF6" i="60"/>
  <c r="AG6" i="60"/>
  <c r="AH6" i="60"/>
  <c r="T7" i="60"/>
  <c r="U7" i="60"/>
  <c r="V7" i="60"/>
  <c r="W7" i="60"/>
  <c r="X7" i="60"/>
  <c r="Y7" i="60"/>
  <c r="Z7" i="60"/>
  <c r="AA7" i="60"/>
  <c r="AB7" i="60"/>
  <c r="AC7" i="60"/>
  <c r="AD7" i="60"/>
  <c r="AE7" i="60"/>
  <c r="AF7" i="60"/>
  <c r="AG7" i="60"/>
  <c r="AH7" i="60"/>
  <c r="T8" i="60"/>
  <c r="U8" i="60"/>
  <c r="V8" i="60"/>
  <c r="W8" i="60"/>
  <c r="X8" i="60"/>
  <c r="Y8" i="60"/>
  <c r="Z8" i="60"/>
  <c r="AA8" i="60"/>
  <c r="AB8" i="60"/>
  <c r="AC8" i="60"/>
  <c r="AD8" i="60"/>
  <c r="AE8" i="60"/>
  <c r="AF8" i="60"/>
  <c r="AG8" i="60"/>
  <c r="AH8" i="60"/>
  <c r="T9" i="60"/>
  <c r="U9" i="60"/>
  <c r="V9" i="60"/>
  <c r="W9" i="60"/>
  <c r="X9" i="60"/>
  <c r="Y9" i="60"/>
  <c r="Z9" i="60"/>
  <c r="AA9" i="60"/>
  <c r="AB9" i="60"/>
  <c r="AC9" i="60"/>
  <c r="AD9" i="60"/>
  <c r="AE9" i="60"/>
  <c r="AF9" i="60"/>
  <c r="AG9" i="60"/>
  <c r="AH9" i="60"/>
  <c r="T10" i="60"/>
  <c r="U10" i="60"/>
  <c r="V10" i="60"/>
  <c r="W10" i="60"/>
  <c r="X10" i="60"/>
  <c r="Y10" i="60"/>
  <c r="Z10" i="60"/>
  <c r="AA10" i="60"/>
  <c r="AB10" i="60"/>
  <c r="AC10" i="60"/>
  <c r="AD10" i="60"/>
  <c r="AE10" i="60"/>
  <c r="AF10" i="60"/>
  <c r="AG10" i="60"/>
  <c r="AH10" i="60"/>
  <c r="T11" i="60"/>
  <c r="U11" i="60"/>
  <c r="V11" i="60"/>
  <c r="W11" i="60"/>
  <c r="X11" i="60"/>
  <c r="Y11" i="60"/>
  <c r="Z11" i="60"/>
  <c r="AA11" i="60"/>
  <c r="AB11" i="60"/>
  <c r="AC11" i="60"/>
  <c r="AD11" i="60"/>
  <c r="AE11" i="60"/>
  <c r="AF11" i="60"/>
  <c r="AG11" i="60"/>
  <c r="AH11" i="60"/>
  <c r="T12" i="60"/>
  <c r="U12" i="60"/>
  <c r="V12" i="60"/>
  <c r="W12" i="60"/>
  <c r="X12" i="60"/>
  <c r="Y12" i="60"/>
  <c r="Z12" i="60"/>
  <c r="AA12" i="60"/>
  <c r="AB12" i="60"/>
  <c r="AC12" i="60"/>
  <c r="AD12" i="60"/>
  <c r="AE12" i="60"/>
  <c r="AF12" i="60"/>
  <c r="AG12" i="60"/>
  <c r="AH12" i="60"/>
  <c r="T13" i="60"/>
  <c r="U13" i="60"/>
  <c r="V13" i="60"/>
  <c r="W13" i="60"/>
  <c r="X13" i="60"/>
  <c r="Y13" i="60"/>
  <c r="Z13" i="60"/>
  <c r="AA13" i="60"/>
  <c r="AB13" i="60"/>
  <c r="AC13" i="60"/>
  <c r="AD13" i="60"/>
  <c r="AE13" i="60"/>
  <c r="AF13" i="60"/>
  <c r="AG13" i="60"/>
  <c r="AH13" i="60"/>
  <c r="T14" i="60"/>
  <c r="U14" i="60"/>
  <c r="V14" i="60"/>
  <c r="W14" i="60"/>
  <c r="X14" i="60"/>
  <c r="Y14" i="60"/>
  <c r="Z14" i="60"/>
  <c r="AA14" i="60"/>
  <c r="AB14" i="60"/>
  <c r="AC14" i="60"/>
  <c r="AD14" i="60"/>
  <c r="AE14" i="60"/>
  <c r="AF14" i="60"/>
  <c r="AG14" i="60"/>
  <c r="AH14" i="60"/>
  <c r="V15" i="60"/>
  <c r="Z15" i="60"/>
  <c r="AA15" i="60"/>
  <c r="AE15" i="60"/>
  <c r="AG15" i="60"/>
  <c r="AH15" i="60"/>
  <c r="T16" i="60"/>
  <c r="X16" i="60"/>
  <c r="AA16" i="60"/>
  <c r="AB16" i="60"/>
  <c r="T17" i="60"/>
  <c r="U17" i="60"/>
  <c r="X17" i="60"/>
  <c r="AB17" i="60"/>
  <c r="AC17" i="60"/>
  <c r="AG17" i="60"/>
  <c r="T18" i="60"/>
  <c r="U18" i="60"/>
  <c r="V18" i="60"/>
  <c r="Z18" i="60"/>
  <c r="AC18" i="60"/>
  <c r="AD18" i="60"/>
  <c r="V19" i="60"/>
  <c r="W19" i="60"/>
  <c r="Z19" i="60"/>
  <c r="AD19" i="60"/>
  <c r="AE19" i="60"/>
  <c r="T20" i="60"/>
  <c r="V20" i="60"/>
  <c r="W20" i="60"/>
  <c r="X20" i="60"/>
  <c r="AB20" i="60"/>
  <c r="AE20" i="60"/>
  <c r="AF20" i="60"/>
  <c r="X21" i="60"/>
  <c r="Y21" i="60"/>
  <c r="AB21" i="60"/>
  <c r="AF21" i="60"/>
  <c r="AG21" i="60"/>
  <c r="V22" i="60"/>
  <c r="X22" i="60"/>
  <c r="Y22" i="60"/>
  <c r="Z22" i="60"/>
  <c r="AD22" i="60"/>
  <c r="AG22" i="60"/>
  <c r="AH22" i="60"/>
  <c r="T23" i="60"/>
  <c r="X23" i="60"/>
  <c r="Z23" i="60"/>
  <c r="AA23" i="60"/>
  <c r="AB23" i="60"/>
  <c r="AF23" i="60"/>
  <c r="AH23" i="60"/>
  <c r="T24" i="60"/>
  <c r="U24" i="60"/>
  <c r="Y24" i="60"/>
  <c r="AA24" i="60"/>
  <c r="AB24" i="60"/>
  <c r="AC24" i="60"/>
  <c r="AG24" i="60"/>
  <c r="T25" i="60"/>
  <c r="U25" i="60"/>
  <c r="V25" i="60"/>
  <c r="Z25" i="60"/>
  <c r="AB25" i="60"/>
  <c r="AC25" i="60"/>
  <c r="AD25" i="60"/>
  <c r="AE25" i="60"/>
  <c r="AH25" i="60"/>
  <c r="U26" i="60"/>
  <c r="V26" i="60"/>
  <c r="W26" i="60"/>
  <c r="AA26" i="60"/>
  <c r="AC26" i="60"/>
  <c r="AD26" i="60"/>
  <c r="AE26" i="60"/>
  <c r="T27" i="60"/>
  <c r="V27" i="60"/>
  <c r="W27" i="60"/>
  <c r="X27" i="60"/>
  <c r="AB27" i="60"/>
  <c r="AD27" i="60"/>
  <c r="AE27" i="60"/>
  <c r="AF27" i="60"/>
  <c r="U28" i="60"/>
  <c r="W28" i="60"/>
  <c r="X28" i="60"/>
  <c r="Y28" i="60"/>
  <c r="AC28" i="60"/>
  <c r="AE28" i="60"/>
  <c r="AF28" i="60"/>
  <c r="AG28" i="60"/>
  <c r="V29" i="60"/>
  <c r="X29" i="60"/>
  <c r="Y29" i="60"/>
  <c r="Z29" i="60"/>
  <c r="AD29" i="60"/>
  <c r="AF29" i="60"/>
  <c r="AG29" i="60"/>
  <c r="AH29" i="60"/>
  <c r="T30" i="60"/>
  <c r="W30" i="60"/>
  <c r="Y30" i="60"/>
  <c r="Z30" i="60"/>
  <c r="AA30" i="60"/>
  <c r="AE30" i="60"/>
  <c r="AG30" i="60"/>
  <c r="AH30" i="60"/>
  <c r="T31" i="60"/>
  <c r="X31" i="60"/>
  <c r="Z31" i="60"/>
  <c r="AA31" i="60"/>
  <c r="AB31" i="60"/>
  <c r="AF31" i="60"/>
  <c r="AH31" i="60"/>
  <c r="T32" i="60"/>
  <c r="U32" i="60"/>
  <c r="Y32" i="60"/>
  <c r="AA32" i="60"/>
  <c r="AB32" i="60"/>
  <c r="AC32" i="60"/>
  <c r="AG32" i="60"/>
  <c r="T33" i="60"/>
  <c r="U33" i="60"/>
  <c r="V33" i="60"/>
  <c r="Z33" i="60"/>
  <c r="AB33" i="60"/>
  <c r="AC33" i="60"/>
  <c r="AD33" i="60"/>
  <c r="AH33" i="60"/>
  <c r="U34" i="60"/>
  <c r="V34" i="60"/>
  <c r="W34" i="60"/>
  <c r="X34" i="60"/>
  <c r="AA34" i="60"/>
  <c r="AC34" i="60"/>
  <c r="AD34" i="60"/>
  <c r="AE34" i="60"/>
  <c r="C144" i="61"/>
  <c r="C143" i="61"/>
  <c r="C142" i="61"/>
  <c r="C141" i="61"/>
  <c r="C140" i="61"/>
  <c r="C139" i="61"/>
  <c r="C138" i="61"/>
  <c r="C137" i="61"/>
  <c r="C136" i="61"/>
  <c r="C135" i="61"/>
  <c r="C134" i="61"/>
  <c r="C133" i="61"/>
  <c r="C132" i="61"/>
  <c r="C131" i="61"/>
  <c r="C130" i="61"/>
  <c r="C129" i="61"/>
  <c r="C128" i="61"/>
  <c r="R125" i="61"/>
  <c r="Q125" i="61"/>
  <c r="M89" i="61"/>
  <c r="M58" i="61"/>
  <c r="M50" i="61"/>
  <c r="M118" i="61"/>
  <c r="M108" i="61"/>
  <c r="P60" i="61" l="1"/>
  <c r="N60" i="61"/>
  <c r="M48" i="61"/>
  <c r="Q17" i="60"/>
  <c r="Q25" i="60"/>
  <c r="K85" i="61"/>
  <c r="O85" i="61" s="1"/>
  <c r="K60" i="61"/>
  <c r="O60" i="61" s="1"/>
  <c r="I93" i="61"/>
  <c r="M93" i="61" s="1"/>
  <c r="K110" i="61"/>
  <c r="O110" i="61" s="1"/>
  <c r="D27" i="61"/>
  <c r="L27" i="61" s="1"/>
  <c r="M75" i="61"/>
  <c r="M55" i="61"/>
  <c r="M77" i="61"/>
  <c r="AD31" i="65"/>
  <c r="M33" i="61"/>
  <c r="P81" i="61"/>
  <c r="I60" i="61"/>
  <c r="D60" i="61"/>
  <c r="L60" i="61" s="1"/>
  <c r="K136" i="61"/>
  <c r="M44" i="61"/>
  <c r="M16" i="61"/>
  <c r="J79" i="61"/>
  <c r="I110" i="61"/>
  <c r="I7" i="61"/>
  <c r="M59" i="61"/>
  <c r="M51" i="61"/>
  <c r="D79" i="61"/>
  <c r="L79" i="61" s="1"/>
  <c r="I81" i="61"/>
  <c r="K7" i="61"/>
  <c r="O7" i="61" s="1"/>
  <c r="M7" i="61" s="1"/>
  <c r="M57" i="61"/>
  <c r="M84" i="61"/>
  <c r="M94" i="61"/>
  <c r="M83" i="61"/>
  <c r="M72" i="61"/>
  <c r="M31" i="61"/>
  <c r="M25" i="61"/>
  <c r="M17" i="61"/>
  <c r="M10" i="61"/>
  <c r="N20" i="61"/>
  <c r="P20" i="61"/>
  <c r="M114" i="61"/>
  <c r="M12" i="61"/>
  <c r="J97" i="61"/>
  <c r="D111" i="61"/>
  <c r="L111" i="61" s="1"/>
  <c r="U132" i="61" s="1"/>
  <c r="M26" i="61"/>
  <c r="M54" i="61"/>
  <c r="P87" i="61"/>
  <c r="I80" i="61"/>
  <c r="K111" i="61"/>
  <c r="O111" i="61" s="1"/>
  <c r="D103" i="61"/>
  <c r="L103" i="61" s="1"/>
  <c r="I20" i="61"/>
  <c r="M101" i="61"/>
  <c r="N98" i="61"/>
  <c r="D61" i="61"/>
  <c r="L61" i="61" s="1"/>
  <c r="M132" i="61" s="1"/>
  <c r="M113" i="61"/>
  <c r="M8" i="61"/>
  <c r="AD142" i="65"/>
  <c r="Q33" i="60"/>
  <c r="K21" i="61"/>
  <c r="O21" i="61" s="1"/>
  <c r="X25" i="60"/>
  <c r="M110" i="61"/>
  <c r="M95" i="61"/>
  <c r="K81" i="61"/>
  <c r="O81" i="61" s="1"/>
  <c r="K67" i="61"/>
  <c r="O67" i="61" s="1"/>
  <c r="D86" i="61"/>
  <c r="L86" i="61" s="1"/>
  <c r="D67" i="61"/>
  <c r="L67" i="61" s="1"/>
  <c r="N132" i="61" s="1"/>
  <c r="J86" i="61"/>
  <c r="K117" i="61"/>
  <c r="O117" i="61" s="1"/>
  <c r="M117" i="61" s="1"/>
  <c r="K20" i="61"/>
  <c r="O20" i="61" s="1"/>
  <c r="M20" i="61" s="1"/>
  <c r="D29" i="61"/>
  <c r="D20" i="61"/>
  <c r="L20" i="61" s="1"/>
  <c r="I29" i="61"/>
  <c r="M73" i="61"/>
  <c r="M124" i="61"/>
  <c r="M43" i="61"/>
  <c r="D28" i="61"/>
  <c r="L28" i="61" s="1"/>
  <c r="D14" i="61"/>
  <c r="J14" i="61"/>
  <c r="P14" i="61" s="1"/>
  <c r="Q26" i="60"/>
  <c r="J80" i="61"/>
  <c r="M69" i="61"/>
  <c r="M116" i="61"/>
  <c r="K28" i="61"/>
  <c r="O28" i="61" s="1"/>
  <c r="M28" i="61" s="1"/>
  <c r="K14" i="61"/>
  <c r="O14" i="61" s="1"/>
  <c r="D13" i="61"/>
  <c r="L13" i="61" s="1"/>
  <c r="P15" i="61"/>
  <c r="N15" i="61"/>
  <c r="K15" i="61"/>
  <c r="O15" i="61" s="1"/>
  <c r="M88" i="61"/>
  <c r="M42" i="61"/>
  <c r="Q23" i="60"/>
  <c r="Q24" i="60"/>
  <c r="Q27" i="60"/>
  <c r="Q28" i="60"/>
  <c r="Q29" i="60"/>
  <c r="Q31" i="60"/>
  <c r="Q32" i="60"/>
  <c r="Q34" i="60"/>
  <c r="G36" i="71"/>
  <c r="K98" i="61"/>
  <c r="O98" i="61" s="1"/>
  <c r="M98" i="61" s="1"/>
  <c r="J23" i="61"/>
  <c r="F135" i="61"/>
  <c r="L132" i="61"/>
  <c r="Y142" i="65"/>
  <c r="M5" i="61"/>
  <c r="G43" i="71"/>
  <c r="F20" i="71"/>
  <c r="G20" i="71" s="1"/>
  <c r="M60" i="61"/>
  <c r="K22" i="61"/>
  <c r="O22" i="61" s="1"/>
  <c r="D23" i="61"/>
  <c r="L23" i="61" s="1"/>
  <c r="D15" i="61"/>
  <c r="L15" i="61" s="1"/>
  <c r="D6" i="61"/>
  <c r="L6" i="61" s="1"/>
  <c r="F132" i="61" s="1"/>
  <c r="N22" i="61"/>
  <c r="O130" i="61"/>
  <c r="L136" i="61"/>
  <c r="K130" i="61"/>
  <c r="AF31" i="65"/>
  <c r="AC31" i="65"/>
  <c r="Z89" i="65"/>
  <c r="Z142" i="65"/>
  <c r="F32" i="71"/>
  <c r="AA89" i="65"/>
  <c r="Y89" i="65"/>
  <c r="Q15" i="60"/>
  <c r="T15" i="60"/>
  <c r="Q16" i="60"/>
  <c r="U16" i="60"/>
  <c r="Q19" i="60"/>
  <c r="T19" i="60"/>
  <c r="Q20" i="60"/>
  <c r="U20" i="60"/>
  <c r="Q21" i="60"/>
  <c r="V21" i="60"/>
  <c r="O134" i="61"/>
  <c r="M71" i="61"/>
  <c r="M39" i="61"/>
  <c r="M18" i="61"/>
  <c r="K132" i="61"/>
  <c r="AB31" i="65"/>
  <c r="AD89" i="65"/>
  <c r="W89" i="65"/>
  <c r="Q18" i="60"/>
  <c r="Q22" i="60"/>
  <c r="Q30" i="60"/>
  <c r="D35" i="61"/>
  <c r="L35" i="61" s="1"/>
  <c r="I35" i="61"/>
  <c r="M64" i="61"/>
  <c r="M82" i="61"/>
  <c r="X89" i="65"/>
  <c r="AA142" i="65"/>
  <c r="M120" i="61"/>
  <c r="M112" i="61"/>
  <c r="M78" i="61"/>
  <c r="M74" i="61"/>
  <c r="M70" i="61"/>
  <c r="M56" i="61"/>
  <c r="M52" i="61"/>
  <c r="M32" i="61"/>
  <c r="M9" i="61"/>
  <c r="W31" i="65"/>
  <c r="M87" i="61"/>
  <c r="S132" i="61"/>
  <c r="M11" i="61"/>
  <c r="AA31" i="65"/>
  <c r="Z31" i="65"/>
  <c r="F12" i="71"/>
  <c r="G12" i="71" s="1"/>
  <c r="G32" i="71"/>
  <c r="R132" i="61"/>
  <c r="G128" i="61"/>
  <c r="D36" i="61"/>
  <c r="L36" i="61" s="1"/>
  <c r="I36" i="61"/>
  <c r="K36" i="61"/>
  <c r="O36" i="61" s="1"/>
  <c r="J134" i="61" s="1"/>
  <c r="M38" i="61"/>
  <c r="M4" i="61"/>
  <c r="M76" i="61"/>
  <c r="M40" i="61"/>
  <c r="O136" i="61"/>
  <c r="L134" i="61"/>
  <c r="M91" i="61"/>
  <c r="R135" i="61"/>
  <c r="O135" i="61"/>
  <c r="N135" i="61"/>
  <c r="M65" i="61"/>
  <c r="L135" i="61"/>
  <c r="M47" i="61"/>
  <c r="K135" i="61"/>
  <c r="M130" i="61"/>
  <c r="AB89" i="65"/>
  <c r="M128" i="61"/>
  <c r="R134" i="61"/>
  <c r="N134" i="61"/>
  <c r="P97" i="61"/>
  <c r="N97" i="61"/>
  <c r="K97" i="61"/>
  <c r="O97" i="61" s="1"/>
  <c r="W130" i="61"/>
  <c r="W136" i="61"/>
  <c r="U130" i="61"/>
  <c r="U136" i="61"/>
  <c r="X142" i="65"/>
  <c r="M62" i="61"/>
  <c r="L130" i="61"/>
  <c r="K134" i="61"/>
  <c r="M46" i="61"/>
  <c r="M90" i="61"/>
  <c r="M107" i="61"/>
  <c r="O132" i="61"/>
  <c r="F125" i="61"/>
  <c r="Y31" i="65"/>
  <c r="AF89" i="65"/>
  <c r="AC89" i="65"/>
  <c r="W142" i="65"/>
  <c r="R53" i="60"/>
  <c r="V135" i="61"/>
  <c r="T135" i="61"/>
  <c r="M34" i="61"/>
  <c r="J135" i="61"/>
  <c r="R130" i="61"/>
  <c r="R136" i="61"/>
  <c r="N130" i="61"/>
  <c r="N136" i="61"/>
  <c r="I130" i="61"/>
  <c r="I136" i="61"/>
  <c r="F130" i="61"/>
  <c r="F136" i="61"/>
  <c r="AB142" i="65"/>
  <c r="O128" i="61"/>
  <c r="O129" i="61" s="1"/>
  <c r="L128" i="61"/>
  <c r="L129" i="61" s="1"/>
  <c r="Q132" i="61"/>
  <c r="P132" i="61"/>
  <c r="M99" i="61"/>
  <c r="Q128" i="61"/>
  <c r="Q129" i="61" s="1"/>
  <c r="M85" i="61"/>
  <c r="M68" i="61"/>
  <c r="V132" i="61"/>
  <c r="M27" i="61"/>
  <c r="I135" i="61"/>
  <c r="F134" i="61"/>
  <c r="V130" i="61"/>
  <c r="V136" i="61"/>
  <c r="T130" i="61"/>
  <c r="T136" i="61"/>
  <c r="J130" i="61"/>
  <c r="J136" i="61"/>
  <c r="AC142" i="65"/>
  <c r="M136" i="61"/>
  <c r="M81" i="61"/>
  <c r="W135" i="61"/>
  <c r="U135" i="61"/>
  <c r="M109" i="61"/>
  <c r="M92" i="61"/>
  <c r="AF142" i="65"/>
  <c r="G16" i="71"/>
  <c r="M123" i="61"/>
  <c r="L29" i="61"/>
  <c r="T128" i="61"/>
  <c r="M111" i="61"/>
  <c r="U128" i="61"/>
  <c r="U129" i="61" s="1"/>
  <c r="W128" i="61"/>
  <c r="H128" i="61"/>
  <c r="K61" i="61"/>
  <c r="O61" i="61" s="1"/>
  <c r="M134" i="61" s="1"/>
  <c r="S128" i="61"/>
  <c r="S129" i="61" s="1"/>
  <c r="N128" i="61"/>
  <c r="L105" i="61"/>
  <c r="T132" i="61" s="1"/>
  <c r="M115" i="61"/>
  <c r="V128" i="61"/>
  <c r="V129" i="61" s="1"/>
  <c r="K128" i="61"/>
  <c r="K129" i="61" s="1"/>
  <c r="I128" i="61"/>
  <c r="I129" i="61" s="1"/>
  <c r="N61" i="61"/>
  <c r="M135" i="61" s="1"/>
  <c r="P128" i="61"/>
  <c r="U134" i="61"/>
  <c r="I134" i="61"/>
  <c r="M29" i="61"/>
  <c r="I37" i="61"/>
  <c r="D37" i="61"/>
  <c r="L37" i="61" s="1"/>
  <c r="N23" i="61"/>
  <c r="N21" i="61"/>
  <c r="N14" i="61"/>
  <c r="M14" i="61" s="1"/>
  <c r="J13" i="61"/>
  <c r="K121" i="61"/>
  <c r="O121" i="61" s="1"/>
  <c r="W134" i="61" s="1"/>
  <c r="K105" i="61"/>
  <c r="O105" i="61" s="1"/>
  <c r="M105" i="61" s="1"/>
  <c r="L122" i="61"/>
  <c r="W132" i="61" s="1"/>
  <c r="L21" i="61"/>
  <c r="H132" i="61" s="1"/>
  <c r="L14" i="61"/>
  <c r="G132" i="61" s="1"/>
  <c r="T129" i="61"/>
  <c r="N129" i="61"/>
  <c r="F128" i="61"/>
  <c r="G129" i="61"/>
  <c r="R15" i="60"/>
  <c r="S15" i="60"/>
  <c r="P79" i="61" l="1"/>
  <c r="N79" i="61"/>
  <c r="M79" i="61" s="1"/>
  <c r="R128" i="61"/>
  <c r="R129" i="61" s="1"/>
  <c r="K133" i="61"/>
  <c r="L133" i="61"/>
  <c r="U133" i="61"/>
  <c r="V134" i="61"/>
  <c r="I132" i="61"/>
  <c r="K79" i="61"/>
  <c r="O79" i="61" s="1"/>
  <c r="S134" i="61"/>
  <c r="P86" i="61"/>
  <c r="N86" i="61"/>
  <c r="K86" i="61"/>
  <c r="O86" i="61" s="1"/>
  <c r="Q134" i="61" s="1"/>
  <c r="N80" i="61"/>
  <c r="P80" i="61"/>
  <c r="M67" i="61"/>
  <c r="H135" i="61"/>
  <c r="M103" i="61"/>
  <c r="V133" i="61"/>
  <c r="K80" i="61"/>
  <c r="O80" i="61" s="1"/>
  <c r="P134" i="61" s="1"/>
  <c r="J132" i="61"/>
  <c r="H129" i="61"/>
  <c r="M35" i="61"/>
  <c r="M22" i="61"/>
  <c r="M6" i="61"/>
  <c r="F133" i="61" s="1"/>
  <c r="P23" i="61"/>
  <c r="K23" i="61"/>
  <c r="O23" i="61" s="1"/>
  <c r="H134" i="61" s="1"/>
  <c r="O133" i="61"/>
  <c r="M36" i="61"/>
  <c r="M15" i="61"/>
  <c r="M129" i="61"/>
  <c r="I133" i="61"/>
  <c r="R133" i="61"/>
  <c r="N133" i="61"/>
  <c r="M21" i="61"/>
  <c r="I125" i="61"/>
  <c r="C16" i="70"/>
  <c r="L125" i="61"/>
  <c r="T134" i="61"/>
  <c r="S135" i="61"/>
  <c r="M97" i="61"/>
  <c r="S133" i="61" s="1"/>
  <c r="P13" i="61"/>
  <c r="N13" i="61"/>
  <c r="K13" i="61"/>
  <c r="O13" i="61" s="1"/>
  <c r="W129" i="61"/>
  <c r="P129" i="61"/>
  <c r="M37" i="61"/>
  <c r="M61" i="61"/>
  <c r="M133" i="61" s="1"/>
  <c r="M121" i="61"/>
  <c r="W133" i="61" s="1"/>
  <c r="C17" i="70"/>
  <c r="T133" i="61"/>
  <c r="R54" i="60"/>
  <c r="S130" i="61"/>
  <c r="S136" i="61"/>
  <c r="J128" i="61"/>
  <c r="F129" i="61"/>
  <c r="R16" i="60"/>
  <c r="S16" i="60"/>
  <c r="P130" i="61" l="1"/>
  <c r="P136" i="61"/>
  <c r="P135" i="61"/>
  <c r="M80" i="61"/>
  <c r="P133" i="61" s="1"/>
  <c r="Q135" i="61"/>
  <c r="M86" i="61"/>
  <c r="Q133" i="61" s="1"/>
  <c r="Q136" i="61"/>
  <c r="Q130" i="61"/>
  <c r="F197" i="59"/>
  <c r="H130" i="61"/>
  <c r="H136" i="61"/>
  <c r="J133" i="61"/>
  <c r="M23" i="61"/>
  <c r="H133" i="61" s="1"/>
  <c r="J129" i="61"/>
  <c r="E17" i="70"/>
  <c r="E18" i="70" s="1"/>
  <c r="G130" i="61"/>
  <c r="G136" i="61"/>
  <c r="P125" i="61"/>
  <c r="G135" i="61"/>
  <c r="M13" i="61"/>
  <c r="N125" i="61"/>
  <c r="R56" i="60"/>
  <c r="G134" i="61"/>
  <c r="O125" i="61"/>
  <c r="D16" i="70"/>
  <c r="D18" i="70" s="1"/>
  <c r="F16" i="70"/>
  <c r="F18" i="70" s="1"/>
  <c r="C18" i="70"/>
  <c r="S17" i="60"/>
  <c r="R17" i="60"/>
  <c r="G16" i="70" l="1"/>
  <c r="G17" i="70"/>
  <c r="G133" i="61"/>
  <c r="M125" i="61"/>
  <c r="R58" i="60"/>
  <c r="S18" i="60"/>
  <c r="R18" i="60"/>
  <c r="G18" i="70" l="1"/>
  <c r="C25" i="70" s="1"/>
  <c r="R60" i="60"/>
  <c r="R19" i="60"/>
  <c r="S19" i="60"/>
  <c r="R62" i="60" l="1"/>
  <c r="S20" i="60"/>
  <c r="R20" i="60"/>
  <c r="R63" i="60" l="1"/>
  <c r="R64" i="60"/>
  <c r="R21" i="60"/>
  <c r="S21" i="60"/>
  <c r="R22" i="60" l="1"/>
  <c r="S22" i="60"/>
  <c r="R23" i="60" l="1"/>
  <c r="S23" i="60"/>
  <c r="S24" i="60" l="1"/>
  <c r="R24" i="60"/>
  <c r="R25" i="60" l="1"/>
  <c r="S25" i="60"/>
  <c r="R26" i="60" l="1"/>
  <c r="S26" i="60"/>
  <c r="S27" i="60" l="1"/>
  <c r="R27" i="60"/>
  <c r="R28" i="60" l="1"/>
  <c r="S28" i="60"/>
  <c r="S29" i="60" l="1"/>
  <c r="R29" i="60"/>
  <c r="R30" i="60" l="1"/>
  <c r="S30" i="60"/>
  <c r="S4" i="60" l="1"/>
  <c r="R5" i="60"/>
  <c r="R6" i="60" l="1"/>
  <c r="S5" i="60"/>
  <c r="S6" i="60" l="1"/>
  <c r="R8" i="60" l="1"/>
  <c r="S8" i="60"/>
  <c r="S9" i="60" l="1"/>
  <c r="R9" i="60"/>
  <c r="R10" i="60" l="1"/>
  <c r="S10" i="60"/>
  <c r="R11" i="60" l="1"/>
  <c r="S11" i="60"/>
  <c r="S12" i="60" l="1"/>
  <c r="R12" i="60"/>
  <c r="S13" i="60" l="1"/>
  <c r="R13" i="60"/>
  <c r="S50" i="60" l="1"/>
  <c r="S51" i="60" l="1"/>
  <c r="S52" i="60" l="1"/>
  <c r="S33" i="60"/>
  <c r="S34" i="60" l="1"/>
  <c r="S53" i="60"/>
  <c r="S54" i="60" l="1"/>
  <c r="S55" i="60" l="1"/>
  <c r="S56" i="60" l="1"/>
  <c r="S57" i="60" l="1"/>
  <c r="S59" i="60" l="1"/>
  <c r="C12" i="70" l="1"/>
  <c r="S60" i="60"/>
  <c r="C13" i="70" l="1"/>
  <c r="D12" i="70"/>
  <c r="F12" i="70"/>
  <c r="G12" i="70" s="1"/>
  <c r="E13" i="70"/>
  <c r="E15" i="70" s="1"/>
  <c r="S61" i="60"/>
  <c r="C8" i="70" l="1"/>
  <c r="G13" i="70"/>
  <c r="S62" i="60"/>
  <c r="F8" i="70" l="1"/>
  <c r="C9" i="70"/>
  <c r="D8" i="70"/>
  <c r="S63" i="60"/>
  <c r="G8" i="70" l="1"/>
  <c r="E9" i="70"/>
  <c r="E11" i="70" s="1"/>
  <c r="E20" i="70" s="1"/>
  <c r="S64" i="60"/>
  <c r="G9" i="70" l="1"/>
  <c r="S65" i="60"/>
  <c r="C10" i="70" l="1"/>
  <c r="D10" i="70" s="1"/>
  <c r="D11" i="70" s="1"/>
  <c r="C14" i="70"/>
  <c r="D14" i="70" s="1"/>
  <c r="D15" i="70" s="1"/>
  <c r="C11" i="70" l="1"/>
  <c r="F10" i="70"/>
  <c r="F11" i="70" s="1"/>
  <c r="C15" i="70"/>
  <c r="F14" i="70"/>
  <c r="G14" i="70" s="1"/>
  <c r="G15" i="70" s="1"/>
  <c r="C24" i="70" s="1"/>
  <c r="D20" i="70"/>
  <c r="G10" i="70" l="1"/>
  <c r="G11" i="70" s="1"/>
  <c r="C23" i="70" s="1"/>
  <c r="C28" i="70" s="1"/>
  <c r="C32" i="70" s="1"/>
  <c r="C20" i="70"/>
  <c r="F15" i="70"/>
  <c r="F20" i="70" s="1"/>
  <c r="G20" i="70" l="1"/>
</calcChain>
</file>

<file path=xl/sharedStrings.xml><?xml version="1.0" encoding="utf-8"?>
<sst xmlns="http://schemas.openxmlformats.org/spreadsheetml/2006/main" count="4271" uniqueCount="1598">
  <si>
    <t>ML</t>
  </si>
  <si>
    <t>M3</t>
  </si>
  <si>
    <t>M2</t>
  </si>
  <si>
    <t>VALOR UNITARIO</t>
  </si>
  <si>
    <t>KG</t>
  </si>
  <si>
    <t>UND</t>
  </si>
  <si>
    <t>CANT.</t>
  </si>
  <si>
    <t xml:space="preserve">DESCRIPCIÓN </t>
  </si>
  <si>
    <t>Localización, replanteo y verificación topográfica</t>
  </si>
  <si>
    <t>Excavación mecánica</t>
  </si>
  <si>
    <t>UN</t>
  </si>
  <si>
    <t>Suministro e instalación de arena SW</t>
  </si>
  <si>
    <t>Acero</t>
  </si>
  <si>
    <t>Excavación y relleno</t>
  </si>
  <si>
    <t>Suministro e instalación de escalera de gato</t>
  </si>
  <si>
    <t>Tuberías</t>
  </si>
  <si>
    <t>Instalación de tubería PVC Ø4" presión RDE 21-26</t>
  </si>
  <si>
    <t>Instalación de tubería PVC Ø8" presión RDE 21-26</t>
  </si>
  <si>
    <t>Materiales de cimentación</t>
  </si>
  <si>
    <t>Sub Base granular e=0.30m</t>
  </si>
  <si>
    <t>Concreto</t>
  </si>
  <si>
    <t>Tapas</t>
  </si>
  <si>
    <t>Retiro de material de excavación con cargue en volqueta a mano - en banco - de 10 a  20Km</t>
  </si>
  <si>
    <t>Instalación de tubería PVC Ø3" presión RDE 21-26</t>
  </si>
  <si>
    <t>Instalación de tubería PVC Ø6" presión RDE 21-26</t>
  </si>
  <si>
    <t>Suministro e Instalación de tapa tipo chorote AYA</t>
  </si>
  <si>
    <t>Micromedidores</t>
  </si>
  <si>
    <t>Instalación micromedidores</t>
  </si>
  <si>
    <t>Acometidas</t>
  </si>
  <si>
    <t>Suministro de tuberías</t>
  </si>
  <si>
    <t>Codo PVC gran radio 11.25° RDE 21 Ø4"</t>
  </si>
  <si>
    <t>Accesorios</t>
  </si>
  <si>
    <t>Codo PVC gran radio 90° RDE 21 Ø6"</t>
  </si>
  <si>
    <t>Codo PVC gran radio 45° RDE 21 Ø6"</t>
  </si>
  <si>
    <t>Codo PVC gran radio 45° RDE 21 Ø4"</t>
  </si>
  <si>
    <t>Codo PVC gran radio 45° RDE 21 Ø3"</t>
  </si>
  <si>
    <t>Codo PVC gran radio 22.5° RDE 21 Ø6"</t>
  </si>
  <si>
    <t>Codo PVC gran radio 22.5° RDE 21 Ø4"</t>
  </si>
  <si>
    <t>Codo PVC gran radio 22.5° RDE 21 Ø3"</t>
  </si>
  <si>
    <t>Codo PVC gran radio 11.25° RDE 21 Ø8"</t>
  </si>
  <si>
    <t>Codo PVC gran radio 11.25° RDE 21 Ø6"</t>
  </si>
  <si>
    <t>Codo PVC gran radio 11.25° RDE 21 Ø3"</t>
  </si>
  <si>
    <t>Reduccion 4"x3" PVC presión</t>
  </si>
  <si>
    <t>Reduccion 6"x3" PVC presión</t>
  </si>
  <si>
    <t>Reduccion 6"x4" PVC presión</t>
  </si>
  <si>
    <t>Reduccion 8"x6" PVC presión</t>
  </si>
  <si>
    <t>Empate HG a PVC 8"</t>
  </si>
  <si>
    <t>Empate HG a PVC 6"</t>
  </si>
  <si>
    <t>Empate HG a PVC 4"</t>
  </si>
  <si>
    <t>Empate HG a PVC 3"</t>
  </si>
  <si>
    <t>Suministros acometidas y micromedidores</t>
  </si>
  <si>
    <t xml:space="preserve">Adaptador hembra PVC </t>
  </si>
  <si>
    <t>Racor y tuerca</t>
  </si>
  <si>
    <t>Suministros estación de macromedición</t>
  </si>
  <si>
    <t>Válvula ventosa Ø2" doble acción cámara sencilla extremo roscado</t>
  </si>
  <si>
    <t xml:space="preserve">Tee HD Ø 6x4 bridada </t>
  </si>
  <si>
    <t>Válvula de mariposa tipo wafer Ø4"</t>
  </si>
  <si>
    <t>Filtro extremo bridado Ø4"</t>
  </si>
  <si>
    <t>Macromedidor WPH 40-500 mm Ø6"</t>
  </si>
  <si>
    <t>Codo HD 90° Ø4" bridado</t>
  </si>
  <si>
    <t>Niple HD L=15 cm Ø4" Ext. Brida x Ext liso</t>
  </si>
  <si>
    <t>Tuberia HD Ø2" bridada</t>
  </si>
  <si>
    <t>Niple HD L=15 cm Ø6" EBxEL</t>
  </si>
  <si>
    <t xml:space="preserve">Apoyo en neopreno </t>
  </si>
  <si>
    <t>Pitómetro</t>
  </si>
  <si>
    <t>Reduccion 4"x2.5" PVC presión</t>
  </si>
  <si>
    <t>Instalación de acero fy=420 Mpa</t>
  </si>
  <si>
    <t>M</t>
  </si>
  <si>
    <t>Recebo (Lleno con material afirmado compactado)</t>
  </si>
  <si>
    <t xml:space="preserve">Registro de corte 1/2" </t>
  </si>
  <si>
    <t xml:space="preserve"> Suministro de Acero</t>
  </si>
  <si>
    <t>PRELIMINARES</t>
  </si>
  <si>
    <t>2,1,1</t>
  </si>
  <si>
    <t>2,1,2</t>
  </si>
  <si>
    <t xml:space="preserve">Demolición  de pavimento incluye corte con disco </t>
  </si>
  <si>
    <t>2,2,1</t>
  </si>
  <si>
    <t>Relleno con material de excavación</t>
  </si>
  <si>
    <t>Suministro y colocación de base granular, incluye acarreo hasta 20 Km.</t>
  </si>
  <si>
    <t xml:space="preserve">Pavimento de concreto rígido, incluye acero de refuerzo </t>
  </si>
  <si>
    <t>3,3,1</t>
  </si>
  <si>
    <t>2,3,1</t>
  </si>
  <si>
    <t>3,4,6</t>
  </si>
  <si>
    <t>Instalación Codo PVC gran radio 22.5° RDE 21 Ø4"</t>
  </si>
  <si>
    <t>4,4,10</t>
  </si>
  <si>
    <t>Instalación Codo PVC gran radio 11.25° RDE 21 Ø4"</t>
  </si>
  <si>
    <t>2,4,4</t>
  </si>
  <si>
    <t>Instalación Codo PVC gran radio 45° RDE 21 Ø3"</t>
  </si>
  <si>
    <t>2,4,6</t>
  </si>
  <si>
    <t>Instalación Codo PVC gran radio 22.5° RDE 21 Ø3"</t>
  </si>
  <si>
    <t>2,4,8</t>
  </si>
  <si>
    <t>Instalación Codo PVC gran radio 11.25° RDE 21 Ø3"</t>
  </si>
  <si>
    <t>Instalación Codo PVC gran radio 90° RDE 21 Ø2.5"</t>
  </si>
  <si>
    <t>Instalación Codo PVC gran radio 45° RDE 21 Ø2.5"</t>
  </si>
  <si>
    <t>Instalación Codo PVC gran radio 22.5° RDE 21 Ø2.5"</t>
  </si>
  <si>
    <t>Instalación Codo PVC gran radio 11.25° RDE 21 Ø2.5"</t>
  </si>
  <si>
    <t>3,4,11</t>
  </si>
  <si>
    <t>Instalación Reduccion 4"x3" PVC presión</t>
  </si>
  <si>
    <t>Instalación Reduccion 4"x2.5" PVC presión</t>
  </si>
  <si>
    <t>2,4,10</t>
  </si>
  <si>
    <t>Instalación Tee PVC Ø3" presión uz</t>
  </si>
  <si>
    <t>Instalación Tee PVC Ø2.5" presión uz</t>
  </si>
  <si>
    <t>2,5,1</t>
  </si>
  <si>
    <t>2,5,2</t>
  </si>
  <si>
    <t>Concreto pobre  de 14 Mpa</t>
  </si>
  <si>
    <t>2,6,1</t>
  </si>
  <si>
    <t>2,7,1</t>
  </si>
  <si>
    <t>2,8,1</t>
  </si>
  <si>
    <t>2,9,1</t>
  </si>
  <si>
    <t>Construcción de conexiones domiciliarias L=&gt;6 con pavimento.  Incluye toda la instalación desde el collarín, excavación para  localización de tubería, colocación de la cajilla, solado e= 0.05m, la excavación y colocación de rellenos (50% Relleno con material seleccionado de la excavación y 50% Suministro y colocación de Sub-Base así :mitad abajo en el tubo compactado con pisón y mitad arriba compactado con compactador mecánico), adaptadores, racor y tuerca, disposición de sobrantes.</t>
  </si>
  <si>
    <t>2,9,2</t>
  </si>
  <si>
    <t>3,4,4</t>
  </si>
  <si>
    <t>Instalación Codo PVC gran radio 45° RDE 21 Ø4"</t>
  </si>
  <si>
    <t>Instalación Tee PVC Ø4" presión Union Z</t>
  </si>
  <si>
    <t>Instalación Tee PVC Ø4"x2.5" presión Union Z</t>
  </si>
  <si>
    <t>Instalación Tee PVC Ø3"x2.5" presión Union Z</t>
  </si>
  <si>
    <t xml:space="preserve">Instalación Tee PVC Ø6" x 4" presión </t>
  </si>
  <si>
    <t>3,4,13</t>
  </si>
  <si>
    <t>Instalación Reduccion 6"x4" PVC presión</t>
  </si>
  <si>
    <t>4,4,1</t>
  </si>
  <si>
    <t>Instalación Codo PVC gran radio 90° RDE 21 Ø6"</t>
  </si>
  <si>
    <t>4,4,3</t>
  </si>
  <si>
    <t>Instalación Codo PVC gran radio 45° RDE 21 Ø6"</t>
  </si>
  <si>
    <t>4,4,7</t>
  </si>
  <si>
    <t>Instalación Codo PVC gran radio 22.5° RDE 21 Ø6"</t>
  </si>
  <si>
    <t>4,4,8</t>
  </si>
  <si>
    <t>Instalación Codo PVC gran radio 11.25° RDE 21 Ø6"</t>
  </si>
  <si>
    <t>Instalación Codo PVC gran radio 90° RDE 21 Ø4"</t>
  </si>
  <si>
    <t>5,4,3</t>
  </si>
  <si>
    <t>Instalación Codo PVC 90° RDE 21 Ø3" gran radio union Z</t>
  </si>
  <si>
    <t>4,4,12</t>
  </si>
  <si>
    <t>Instalación Tee PVC Ø6" presión Union Z</t>
  </si>
  <si>
    <t>Instalación  Tee PVC Ø4" x 3"  presión Union Z</t>
  </si>
  <si>
    <t>6,3,3</t>
  </si>
  <si>
    <t>7,3,4</t>
  </si>
  <si>
    <t>Instalación Codo PVC gran radio 11.25° RDE 21 Ø8"</t>
  </si>
  <si>
    <t>6,4,20</t>
  </si>
  <si>
    <t>Instalación  Reduccion 8"x6" PVC presión</t>
  </si>
  <si>
    <t>7,4,7</t>
  </si>
  <si>
    <t>7,4,12</t>
  </si>
  <si>
    <t>Instalación  Reduccion 6"x3" PVC presión</t>
  </si>
  <si>
    <t>9,1,1</t>
  </si>
  <si>
    <t>9,2,1</t>
  </si>
  <si>
    <t>ESTACIÓN DE MACROMEDICIÓN</t>
  </si>
  <si>
    <t>1,1,1</t>
  </si>
  <si>
    <t>Tubería RDE 21 UZ PVC 3" presión</t>
  </si>
  <si>
    <t>1,1,2</t>
  </si>
  <si>
    <t>Tubería RDE 21  UZ PVC 6" presión</t>
  </si>
  <si>
    <t>1,2,1</t>
  </si>
  <si>
    <t>1,3,1</t>
  </si>
  <si>
    <t>1,3,2</t>
  </si>
  <si>
    <t>Codo PVC 90° RDE 21 Ø3" gran radio union Z</t>
  </si>
  <si>
    <t>1,3,3</t>
  </si>
  <si>
    <t>1,3,4</t>
  </si>
  <si>
    <t>1,3,5</t>
  </si>
  <si>
    <t>1,3,6</t>
  </si>
  <si>
    <t>1,3,8</t>
  </si>
  <si>
    <t>Tee PVC Ø6" presión Union Z</t>
  </si>
  <si>
    <t>Tee PVC Ø3" presión uz</t>
  </si>
  <si>
    <t>1,3,11</t>
  </si>
  <si>
    <t>1,3,12</t>
  </si>
  <si>
    <t>1,3,13</t>
  </si>
  <si>
    <t>1,3,14</t>
  </si>
  <si>
    <t>1,4,1</t>
  </si>
  <si>
    <t>Caja para acometida en polipropileno. Incluye tapa</t>
  </si>
  <si>
    <t>1,4,2</t>
  </si>
  <si>
    <t>1,4,3</t>
  </si>
  <si>
    <t>1,4,4</t>
  </si>
  <si>
    <t>1,4,5</t>
  </si>
  <si>
    <t>Adaptador macho PF  + UAD  Ø 1/2"</t>
  </si>
  <si>
    <t>1,4,6</t>
  </si>
  <si>
    <t>Medidor de Velocidad Chorro Único de 1/2</t>
  </si>
  <si>
    <t>1,4,7</t>
  </si>
  <si>
    <t>Collar de derivación  6 X 1/2"</t>
  </si>
  <si>
    <t>1,4,8</t>
  </si>
  <si>
    <t>Tuberia PF+UAD Ø 1/2"</t>
  </si>
  <si>
    <t>1,4,9</t>
  </si>
  <si>
    <t xml:space="preserve">Registro de incorporación 1/2" </t>
  </si>
  <si>
    <t>Tubería RDE 21 UZ  PVC 4" presión</t>
  </si>
  <si>
    <t>Tee PVC Ø4" presión Union Z</t>
  </si>
  <si>
    <t>3,1,3</t>
  </si>
  <si>
    <t>Tubería RDE 21  UZ PVC 8" presión</t>
  </si>
  <si>
    <t>3,1,4</t>
  </si>
  <si>
    <t>3,1,5</t>
  </si>
  <si>
    <t>3,1,6</t>
  </si>
  <si>
    <t>3,3,5</t>
  </si>
  <si>
    <t>Codo PVC 22.5° RDE 21 Ø8" presión gran radio</t>
  </si>
  <si>
    <t>3,3,18</t>
  </si>
  <si>
    <t>3,3,19</t>
  </si>
  <si>
    <t>4,3,11</t>
  </si>
  <si>
    <t>4,3,21</t>
  </si>
  <si>
    <t>5,3,22</t>
  </si>
  <si>
    <t>8,3,10</t>
  </si>
  <si>
    <t>8,3,17</t>
  </si>
  <si>
    <t>9,1,2</t>
  </si>
  <si>
    <t>9,1,3</t>
  </si>
  <si>
    <t>9,1,4</t>
  </si>
  <si>
    <t>9,1,5</t>
  </si>
  <si>
    <t>9,1,6</t>
  </si>
  <si>
    <t>Suministro de unión de universal 6" HD</t>
  </si>
  <si>
    <t>9,1,7</t>
  </si>
  <si>
    <t>9,1,8</t>
  </si>
  <si>
    <t>9,1,9</t>
  </si>
  <si>
    <t>9,1,10</t>
  </si>
  <si>
    <t>9,1,11</t>
  </si>
  <si>
    <t>9,1,12</t>
  </si>
  <si>
    <t>Tee PVC Ø4" X 3"presión uz</t>
  </si>
  <si>
    <t>Tee PVC Ø4" X 2.5"presión uz</t>
  </si>
  <si>
    <t>Tee PVC Ø2.5" presión uz</t>
  </si>
  <si>
    <t>Tee PVC Ø3" X 2.5" presión uz</t>
  </si>
  <si>
    <t>Tee PVC Ø6" X 4" presión uz</t>
  </si>
  <si>
    <t>Instalación de tubería PVC Ø2.5" presión RDE 21-26</t>
  </si>
  <si>
    <t>Instalación Accesorios</t>
  </si>
  <si>
    <t>Tubería RDE 21 UZ PVC 21/2" presión</t>
  </si>
  <si>
    <t>Codo PVC gran radio 90° RDE 21 Ø21/2"</t>
  </si>
  <si>
    <t>Codo PVC gran radio 45° RDE 21 Ø21/2"</t>
  </si>
  <si>
    <t>Codo PVC gran radio 22.5° RDE 21 Ø21/2"</t>
  </si>
  <si>
    <t>Codo PVC gran radio 11.25° RDE 21 Ø21/2"</t>
  </si>
  <si>
    <t>Instalación Unión Simple PVC  Ø2.5"</t>
  </si>
  <si>
    <t>Instalación Unión Simple PVC  Ø3"</t>
  </si>
  <si>
    <t>Instalación Unión Simple PVC  Ø4"</t>
  </si>
  <si>
    <t>Instalación Unión Simple PVC  Ø6"</t>
  </si>
  <si>
    <t>Unión simple PVC Unión Mecanica RDE 21 D 6"</t>
  </si>
  <si>
    <t>Unión simple PVC Unión Mecanica RDE 21 D 4"</t>
  </si>
  <si>
    <t>Unión simple PVC Unión Mecanica RDE 21 D 3"</t>
  </si>
  <si>
    <t>Unión simple PVC Unión Mecanica RDE 21 D 21/2"</t>
  </si>
  <si>
    <t>OBRAS CIVILES</t>
  </si>
  <si>
    <t xml:space="preserve">SUMINISTROS </t>
  </si>
  <si>
    <t>ACCESORIOS</t>
  </si>
  <si>
    <t>S-1</t>
  </si>
  <si>
    <t>S-2</t>
  </si>
  <si>
    <t>S-3</t>
  </si>
  <si>
    <t>S-4</t>
  </si>
  <si>
    <t>S-5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</si>
  <si>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</si>
  <si>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</si>
  <si>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</si>
  <si>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</si>
  <si>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</si>
  <si>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</si>
  <si>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</si>
  <si>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</si>
  <si>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</si>
  <si>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</si>
  <si>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TOTAL</t>
  </si>
  <si>
    <t>TEE</t>
  </si>
  <si>
    <t>6x6"</t>
  </si>
  <si>
    <t>6x4"</t>
  </si>
  <si>
    <t>6x3"</t>
  </si>
  <si>
    <t>6x21/2"</t>
  </si>
  <si>
    <t>4x4"</t>
  </si>
  <si>
    <t>4x3"</t>
  </si>
  <si>
    <t>4x21/2"</t>
  </si>
  <si>
    <t>3x3"</t>
  </si>
  <si>
    <t>3x21/2"</t>
  </si>
  <si>
    <t>21/2x21/2"</t>
  </si>
  <si>
    <t>CODO</t>
  </si>
  <si>
    <t>6"x90</t>
  </si>
  <si>
    <t>6"x45</t>
  </si>
  <si>
    <t>6"x22.5</t>
  </si>
  <si>
    <t>6"x11.25</t>
  </si>
  <si>
    <t>4"x90</t>
  </si>
  <si>
    <t>4"x45</t>
  </si>
  <si>
    <t>4"x22.5</t>
  </si>
  <si>
    <t>4"x11.25</t>
  </si>
  <si>
    <t>3"x90</t>
  </si>
  <si>
    <t>3"x45</t>
  </si>
  <si>
    <t>3"x22.5</t>
  </si>
  <si>
    <t>3"x11.25</t>
  </si>
  <si>
    <t>21/2"x90</t>
  </si>
  <si>
    <t>21/2"x45</t>
  </si>
  <si>
    <t>21/2"x22.5</t>
  </si>
  <si>
    <t>21/2"x11.25</t>
  </si>
  <si>
    <t>TAPONES</t>
  </si>
  <si>
    <t>4"</t>
  </si>
  <si>
    <t>3"</t>
  </si>
  <si>
    <t>21/2"</t>
  </si>
  <si>
    <t>COD. OC</t>
  </si>
  <si>
    <t>COD. SUM</t>
  </si>
  <si>
    <t>Instalación Tapón PVC  Ø3"</t>
  </si>
  <si>
    <t>Tapón PVC Unión Mecanica RDE 21 D 3"</t>
  </si>
  <si>
    <t>Tapón PVC Unión Mecanica RDE 21 D 21/2"</t>
  </si>
  <si>
    <t>Codo PVC gran radio 90° RDE 21 Ø4"</t>
  </si>
  <si>
    <t>DIAMETRO</t>
  </si>
  <si>
    <t>DIAMETRO EXTERIOR</t>
  </si>
  <si>
    <t>VOLUMEN TUBERIA</t>
  </si>
  <si>
    <t>SECTOR</t>
  </si>
  <si>
    <t>LONGITUD</t>
  </si>
  <si>
    <t>ANCHO ZANJA</t>
  </si>
  <si>
    <t>PROF.</t>
  </si>
  <si>
    <t>VOL. EXCAVACION</t>
  </si>
  <si>
    <t>LONG. RASANTE PAV RIGIDO</t>
  </si>
  <si>
    <t>LONG. RASANTE AFIRMADO</t>
  </si>
  <si>
    <t>ARENA</t>
  </si>
  <si>
    <t>MATERIAL SELECCIONADO</t>
  </si>
  <si>
    <t>SUBBASE</t>
  </si>
  <si>
    <t>BASE</t>
  </si>
  <si>
    <t>PAV. CONCRETO</t>
  </si>
  <si>
    <t>TOTALES</t>
  </si>
  <si>
    <t>10"</t>
  </si>
  <si>
    <t>12"</t>
  </si>
  <si>
    <t>6"</t>
  </si>
  <si>
    <t>8"</t>
  </si>
  <si>
    <t>Suministro transporte e instalación Sistema para Purga sobre Red de 3" O 21/2"</t>
  </si>
  <si>
    <t>ADMON</t>
  </si>
  <si>
    <t>TOTAL OBRAS CIVILES</t>
  </si>
  <si>
    <t>TOTAL SECTOR</t>
  </si>
  <si>
    <t>S-16</t>
  </si>
  <si>
    <t>S-17</t>
  </si>
  <si>
    <t>S-18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</si>
  <si>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</si>
  <si>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</si>
  <si>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</si>
  <si>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</si>
  <si>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</si>
  <si>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</si>
  <si>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</si>
  <si>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</si>
  <si>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</si>
  <si>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</si>
  <si>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</si>
  <si>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</si>
  <si>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</si>
  <si>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</si>
  <si>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</si>
  <si>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</si>
  <si>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</si>
  <si>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</si>
  <si>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ITEM</t>
  </si>
  <si>
    <t>CCM para bombas 20HP 440 /120 V 60 Hz</t>
  </si>
  <si>
    <t>Descargo (desenergización de la red)</t>
  </si>
  <si>
    <t>Glb</t>
  </si>
  <si>
    <t>Trámites y derechos de energización ante DISPAC</t>
  </si>
  <si>
    <t>Certificación RETILAP</t>
  </si>
  <si>
    <t>CANTIDADES GENERALES FASE 1</t>
  </si>
  <si>
    <t>ID PASO ESPECIAL</t>
  </si>
  <si>
    <t xml:space="preserve">LONGITUD </t>
  </si>
  <si>
    <t>FASE A LA QUE PERTENECE</t>
  </si>
  <si>
    <t>DIAMETRO DE TUBERIA</t>
  </si>
  <si>
    <t>VIADUCTOS</t>
  </si>
  <si>
    <t>ANCLAJES</t>
  </si>
  <si>
    <t>SUBFLIVIAL</t>
  </si>
  <si>
    <t>BAJO BOX</t>
  </si>
  <si>
    <t>EMBEBIDOS</t>
  </si>
  <si>
    <t>CARCAMO</t>
  </si>
  <si>
    <t xml:space="preserve"> CANTIDADES DE TUBERIAS ml</t>
  </si>
  <si>
    <t>CONCRETO m3 PARA COLUMNAS</t>
  </si>
  <si>
    <t>CONCRETO m3 PARA ZAPATAS</t>
  </si>
  <si>
    <t>CONCRETO m3 PARA PROTECCION</t>
  </si>
  <si>
    <t>EXCAVACION  MANUAL m3</t>
  </si>
  <si>
    <t>EXCAVACION HUMEDA m3</t>
  </si>
  <si>
    <t>ANCLAJES UNIDAD</t>
  </si>
  <si>
    <t>PINTURA DE PROTECCION ml</t>
  </si>
  <si>
    <t>VIADUCTO TIPO WARRIOR ml</t>
  </si>
  <si>
    <t>ANCLAJES CERCHA</t>
  </si>
  <si>
    <t>ACERO DE REFUERZO</t>
  </si>
  <si>
    <t>LONGITUD DE COLUMNA EN METROS</t>
  </si>
  <si>
    <t xml:space="preserve"> TUBERIA PVC O PEAD</t>
  </si>
  <si>
    <t>COLUMNA 1</t>
  </si>
  <si>
    <t>COLUMNA 2</t>
  </si>
  <si>
    <t>COLUMNA 3</t>
  </si>
  <si>
    <t>COLUMNA 4</t>
  </si>
  <si>
    <t>X</t>
  </si>
  <si>
    <t xml:space="preserve">TOTAL TUBERIA </t>
  </si>
  <si>
    <t xml:space="preserve"> TUBERIA PVC</t>
  </si>
  <si>
    <t>TOTAL TUBERIA PVC</t>
  </si>
  <si>
    <t>TUBERIA DE PROTECCION 8"</t>
  </si>
  <si>
    <t>TUBERIA DE PROTECCION 14"</t>
  </si>
  <si>
    <t>CRUCES ESEPCIALES CANTIDADES GENERALES FASE 2</t>
  </si>
  <si>
    <t>ANCLAJES SERCHA</t>
  </si>
  <si>
    <t>ACERO DE RESFUERZO</t>
  </si>
  <si>
    <t xml:space="preserve"> TUBERIA </t>
  </si>
  <si>
    <t>TOTAL TUBERIA</t>
  </si>
  <si>
    <t>TUBERIA DE PROTECCION 6"</t>
  </si>
  <si>
    <t>TUBERIA DE PROTECCION DE 8"</t>
  </si>
  <si>
    <t>TUBERIA DE PROTECCION DE 10"</t>
  </si>
  <si>
    <t>CANTIDADES GENERALES FASE 3</t>
  </si>
  <si>
    <t>TUBERIA DE PROTECCION 6''</t>
  </si>
  <si>
    <t>TUBERIA DE PROTECCION 10''</t>
  </si>
  <si>
    <t xml:space="preserve">Manejo de aguas provisionales </t>
  </si>
  <si>
    <t>Descapote manual E=.20 m</t>
  </si>
  <si>
    <t>Excavación en húmedo</t>
  </si>
  <si>
    <t>Lleno con Material granular B 200 95% COMP. del PM</t>
  </si>
  <si>
    <t>M4</t>
  </si>
  <si>
    <t>TUBERIA CONDUIT GALV IMC 4" X 3 M</t>
  </si>
  <si>
    <t>TUBERIA CONDUIT GALV IMC 3/4" X 3 M</t>
  </si>
  <si>
    <t>TUBERIA CONDUIT EMT 3/4"</t>
  </si>
  <si>
    <t>TUBERIA CONDUIT EMT 1"</t>
  </si>
  <si>
    <t>TUBERIA CONDUIT EMT 1 1/2"</t>
  </si>
  <si>
    <t>TUBERIA CONDUIT PVC 3/4"</t>
  </si>
  <si>
    <t>TUBERIA CONDUIT PVC 1"</t>
  </si>
  <si>
    <t>TUBERIA CONDUIT PVC 2"</t>
  </si>
  <si>
    <t>TUBERIA CONDUIT PVC 3"</t>
  </si>
  <si>
    <t>TUBERIA CONDUIT PVC 6"</t>
  </si>
  <si>
    <t>9#4/0 THHN + 1#2/0 THHN DESDE PLANTA A TGBT</t>
  </si>
  <si>
    <t>4#1/0 THHN DESDE TGBT A CCM1</t>
  </si>
  <si>
    <t>3#10 THHN + 1#8 THHN HASTA LADO ALTA TRAFO 10KVA</t>
  </si>
  <si>
    <t>4#6 THHN + 1#8 THHN DESDE LADO BAJA TRAFO 10KVA A TGBT</t>
  </si>
  <si>
    <t>4#8 THHN DESDE TGBT A TN4</t>
  </si>
  <si>
    <t>6#4/0 THHN + 1#2/0 THHN DESDE TGBT A CCM2</t>
  </si>
  <si>
    <t>4#12 THHN DESDE TGBT A  TN2</t>
  </si>
  <si>
    <t>4#6 THHN DESDE TGBT A CCM3</t>
  </si>
  <si>
    <t>4#12 THHN DESDE TGBT A TN3</t>
  </si>
  <si>
    <t>3#12 THHN DESDE TN4 A K1</t>
  </si>
  <si>
    <t>3#12 THHN DESDE TN4 A K2</t>
  </si>
  <si>
    <t>3#12 THHN DESDE TN4 A K3</t>
  </si>
  <si>
    <t>3#12 THHN DESDE TN4 A K4</t>
  </si>
  <si>
    <t>3#12 THHN DESDE TN4 A K5-6</t>
  </si>
  <si>
    <t>3#12 THHN DESDE TN4 A K7-8</t>
  </si>
  <si>
    <t>3#12 THHN DESDE TN4 A K9 (PORTERIA)</t>
  </si>
  <si>
    <t>3#12 THHN DESDE TN1 A K1</t>
  </si>
  <si>
    <t>3#12 THHN DESDE TN1 A K2</t>
  </si>
  <si>
    <t>3#12 THHN DESDE TN1 A K3-4</t>
  </si>
  <si>
    <t>3#12 THHN DESDE TN2 A K1</t>
  </si>
  <si>
    <t>3#12 THHN DESDE TN2 A K2</t>
  </si>
  <si>
    <t>3#12 THHN DESDE TN3 A K1</t>
  </si>
  <si>
    <t>3#12 THHN DESDE TN3 A K2</t>
  </si>
  <si>
    <t>3#12 THHN DESDE CCM1 A TN1</t>
  </si>
  <si>
    <t>3#4/0 THHN + 1#2 THHN DESDE CCM2 A BOMBA1</t>
  </si>
  <si>
    <t>3#4/0 THHN + 1#2 THHN DESDE CCM2 A BOMBA2</t>
  </si>
  <si>
    <t>3#4/0 THHN + 1#2 THHN DESDE CCM2 A BOMBA3</t>
  </si>
  <si>
    <t>3#4/0 THHN + 1#2 THHN DESDE CCM2 A BOMBA4</t>
  </si>
  <si>
    <t>3#6 THHN + 1#8 THHN DESDE CCM3 A BOMBA1</t>
  </si>
  <si>
    <t>ESTRUCTURAS</t>
  </si>
  <si>
    <t>TABLEROS, CELDAS Y EQUIPOS</t>
  </si>
  <si>
    <t>INSTALACIÓN DE TABLERO DE TRANSFERENCIA</t>
  </si>
  <si>
    <t>INSTALACIÓN Y CONEXIÓN DE TABLERO GENERAL DE BAJA TENSION</t>
  </si>
  <si>
    <t>INSTALACIÓN Y CONEXIÓN DE TRANSFORMADOR SECO TRIFASICO CLASE H DE 10KVA 440/208-120VAC</t>
  </si>
  <si>
    <t>INSTALACIÓN Y CONEXIÓN DE TABLERO BANCO DE CONDENSADORES QUE INCLUYE INTERRUPTOR REGULABLE 125AMP 35KA, TARJETA AUTOMATICA DE CORRECTOR DE FACTOR DE POTENCIA DE 5 PASOS, 1 CONDENSADOR 10KVAR 440VAC, 3 CONDENSADORES 20KVAR 440VACBARRAJE DE TIERRA</t>
  </si>
  <si>
    <t>INSTALACIÓN Y CONEXIÓN DE CCM2</t>
  </si>
  <si>
    <t>INSTALACIÓN Y CONEXIÓN DE CCM3</t>
  </si>
  <si>
    <t>TN1</t>
  </si>
  <si>
    <t>TABLERO DISTRIBUCION BIFASICO 4CTO (NEUTRO + TIERRA)</t>
  </si>
  <si>
    <t>BREAKER ENCHUF 1X15 AMP</t>
  </si>
  <si>
    <t>BREAKER ENCHUF 2X15 AMP</t>
  </si>
  <si>
    <t>SALIDA PARA ILUMINACION EMT INCLUYE LAMPARA HERMETICA 2*18 T8 LED</t>
  </si>
  <si>
    <t>SALIDA PARA INTERRUPTOR SENCILLO EMT, INCLUYE INTERRUPTOR</t>
  </si>
  <si>
    <t>SALIDA PARA TOMACORRIENTE DOBLE DE USO GENERAL CON POLO A TIERRA</t>
  </si>
  <si>
    <t>REFLECTOR LED 100W IP65</t>
  </si>
  <si>
    <t>TN2</t>
  </si>
  <si>
    <t>TN3</t>
  </si>
  <si>
    <t>SALIDA PARA TOMACORRIENTE DOBLE DE USO GENERAL CON POLO A TIERRA}</t>
  </si>
  <si>
    <t>TN4</t>
  </si>
  <si>
    <t>TABLERO DISTRIBUCION BIFASICO 12CTO (NEUTRO + TIERRA)</t>
  </si>
  <si>
    <t>SALIDA PARA ILUMINACION EMT INCLUYE LAMPARA PANEL 60X60 45W</t>
  </si>
  <si>
    <t>SALIDA PARA ILUMINACION EMT INCLUYE LAMPARA PANEL RD 12W</t>
  </si>
  <si>
    <t>SALIDA PARA INTERRUPTOR DOBLE EMT, INCLUYE INTERRUPTOR</t>
  </si>
  <si>
    <t>SALIDA PARA TOMACORRIENTE DOBLE GFCI CON POLO A TIERRA</t>
  </si>
  <si>
    <t>CASETA CELADURIA</t>
  </si>
  <si>
    <t>MALLA TIERRA Y APANTALLAMIENTO</t>
  </si>
  <si>
    <t>Electrodo tipo Varilla Copperweld 2,4m*5/8"</t>
  </si>
  <si>
    <t>Cable de Cu No. 2/0 AWG desnudo</t>
  </si>
  <si>
    <t>Tierra Artificial</t>
  </si>
  <si>
    <t>kg</t>
  </si>
  <si>
    <t>Soldadura Exotermiga 115g</t>
  </si>
  <si>
    <t>Punta Captadora Aluminio 5/8" (con base)</t>
  </si>
  <si>
    <t>Caja de inspeccion para SPT 30*30*30cm con tapa</t>
  </si>
  <si>
    <t>AUTOMATIZACIÓN</t>
  </si>
  <si>
    <t>TABLERO DE PLC Y COMUNICACIONES (INCLUYE PROGRAMACION)</t>
  </si>
  <si>
    <t>INTERRUPTOR FLOTADOR (BOYA)</t>
  </si>
  <si>
    <t>CABLE DE SEÑAL 2*16</t>
  </si>
  <si>
    <t>TANQUE</t>
  </si>
  <si>
    <t>3#12 THHN PARA ILUMINACION PERIMETRAL</t>
  </si>
  <si>
    <t>Suministro e instalacion  de circuito ACSR 3*1/0 AWG</t>
  </si>
  <si>
    <t>Suministro e instalación de estructura terminal RA2-033</t>
  </si>
  <si>
    <t>Suministro e instalación de Referencia - 13.2 kV - Cruceta de 2400 mm, al centro. RA2-034</t>
  </si>
  <si>
    <t>VALOR TOTAL</t>
  </si>
  <si>
    <t>Suministro y transporte TABLERO DE TRANSFERENCIA</t>
  </si>
  <si>
    <t>Suministro y transporte TABLERO GENERAL DE BAJA TENSION</t>
  </si>
  <si>
    <t>Suministro y transporte TRANSFORMADOR SECO TRIFASICO CLASE H DE 10KVA 440/208-120VAC</t>
  </si>
  <si>
    <t>Suministro y transporte TABLERO BANCO DE CONDENSADORES QUE INCLUYE INTERRUPTOR REGULABLE 125AMP 35KA, TARJETA AUTOMATICA DE CORRECTOR DE FACTOR DE POTENCIA DE 5 PASOS, 1 CONDENSADOR 10KVAR 440VAC, 3 CONDENSADORES 20KVAR 440VACBARRAJE DE TIERRA</t>
  </si>
  <si>
    <t>Suministro y transporte CCM2</t>
  </si>
  <si>
    <t>Suministro y transporte CCM3</t>
  </si>
  <si>
    <t>Certificación RETIE (uso final)</t>
  </si>
  <si>
    <t>Suministro y transporte CELDA DE SECCIONADOR 13.200VAC</t>
  </si>
  <si>
    <t>Suministro y transporte DE TRNSFORMADOR SECO 300KVA/440V EN CELDA</t>
  </si>
  <si>
    <t>Suministro y transporte DE EQUIPO DE MEDIDA SEMIDIRECTA (INCLUYE MEDIDOR Y TCS)</t>
  </si>
  <si>
    <t>Certificación RETIE (red de media tensión, subestación)</t>
  </si>
  <si>
    <t>INSTALACIÓN Y CONEXIÓN DE CELDA DE SECCIONADOR 13.200VAC</t>
  </si>
  <si>
    <t>3#2 XLPE 133% DESDE POSTE MT HASTA TGBT</t>
  </si>
  <si>
    <t>1#2 CU DESNUDO - PUENTES</t>
  </si>
  <si>
    <t>CONJUNTO RA6-001</t>
  </si>
  <si>
    <t>Suministro e instalación de aisladero trifàsico en cruceta metálica RA2-007</t>
  </si>
  <si>
    <t>Desmonte de red MT bifasica ACSR (Cruce del Rio)</t>
  </si>
  <si>
    <t>Suministro e instalación de Referencia en ángulo 13.2 kV - Cruceta de 2400 mm, al centro. RA2-035</t>
  </si>
  <si>
    <t>Suministro e instalación de Suspensión - 13.2 kV - Cruceta de 2400 mm, al centro. RA2-031</t>
  </si>
  <si>
    <t>Suministro e instalación de poste de concreto 12m*750kg-f</t>
  </si>
  <si>
    <t>Suministro e instalación de conductor ACSR MT 4*1/0 (incluye cruce de rio)</t>
  </si>
  <si>
    <t>RESUMEN BALANCE</t>
  </si>
  <si>
    <t xml:space="preserve">CONSTRUCCION ACUEDUCTO DE ISTMINA FASE 2  Y FASE 3 ACTUALIZADO </t>
  </si>
  <si>
    <t>PRESUPUESTO CONSTRUCIÓN DE OBRAS DE ACUEDUCTO MUNICIPIO DE ISTMINA OBRA CIVIL  FASE 2 CONTRATO INCIAL</t>
  </si>
  <si>
    <t>PRESUPUESTO CONSTRUCIÓN DE OBRAS DE ACUEDUCTO MUNICIPIO DE ISTMINA SUMINISTRO  FASE 2 CONTRATO INICIAL</t>
  </si>
  <si>
    <t>VALOR COSTOS DIRECTOS</t>
  </si>
  <si>
    <t xml:space="preserve">PRESUPUESTO CONSTRUCIÓN DE OBRAS DE ACUEDUCTO MUNICIPIO DE ISTMINA OBRA CIVIL  FASE 3 </t>
  </si>
  <si>
    <t xml:space="preserve">PRESUPUESTO CONSTRUCIÓN DE OBRAS DE ACUEDUCTO MUNICIPIO DE ISTMINA SUMINISTRO  FASE 3 </t>
  </si>
  <si>
    <t>UTILIDAD 5%</t>
  </si>
  <si>
    <t>VALOR OBRAS Y SUMINISTRO FASE 2 INICIAL</t>
  </si>
  <si>
    <t>ADMINISTRACION  OBRA CIVIL 19%</t>
  </si>
  <si>
    <t>ADMINISTRACION  SUMINISTRO 10%</t>
  </si>
  <si>
    <t>PRESUPUESTO   FASE 2  ACTUALIZADA</t>
  </si>
  <si>
    <t>PRESUPUESTO CRUCES ESPECIALES FASE 2</t>
  </si>
  <si>
    <t>VALOR OBRAS Y SUMINISTRO FASE 3 ADICIONAL</t>
  </si>
  <si>
    <t>PRESUPUESTO CRUCES ESPECIALES FASE 3</t>
  </si>
  <si>
    <t>PRESUPUESTO CONSTRUCIÓN COMPONENTE ELECTRICO, COMPONENTES DE MEDIA Y BAJA MEDIA TENSIÓN MUNICIPIO DE ISTMINA OBRA CIVIL E INSTALACIÓN</t>
  </si>
  <si>
    <t>PRESUPUESTO CONSTRUCIÓN COMPONENTE ELECTRICO, COMPONENTES DE MEDIA Y BAJA MEDIA TENSIÓN MUNICIPIO DE ISTMINA SUMINISTROS</t>
  </si>
  <si>
    <t>TOTAL PROYECTO FASE 2 ACTUALIZADA</t>
  </si>
  <si>
    <t>VALOR OBRAS Y SUMINISTRO COMPONENTE ELECTRICO MT Y BT SIN GENERADORES</t>
  </si>
  <si>
    <t>VALOR TOTAL OBRAS FASE 2 CONTRATO ACTUALIZADO</t>
  </si>
  <si>
    <t>VALOR TOTAL OBRAS FASE 3 ACTUALIZADO APUS FINDETER DE FASE 2</t>
  </si>
  <si>
    <t>VALOR TOTAL OBRA PROYECTO FASE 2 VIABILIZADO POR MVCT</t>
  </si>
  <si>
    <t>Válvula de Compuerta Elástica HD Vastago no Ascendente JH Ø6"</t>
  </si>
  <si>
    <t>Válvula de Compuerta Elástica HD Vastago no Ascendente JH Ø4"</t>
  </si>
  <si>
    <t>Válvula de Compuerta Elástica HD Vastago no Ascendente JH Ø3"</t>
  </si>
  <si>
    <t>PPTO</t>
  </si>
  <si>
    <t>2 1/2"</t>
  </si>
  <si>
    <t>FASE 1</t>
  </si>
  <si>
    <t>PLANOS</t>
  </si>
  <si>
    <t>No. VALVULA</t>
  </si>
  <si>
    <t>FASE</t>
  </si>
  <si>
    <t>Válvula de Compuerta Elástica HD Vastago no Ascendente JH Ø2 1/2"</t>
  </si>
  <si>
    <t>SEC 1</t>
  </si>
  <si>
    <t>SEC 2</t>
  </si>
  <si>
    <t>SEC 3</t>
  </si>
  <si>
    <t>SEC 4</t>
  </si>
  <si>
    <t>SEC 5</t>
  </si>
  <si>
    <t>SEC 6</t>
  </si>
  <si>
    <t>SEC 7</t>
  </si>
  <si>
    <t>SEC 8</t>
  </si>
  <si>
    <t>SEC 9</t>
  </si>
  <si>
    <t>SEC 10</t>
  </si>
  <si>
    <t>SEC 11</t>
  </si>
  <si>
    <t>SEC 12</t>
  </si>
  <si>
    <t>SEC 13</t>
  </si>
  <si>
    <t>SEC 14</t>
  </si>
  <si>
    <t>SEC 15</t>
  </si>
  <si>
    <t>SEC 16</t>
  </si>
  <si>
    <t>SEC 17</t>
  </si>
  <si>
    <t>SEC 18</t>
  </si>
  <si>
    <t xml:space="preserve">CONSECUTIVO </t>
  </si>
  <si>
    <t>VALVULAS 2 1/2"</t>
  </si>
  <si>
    <t>VALVULAS 3"</t>
  </si>
  <si>
    <t>VALVULAS 4"</t>
  </si>
  <si>
    <t>VALVULAS 6"</t>
  </si>
  <si>
    <t>VALVULAS 8"</t>
  </si>
  <si>
    <t>VALVULAS 10"</t>
  </si>
  <si>
    <t>FASE 3</t>
  </si>
  <si>
    <t>VIADUCTO</t>
  </si>
  <si>
    <t>LONGITUD  (ML)</t>
  </si>
  <si>
    <t>PESO PERFILES VIGAS METÁLICAS KG</t>
  </si>
  <si>
    <t>VIADUCTOS FASE 1</t>
  </si>
  <si>
    <t>VIADUCTO Nº 04</t>
  </si>
  <si>
    <t>VIADUCTO Nº 7</t>
  </si>
  <si>
    <t>VIADUCTO Nº 109</t>
  </si>
  <si>
    <t>SUBTOTAL FASE 1</t>
  </si>
  <si>
    <t>VIADUCTOS FASE 2</t>
  </si>
  <si>
    <t>VIADUCTO Nº 23</t>
  </si>
  <si>
    <t>FASE 2</t>
  </si>
  <si>
    <t>VIADUCTO Nº 27</t>
  </si>
  <si>
    <t xml:space="preserve">VIADUCTO Nº 100 </t>
  </si>
  <si>
    <t>VIADUCTO Nº 104</t>
  </si>
  <si>
    <t>VIADUCTO Nº 101</t>
  </si>
  <si>
    <t xml:space="preserve">VIADUCTO Nº 102 </t>
  </si>
  <si>
    <t>VIADUCTO Nº 103</t>
  </si>
  <si>
    <t>SUBTOTAL FASE 2</t>
  </si>
  <si>
    <t>VIADUCTOS FASE 3</t>
  </si>
  <si>
    <t>VIADUCTO Nº 94</t>
  </si>
  <si>
    <t>VIADUCTO Nº 95</t>
  </si>
  <si>
    <t>VIADUCTO Nº 92</t>
  </si>
  <si>
    <t>VIADUCTO Nº 97</t>
  </si>
  <si>
    <t>VIADUCTO Nº 96</t>
  </si>
  <si>
    <t>VIADUCTO Nº 75</t>
  </si>
  <si>
    <t>VIADUCTO Nº 84</t>
  </si>
  <si>
    <t>VIADUCTO Nº  55</t>
  </si>
  <si>
    <t>VIADUCTO Nº  65</t>
  </si>
  <si>
    <t>VIADUCTO Nº  74</t>
  </si>
  <si>
    <t>VIADUCTO Nº  87</t>
  </si>
  <si>
    <t>SUBTOTAL FASE 3</t>
  </si>
  <si>
    <t>TOTAL LAS 3 FASES</t>
  </si>
  <si>
    <t>Transporte e instalación material de préstamo de la obra para relleno temporal tipo dique, alrededor de tubería de desviaciòn provisional Incluye bolsas de fique o plástico tipo costal</t>
  </si>
  <si>
    <t>Suministro e instalación tubería PVC sanitaria de 20" desvio provisional 3 Usos</t>
  </si>
  <si>
    <t>Suministro e instalación tubería PVC sanitaria de 24" desvìo provisional 3 Usos</t>
  </si>
  <si>
    <t>Suministro de Acero de refuerzo</t>
  </si>
  <si>
    <t xml:space="preserve">Concreto de 28 MPa  para zapatas y columnas </t>
  </si>
  <si>
    <t>Suministro transporte e instalación Sistema para Monitoreo tipo Pila - Bolardo según plano diseño</t>
  </si>
  <si>
    <t>PRESUPUESTO ESTIMADO OBRA CIVIL:"OPTIMIZACIÓN Y AMPLIACION DEL SISTEMA DE ACUEDUCTO DEL MUNICIPIO DE ISTMINA-FASE II"</t>
  </si>
  <si>
    <t>DESCRIPCIÓN</t>
  </si>
  <si>
    <t>UNIDAD</t>
  </si>
  <si>
    <t>CANTIDAD</t>
  </si>
  <si>
    <t>RED DE DISTRIBUCIÓN S-I</t>
  </si>
  <si>
    <t>ML TUBERIA</t>
  </si>
  <si>
    <t>2,3,2</t>
  </si>
  <si>
    <t>2,3,3</t>
  </si>
  <si>
    <t>Instalación de válvula de mariposa BxB Ø3"</t>
  </si>
  <si>
    <t>2,3,4</t>
  </si>
  <si>
    <t>Instalación de válvula de mariposa BxB Ø6"</t>
  </si>
  <si>
    <t>2,4,1</t>
  </si>
  <si>
    <t>2,4,2</t>
  </si>
  <si>
    <t>Instalación  Codo PVC 90° RDE 21 Ø3" gran radio union Z</t>
  </si>
  <si>
    <t>2,4,3</t>
  </si>
  <si>
    <t>2,4,5</t>
  </si>
  <si>
    <t>2,4,7</t>
  </si>
  <si>
    <t>2,4,9</t>
  </si>
  <si>
    <t>2,4,11</t>
  </si>
  <si>
    <t>Instalación Reduccion 6"x3" PVC presión</t>
  </si>
  <si>
    <t>2,4,12</t>
  </si>
  <si>
    <t>2,4,13</t>
  </si>
  <si>
    <t>Instalación Reduccion 8"x6" PVC presión</t>
  </si>
  <si>
    <t>2,4,14</t>
  </si>
  <si>
    <t>Instalación Empate HG a PVC 6"</t>
  </si>
  <si>
    <t>Concreto de 21 Mpa para anclajes</t>
  </si>
  <si>
    <t>VALOR TOTAL S1</t>
  </si>
  <si>
    <t>RED DE DISTRIBUCIÓN S-2</t>
  </si>
  <si>
    <t>3,1,1</t>
  </si>
  <si>
    <t>3,1,2</t>
  </si>
  <si>
    <t>3,2,1</t>
  </si>
  <si>
    <t>3,2,2</t>
  </si>
  <si>
    <t>3,2,3</t>
  </si>
  <si>
    <t>3,2,4</t>
  </si>
  <si>
    <t>3,2,5</t>
  </si>
  <si>
    <t>3,2,6</t>
  </si>
  <si>
    <t>3,2,7</t>
  </si>
  <si>
    <t>3,3,2</t>
  </si>
  <si>
    <t>3,3,3</t>
  </si>
  <si>
    <t>3,4,1</t>
  </si>
  <si>
    <t>3,4,2</t>
  </si>
  <si>
    <t>Instalación Codo PVC gran radio 90° RDE 26 Ø4"</t>
  </si>
  <si>
    <t>3,4,3</t>
  </si>
  <si>
    <t>3,4,5</t>
  </si>
  <si>
    <t>3,4,7</t>
  </si>
  <si>
    <t>3,4,8</t>
  </si>
  <si>
    <t>3,4,9</t>
  </si>
  <si>
    <t>3,4,10</t>
  </si>
  <si>
    <t>3,4,12</t>
  </si>
  <si>
    <t>3,4,14</t>
  </si>
  <si>
    <t>3,4,15</t>
  </si>
  <si>
    <t>3,5,1</t>
  </si>
  <si>
    <t>3,5,2</t>
  </si>
  <si>
    <t>3,6,1</t>
  </si>
  <si>
    <t>3,7,1</t>
  </si>
  <si>
    <t>3,8,1</t>
  </si>
  <si>
    <t>3,9,1</t>
  </si>
  <si>
    <t>3,9,2</t>
  </si>
  <si>
    <t>VALOR TOTAL S2</t>
  </si>
  <si>
    <t>RED DE DISTRIBUCIÓN S-3</t>
  </si>
  <si>
    <t>4,1,1</t>
  </si>
  <si>
    <t>4,1,2</t>
  </si>
  <si>
    <t>4,2,1</t>
  </si>
  <si>
    <t>4,2,2</t>
  </si>
  <si>
    <t>4,2,3</t>
  </si>
  <si>
    <t>4,2,4</t>
  </si>
  <si>
    <t>4,2,5</t>
  </si>
  <si>
    <t>4,2,6</t>
  </si>
  <si>
    <t>4,2,7</t>
  </si>
  <si>
    <t>4,3,1</t>
  </si>
  <si>
    <t>4,3,2</t>
  </si>
  <si>
    <t>4,3,3</t>
  </si>
  <si>
    <t>4,3,4</t>
  </si>
  <si>
    <t>Instalación de válvula de mariposa BxB Ø8"</t>
  </si>
  <si>
    <t>4,3,5</t>
  </si>
  <si>
    <t>4,3,6</t>
  </si>
  <si>
    <t>Instalación de válvula de mariposa BxB Ø4"</t>
  </si>
  <si>
    <t>4,4,2</t>
  </si>
  <si>
    <t>4,4,4</t>
  </si>
  <si>
    <t>4,4,5</t>
  </si>
  <si>
    <t>Instalación Codo PVC 22.5° RDE 21 Ø8" presión gran radio</t>
  </si>
  <si>
    <t>4,4,6</t>
  </si>
  <si>
    <t>4,4,9</t>
  </si>
  <si>
    <t>4,4,11</t>
  </si>
  <si>
    <t>Instalación Tee PVC Ø8" presión Union Z</t>
  </si>
  <si>
    <t>4,4,13</t>
  </si>
  <si>
    <t>Instalación  Tee PVC Ø4" presión Union Z</t>
  </si>
  <si>
    <t>4,4,14</t>
  </si>
  <si>
    <t>4,4,15</t>
  </si>
  <si>
    <t>4,4,16</t>
  </si>
  <si>
    <t xml:space="preserve">Reduccion 6"x4" PVC presiónInstalación </t>
  </si>
  <si>
    <t>4,4,17</t>
  </si>
  <si>
    <t>4,4,18</t>
  </si>
  <si>
    <t>Instalación  Empate HG a PVC 8"</t>
  </si>
  <si>
    <t>4,4,19</t>
  </si>
  <si>
    <t>4,5,1</t>
  </si>
  <si>
    <t>4,5,2</t>
  </si>
  <si>
    <t>4,6,1</t>
  </si>
  <si>
    <t>4,7,1</t>
  </si>
  <si>
    <t>4,8,1</t>
  </si>
  <si>
    <t>4,9,1</t>
  </si>
  <si>
    <t>4,9,2</t>
  </si>
  <si>
    <t>VALOR TOTAL S3</t>
  </si>
  <si>
    <t>RED DE DISTRIBUCIÓN S-4</t>
  </si>
  <si>
    <t>5,1,1</t>
  </si>
  <si>
    <t>5,1,2</t>
  </si>
  <si>
    <t>5,2,1</t>
  </si>
  <si>
    <t>5,2,2</t>
  </si>
  <si>
    <t>5,2,3</t>
  </si>
  <si>
    <t>5,2,4</t>
  </si>
  <si>
    <t>5,2,5</t>
  </si>
  <si>
    <t>5,2,6</t>
  </si>
  <si>
    <t>5,2,7</t>
  </si>
  <si>
    <t>5,3,1</t>
  </si>
  <si>
    <t>5,3,2</t>
  </si>
  <si>
    <t>5,3,3</t>
  </si>
  <si>
    <t>5,3,4</t>
  </si>
  <si>
    <t>5,3,5</t>
  </si>
  <si>
    <t>5,3,6</t>
  </si>
  <si>
    <t>5,3,7</t>
  </si>
  <si>
    <t>5,3,8</t>
  </si>
  <si>
    <t>5,4,1</t>
  </si>
  <si>
    <t>5,4,2</t>
  </si>
  <si>
    <t>5,4,4</t>
  </si>
  <si>
    <t>5,4,5</t>
  </si>
  <si>
    <t>5,4,6</t>
  </si>
  <si>
    <t>5,4,7</t>
  </si>
  <si>
    <t>5,4,8</t>
  </si>
  <si>
    <t>5,4,9</t>
  </si>
  <si>
    <t>5,4,10</t>
  </si>
  <si>
    <t>5,4,11</t>
  </si>
  <si>
    <t>5,4,12</t>
  </si>
  <si>
    <t>5,4,13</t>
  </si>
  <si>
    <t>5,4,14</t>
  </si>
  <si>
    <t>5,4,15</t>
  </si>
  <si>
    <t>5,4,16</t>
  </si>
  <si>
    <t>5,4,17</t>
  </si>
  <si>
    <t>5,4,18</t>
  </si>
  <si>
    <t>5,4,19</t>
  </si>
  <si>
    <t>5,4,20</t>
  </si>
  <si>
    <t>5,4,21</t>
  </si>
  <si>
    <t>5,4,22</t>
  </si>
  <si>
    <t>5,4,23</t>
  </si>
  <si>
    <t>5,4,24</t>
  </si>
  <si>
    <t>5,5,1</t>
  </si>
  <si>
    <t>5,5,2</t>
  </si>
  <si>
    <t>5,6,1</t>
  </si>
  <si>
    <t>5,7,1</t>
  </si>
  <si>
    <t>Accesorios hidrantes</t>
  </si>
  <si>
    <t>5,8,1</t>
  </si>
  <si>
    <t>Instalación Hidrante Tipo Chicago 3" o equivalente</t>
  </si>
  <si>
    <t>5,9,1</t>
  </si>
  <si>
    <t>5,10,1</t>
  </si>
  <si>
    <t>5,10,2</t>
  </si>
  <si>
    <t>VALOR TOTAL S4</t>
  </si>
  <si>
    <t>RED DE DISTRIBUCIÓN S-15</t>
  </si>
  <si>
    <t>6,1,1</t>
  </si>
  <si>
    <t>6,1,2</t>
  </si>
  <si>
    <t>6,2,1</t>
  </si>
  <si>
    <t>6,2,2</t>
  </si>
  <si>
    <t>6,2,3</t>
  </si>
  <si>
    <t>6,2,4</t>
  </si>
  <si>
    <t>6,2,5</t>
  </si>
  <si>
    <t>6,2,6</t>
  </si>
  <si>
    <t>6,2,7</t>
  </si>
  <si>
    <t>6,3,1</t>
  </si>
  <si>
    <t>6,3,2</t>
  </si>
  <si>
    <t>6,3,4</t>
  </si>
  <si>
    <t>Válvula de mariposa BxB Ø6"</t>
  </si>
  <si>
    <t xml:space="preserve"> Instalacion Accesorios</t>
  </si>
  <si>
    <t>6,4,1</t>
  </si>
  <si>
    <t>6,4,2</t>
  </si>
  <si>
    <t>6,4,3</t>
  </si>
  <si>
    <t>6,4,4</t>
  </si>
  <si>
    <t>Instalación  Codo PVC gran radio 45° RDE 21 Ø6"</t>
  </si>
  <si>
    <t>6,4,5</t>
  </si>
  <si>
    <t>6,4,6</t>
  </si>
  <si>
    <t>Instalación  Codo PVC gran radio 45° RDE 21 Ø3"</t>
  </si>
  <si>
    <t>6,4,7</t>
  </si>
  <si>
    <t>Instalación  Codo PVC 22.5° RDE 21 Ø8" presión gran radio</t>
  </si>
  <si>
    <t>6,4,8</t>
  </si>
  <si>
    <t>Instalación  Codo PVC gran radio 22.5° RDE 21 Ø6"</t>
  </si>
  <si>
    <t>6,4,9</t>
  </si>
  <si>
    <t>Instalación  Codo PVC gran radio 22.5° RDE 21 Ø3"</t>
  </si>
  <si>
    <t>6,4,10</t>
  </si>
  <si>
    <t>Instalación  Codo PVC gran radio 11.25° RDE 21 Ø6"</t>
  </si>
  <si>
    <t>6,4,11</t>
  </si>
  <si>
    <t>Instalación  Codo PVC gran radio 11.25° RDE 21 Ø4"</t>
  </si>
  <si>
    <t>6,4,12</t>
  </si>
  <si>
    <t>Instalación  Codo PVC gran radio 11.25° RDE 21 Ø3"</t>
  </si>
  <si>
    <t>6,4,13</t>
  </si>
  <si>
    <t>Instalación  Tee PVC Ø6" presión Union Z</t>
  </si>
  <si>
    <t>6,4,14</t>
  </si>
  <si>
    <t>6,4,15</t>
  </si>
  <si>
    <t>Instalación  Tee PVC Ø3" presión uz</t>
  </si>
  <si>
    <t>6,4,16</t>
  </si>
  <si>
    <t>Instalación  Cruz HD Ø6" presión junta PVC</t>
  </si>
  <si>
    <t>6,4,17</t>
  </si>
  <si>
    <t>Instalación  Reduccion 4"x3" PVC presión</t>
  </si>
  <si>
    <t>6,4,18</t>
  </si>
  <si>
    <t>Instalación   educcion 6"x3" PVC presión</t>
  </si>
  <si>
    <t>6,4,19</t>
  </si>
  <si>
    <t>Instalación  Reduccion 6"x4" PVC presión</t>
  </si>
  <si>
    <t>6,4,21</t>
  </si>
  <si>
    <t>6,4,22</t>
  </si>
  <si>
    <t>Instalación Empate HG a PVC 3"</t>
  </si>
  <si>
    <t>6,5,1</t>
  </si>
  <si>
    <t>6,5,2</t>
  </si>
  <si>
    <t>6,6,1</t>
  </si>
  <si>
    <t>6,7,1</t>
  </si>
  <si>
    <t>6,8,1</t>
  </si>
  <si>
    <t>6,9,1</t>
  </si>
  <si>
    <t>6,9,2</t>
  </si>
  <si>
    <t>VALOR TOTAL S15</t>
  </si>
  <si>
    <t>RED DE DISTRIBUCIÓN S-16</t>
  </si>
  <si>
    <t>7,1,1</t>
  </si>
  <si>
    <t>7,1,2</t>
  </si>
  <si>
    <t>7,2,1</t>
  </si>
  <si>
    <t>7,2,2</t>
  </si>
  <si>
    <t>7,2,3</t>
  </si>
  <si>
    <t>7,2,4</t>
  </si>
  <si>
    <t>7,2,5</t>
  </si>
  <si>
    <t>7,2,6</t>
  </si>
  <si>
    <t>7,2,7</t>
  </si>
  <si>
    <t>7,3,1</t>
  </si>
  <si>
    <t>7,3,2</t>
  </si>
  <si>
    <t>7,3,3</t>
  </si>
  <si>
    <t>7,3,5</t>
  </si>
  <si>
    <t>7,3,6</t>
  </si>
  <si>
    <t>7,3,7</t>
  </si>
  <si>
    <t>7,3,8</t>
  </si>
  <si>
    <t>7,4,1</t>
  </si>
  <si>
    <t>Instalación  Codo PVC gran radio 90° RDE 21 Ø6"</t>
  </si>
  <si>
    <t>7,4,2</t>
  </si>
  <si>
    <t>Instalación  Codo PVC gran radio 90° RDE 26 Ø4"</t>
  </si>
  <si>
    <t>7,4,3</t>
  </si>
  <si>
    <t>Instalación  Codo PVC gran radio 45° RDE 21 Ø4"</t>
  </si>
  <si>
    <t>7,4,4</t>
  </si>
  <si>
    <t>Instalación  Codo PVC gran radio 22.5° RDE 21 Ø4"</t>
  </si>
  <si>
    <t>7,4,5</t>
  </si>
  <si>
    <t>7,4,6</t>
  </si>
  <si>
    <t>7,4,8</t>
  </si>
  <si>
    <t>7,4,9</t>
  </si>
  <si>
    <t>7,4,10</t>
  </si>
  <si>
    <t>7,4,11</t>
  </si>
  <si>
    <t>7,4,13</t>
  </si>
  <si>
    <t>7,4,14</t>
  </si>
  <si>
    <t>7,4,15</t>
  </si>
  <si>
    <t>7,5,1</t>
  </si>
  <si>
    <t>7,5,2</t>
  </si>
  <si>
    <t>7,6,1</t>
  </si>
  <si>
    <t>7,7,1</t>
  </si>
  <si>
    <t>7,8,1</t>
  </si>
  <si>
    <t>7,9,1</t>
  </si>
  <si>
    <t>7,9,2</t>
  </si>
  <si>
    <t>VALOR TOTAL S16</t>
  </si>
  <si>
    <t>RED DE DISTRIBUCIÓN S-17</t>
  </si>
  <si>
    <t>8,1,1</t>
  </si>
  <si>
    <t>8,1,2</t>
  </si>
  <si>
    <t>8,2,1</t>
  </si>
  <si>
    <t>8,2,2</t>
  </si>
  <si>
    <t>8,2,3</t>
  </si>
  <si>
    <t>8,2,4</t>
  </si>
  <si>
    <t>8,2,5</t>
  </si>
  <si>
    <t>8,2,6</t>
  </si>
  <si>
    <t>8,2,7</t>
  </si>
  <si>
    <t>8,3,1</t>
  </si>
  <si>
    <t>8,3,2</t>
  </si>
  <si>
    <t>8,3,3</t>
  </si>
  <si>
    <t>8,3,4</t>
  </si>
  <si>
    <t>8,3,5</t>
  </si>
  <si>
    <t>8,4,1</t>
  </si>
  <si>
    <t>8,4,2</t>
  </si>
  <si>
    <t>8,4,3</t>
  </si>
  <si>
    <t>8,4,4</t>
  </si>
  <si>
    <t>8,4,5</t>
  </si>
  <si>
    <t>8,4,6</t>
  </si>
  <si>
    <t>8,4,7</t>
  </si>
  <si>
    <t>8,4,8</t>
  </si>
  <si>
    <t>8,4,9</t>
  </si>
  <si>
    <t>8,4,10</t>
  </si>
  <si>
    <t>8,4,11</t>
  </si>
  <si>
    <t>Instalación  Codo PVC gran radio 11.25° RDE 21 Ø8"</t>
  </si>
  <si>
    <t>8,4,12</t>
  </si>
  <si>
    <t>8,4,13</t>
  </si>
  <si>
    <t>8,4,14</t>
  </si>
  <si>
    <t>8,4,15</t>
  </si>
  <si>
    <t>Instalación  Tee PVC Ø8" presión Union Z</t>
  </si>
  <si>
    <t>8,4,16</t>
  </si>
  <si>
    <t>8,4,17</t>
  </si>
  <si>
    <t>8,4,18</t>
  </si>
  <si>
    <t>8,4,19</t>
  </si>
  <si>
    <t>8,4,20</t>
  </si>
  <si>
    <t>8,4,21</t>
  </si>
  <si>
    <t>8,4,22</t>
  </si>
  <si>
    <t>8,4,23</t>
  </si>
  <si>
    <t>8,4,24</t>
  </si>
  <si>
    <t>8,4,25</t>
  </si>
  <si>
    <t>8,4,26</t>
  </si>
  <si>
    <t>8,5,1</t>
  </si>
  <si>
    <t>8,5,2</t>
  </si>
  <si>
    <t>8,6,1</t>
  </si>
  <si>
    <t>8,7,1</t>
  </si>
  <si>
    <t>8,8,1</t>
  </si>
  <si>
    <t>8,9,1</t>
  </si>
  <si>
    <t>8,9,2</t>
  </si>
  <si>
    <t>VALOR TOTAL S17</t>
  </si>
  <si>
    <t>RED DE DISTRIBUCIÓN S-18</t>
  </si>
  <si>
    <t>9,2,2</t>
  </si>
  <si>
    <t>9,2,3</t>
  </si>
  <si>
    <t>9,2,4</t>
  </si>
  <si>
    <t>9,2,5</t>
  </si>
  <si>
    <t>9,2,6</t>
  </si>
  <si>
    <t>9,2,7</t>
  </si>
  <si>
    <t>9,3,1</t>
  </si>
  <si>
    <t>9,3,2</t>
  </si>
  <si>
    <t>9,3,3</t>
  </si>
  <si>
    <t>9,3,4</t>
  </si>
  <si>
    <t>9,3,5</t>
  </si>
  <si>
    <t>9,4,1</t>
  </si>
  <si>
    <t>9,4,2</t>
  </si>
  <si>
    <t>9,4,3</t>
  </si>
  <si>
    <t>9,4,4</t>
  </si>
  <si>
    <t>9,4,5</t>
  </si>
  <si>
    <t>9,4,6</t>
  </si>
  <si>
    <t>9,4,7</t>
  </si>
  <si>
    <t>9,4,8</t>
  </si>
  <si>
    <t>9,4,9</t>
  </si>
  <si>
    <t>9,4,10</t>
  </si>
  <si>
    <t>9,4,11</t>
  </si>
  <si>
    <t>9,4,12</t>
  </si>
  <si>
    <t>9,4,13</t>
  </si>
  <si>
    <t>9,4,14</t>
  </si>
  <si>
    <t>9,4,15</t>
  </si>
  <si>
    <t>9,4,16</t>
  </si>
  <si>
    <t>9,4,17</t>
  </si>
  <si>
    <t>9,4,18</t>
  </si>
  <si>
    <t>9,4,19</t>
  </si>
  <si>
    <t>9,4,20</t>
  </si>
  <si>
    <t>9,4,21</t>
  </si>
  <si>
    <t>9,5,1</t>
  </si>
  <si>
    <t>9,5,2</t>
  </si>
  <si>
    <t>9,6,1</t>
  </si>
  <si>
    <t>9,7,1</t>
  </si>
  <si>
    <t>9,8,1</t>
  </si>
  <si>
    <t>9,9,1</t>
  </si>
  <si>
    <t>9,9,2</t>
  </si>
  <si>
    <t>VALOR TOTAL S18</t>
  </si>
  <si>
    <t>Excavación y Relleno</t>
  </si>
  <si>
    <t>10,1,1</t>
  </si>
  <si>
    <t>10,1,2</t>
  </si>
  <si>
    <t>10,1,3</t>
  </si>
  <si>
    <t>Concretos</t>
  </si>
  <si>
    <t>10,2,1</t>
  </si>
  <si>
    <t>Concreto F'c 28 Mpa  para caja de macromedicion</t>
  </si>
  <si>
    <t>10,2,2</t>
  </si>
  <si>
    <t>10,3,1</t>
  </si>
  <si>
    <t>10,4,1</t>
  </si>
  <si>
    <t>Suministro e Instalación tapa lámina alfajor de 0.8x0.8x0,04m</t>
  </si>
  <si>
    <t>Escalera de gato</t>
  </si>
  <si>
    <t>10,5,1</t>
  </si>
  <si>
    <t>Instalación</t>
  </si>
  <si>
    <t>10,6,1</t>
  </si>
  <si>
    <t>Instalación de válvula ventosa de 1 y 2 cámaras</t>
  </si>
  <si>
    <t>10,6,2</t>
  </si>
  <si>
    <t>Instalación de válvula tipo waffer 4"- 8"</t>
  </si>
  <si>
    <t>10,6,3</t>
  </si>
  <si>
    <t>Instalación de niple de 4" a 6"</t>
  </si>
  <si>
    <t>10,6,4</t>
  </si>
  <si>
    <t>Instalación de unión universal todos los diametros</t>
  </si>
  <si>
    <t>VALOR TOTAL ESTACIÓN MACROMEDICIÓN</t>
  </si>
  <si>
    <t xml:space="preserve">AIU </t>
  </si>
  <si>
    <t>IVA SOBRE LA UTILIDAD</t>
  </si>
  <si>
    <t>EDIFICIO DE OPERACIÓN DE LA PTAP</t>
  </si>
  <si>
    <t>Localización, replanteo  de edificaciones</t>
  </si>
  <si>
    <t>Descapote y limpieza</t>
  </si>
  <si>
    <t>Suministro e instalación Concreto de 28 Mpa,  para muros, placas, columnas,mezclado en obra, incluye suministro de formaleta</t>
  </si>
  <si>
    <t>Suministro e instalación concreto ciclópeo Clase G.</t>
  </si>
  <si>
    <t xml:space="preserve">Instalación tubería PVC Edificio de Operaciones </t>
  </si>
  <si>
    <t>VARIOS ADECUACIONES INFRAESTRUCTURA Y PREDIO</t>
  </si>
  <si>
    <t>Acabados edificio</t>
  </si>
  <si>
    <t>12,1,1</t>
  </si>
  <si>
    <t>Suministro e instalación de muro de ladrillo prensado a la vista ambas caras e=15cm</t>
  </si>
  <si>
    <t>12,1,2</t>
  </si>
  <si>
    <t>Suministro e instalación de puerta metálica incluye marco y chapa</t>
  </si>
  <si>
    <t>12,1,3</t>
  </si>
  <si>
    <t>Suministro e instalación de ventana en marco de lámina  incluido vidrio incluye anticorrosivo</t>
  </si>
  <si>
    <t>12,1,4</t>
  </si>
  <si>
    <t>Suministro e instalación de techo a dos aguas incluye estructura, cubierta y canaleta</t>
  </si>
  <si>
    <t>12,1,5</t>
  </si>
  <si>
    <t>Suministro e instalación de mesón para lavaplatos en placa de concreto con e=5cm</t>
  </si>
  <si>
    <t>REDES HIDRÁULICAS Y DE BAÑO</t>
  </si>
  <si>
    <t>Suministro e instalación de aparatos de baño (lavamanos, sanitario, ducha)</t>
  </si>
  <si>
    <t>Suministro e instalación de lavaplatos</t>
  </si>
  <si>
    <t>Suministro e instalación de caja de inspección tipo COLEMPAQUES  o equivalente</t>
  </si>
  <si>
    <t>Suministro e instalación - Tanque séptico 2000 L tipo COLEMPAQUES o equivalente</t>
  </si>
  <si>
    <t>Suministro e Instalación -Trampa de grasas 250 L tipo COLEMPAQUES o equivalente</t>
  </si>
  <si>
    <t>Suministro e instalación de tanque elevado 2000 L tipo COLEMPAQUES o equivalente</t>
  </si>
  <si>
    <t>REDES DE BAJA TENSIÓN</t>
  </si>
  <si>
    <t>Salida iluminación aplique (tipo LED 50W) Uso exterior IP 44; Prom 4m</t>
  </si>
  <si>
    <t>Salida iluminaria ahorradora, Prom 15m</t>
  </si>
  <si>
    <t>Salida lámpara fluorecente; Prom 4m</t>
  </si>
  <si>
    <t>Lámpara de emergencia automática</t>
  </si>
  <si>
    <t>Salida interruptor sencillo; Prom 6m</t>
  </si>
  <si>
    <t>Salida interruptor doble; Prom 5m</t>
  </si>
  <si>
    <t>Salida tomacorriente doble uso general; Prom 5m</t>
  </si>
  <si>
    <t>Salida tomacorriente doble GFCI; Prom 5m</t>
  </si>
  <si>
    <t>Caja trifásica de 12 circuitos</t>
  </si>
  <si>
    <t>Caja monofásica de 4 circuitos</t>
  </si>
  <si>
    <t>Interruptores enchufables de 1X15  A - 240 v - 10 ka</t>
  </si>
  <si>
    <t>Interruptores industriales de 3X20  A - 240 v - 10 ka</t>
  </si>
  <si>
    <t>Interruptores industriales de 3X40  A - 240 v - 10 ka</t>
  </si>
  <si>
    <t>Interruptores industriales de 3X80 regulables  A - 240 v - 10 ka</t>
  </si>
  <si>
    <t>Interruptores industriales de 3X50  A - 240 v - 10 ka</t>
  </si>
  <si>
    <t>Interruptores industriales de 3X250 50kA regulable a - 240 v - 10 ka</t>
  </si>
  <si>
    <t>Interruptores industriales tripolares graduables de 400 a 1000 A - 70 ka</t>
  </si>
  <si>
    <t>Circuito en 3X10+1X10+1X10T - Incluye tubería Conduit EMT 1"</t>
  </si>
  <si>
    <t>Circuito 3X12+1X12T - Incluye tubería Conduit EMT 3/4"</t>
  </si>
  <si>
    <t>Circuito en 3X8+1X10T - Incluye tubería Conduit EMT 1"</t>
  </si>
  <si>
    <t>Circuito en 3X6+1X10T - Incluye tubería Conduit EMT 1"</t>
  </si>
  <si>
    <t>Circuito 6X2+1X4T Incluye tubería Conduit EMT 2"</t>
  </si>
  <si>
    <t>Cirucito en 6X500 MCM+1X1/0T - Incluye tubería Conduit EMT 4"</t>
  </si>
  <si>
    <t>Circuito 6X4/0+1X2T Incluye tubería Conduit EMT 3"</t>
  </si>
  <si>
    <t>Circuito control en 5X16 300V PVC  - Incluye tubería Conduit EMT  1/2"</t>
  </si>
  <si>
    <t>Circuito en 6X500 MCM+ 2X500 MCM +1X2/0T - Incluye tubería Conduit EMT 6"</t>
  </si>
  <si>
    <t>Motor 150HP</t>
  </si>
  <si>
    <t>CCM para bombas 150 HP 460 /127 V 60 Hz 500KVA</t>
  </si>
  <si>
    <t>CCM para bombas 24HP 440 /120 V 60 Hz</t>
  </si>
  <si>
    <t xml:space="preserve">Suministro e instalación de equipo de medida indirecta totalizadora de baja tensión en poste - transformador trifásico 13200/208-120 V -500 KVA . Medidor electrónico de tres elementos en caja tipo interperie a 1,50 m de la base. Equipo homologado. </t>
  </si>
  <si>
    <t xml:space="preserve">Suministro, instalación y pueta en funcionamiento de transformador 500 KVA ONAN trifásico 13.2kV/440V </t>
  </si>
  <si>
    <t>Suministro, instalación y puesta en funcionamiento transformador 10 KVA ONAN trifásico  440/220V</t>
  </si>
  <si>
    <t>Puesta a tierra - Bajante en cable de acero galvanizado Ø3/8" - Electrodo de puesta a tierra en acero galvanizado -Conectores adecuados - Tubería galvanizada pesada de 1/2"</t>
  </si>
  <si>
    <t>Red de media tensión trifásica en cable de Al ACSR Calibre 2 AWG - Sparrow</t>
  </si>
  <si>
    <t>Banco de ducto según Norma CS 207 - Incluye excavación, relleno y retiro de escombros canalización 2Ø2" PVC tipo TDP</t>
  </si>
  <si>
    <t>Suministro e instalación de caja de paso S3-001 - Incluye mano de obra, materiales, excavación, retiro de escombros, marco y tapa</t>
  </si>
  <si>
    <t>Suministro e instalación de poste de concreto reforzado 12 metros - Fibra de vidrio - 750 KGS - Hoologado - Cimentación corona - Pintura</t>
  </si>
  <si>
    <t>Red aérea para alumbrado exterior</t>
  </si>
  <si>
    <t>Suministro e instalción de planta eléctrica de 500 kVA 460 V 60 Hz</t>
  </si>
  <si>
    <t>Suministro e instalción de transferencia eléctrica automática trifásica 1000A 440 V 60 Hz</t>
  </si>
  <si>
    <t>Salida tomacorriente trifásica industrial; Prom 5m</t>
  </si>
  <si>
    <t>Suministro e instalación de estructura RA2-021  EPM - Suspensión cruceta volada de 2400</t>
  </si>
  <si>
    <t>Templete a tierra media tensión (Norma EPM)</t>
  </si>
  <si>
    <t>Motor 24HP</t>
  </si>
  <si>
    <t>Cortacircuito para 15KV-100A Kdvil</t>
  </si>
  <si>
    <t>Motor 20HP</t>
  </si>
  <si>
    <t>AIU</t>
  </si>
  <si>
    <t>ANDENES Y RAMPAS EN CONCRETO</t>
  </si>
  <si>
    <t>IVA</t>
  </si>
  <si>
    <t>Suministro e instalación de concreto 21 Mpa para andenes  y rampas; e=0,20m</t>
  </si>
  <si>
    <t>Instalación - Malla electro soldada calibre 5mm de 0,20X0,20m</t>
  </si>
  <si>
    <t>Cercos</t>
  </si>
  <si>
    <t>Suministro e instalación - Cerca viva</t>
  </si>
  <si>
    <t>Suministro e instalación de barandas de protección</t>
  </si>
  <si>
    <t>Suministro e instalación de caseta de vigilancia prefabricada</t>
  </si>
  <si>
    <t>VALOR TOTAL EDIFICIO PTAP</t>
  </si>
  <si>
    <t>VALOR TOTAL EDIFICIO + ESTACIÓN</t>
  </si>
  <si>
    <t xml:space="preserve">TOTAL COSTO DIRECTO OBRA CIVIL : </t>
  </si>
  <si>
    <t>Administración :</t>
  </si>
  <si>
    <t>Imprevisto:</t>
  </si>
  <si>
    <t>Utilidad:</t>
  </si>
  <si>
    <t xml:space="preserve">IVA SOBRE LA UTILIDAD (16%): </t>
  </si>
  <si>
    <t xml:space="preserve"> PRESUPUESTO OBRA CIVIL : </t>
  </si>
  <si>
    <t>PRESUPUESTO DE SUMINISTROS DE TUBERÍA PARA CONSTRUCCIÓN DE REDES DE ACUEDUCTO ISTMINA</t>
  </si>
  <si>
    <t>RED DE DISTRIBUCIÓN S-1</t>
  </si>
  <si>
    <t>1,3,7</t>
  </si>
  <si>
    <t>1,3,9</t>
  </si>
  <si>
    <t>1,3,10</t>
  </si>
  <si>
    <t>Válvula de mariposa BxB Ø3"</t>
  </si>
  <si>
    <t>1,3,15</t>
  </si>
  <si>
    <t>Válvula de mariposa BxB Ø4"</t>
  </si>
  <si>
    <t>1,3,16</t>
  </si>
  <si>
    <t>VALOR SUMINISTRO S1</t>
  </si>
  <si>
    <t>2,1,3</t>
  </si>
  <si>
    <t>Codo PVC gran radio 90° RDE 26 Ø4"</t>
  </si>
  <si>
    <t>2,3,5</t>
  </si>
  <si>
    <t>2,3,6</t>
  </si>
  <si>
    <t>2,3,7</t>
  </si>
  <si>
    <t>2,3,8</t>
  </si>
  <si>
    <t>2,3,9</t>
  </si>
  <si>
    <t>2,3,10</t>
  </si>
  <si>
    <t>2,3,11</t>
  </si>
  <si>
    <t>2,3,12</t>
  </si>
  <si>
    <t>2,3,13</t>
  </si>
  <si>
    <t>2,3,14</t>
  </si>
  <si>
    <t>2,3,15</t>
  </si>
  <si>
    <t>VALOR SUMINISTRO S2</t>
  </si>
  <si>
    <t>Válvula de mariposa BxB Ø8"</t>
  </si>
  <si>
    <t>Suministro de Acero</t>
  </si>
  <si>
    <t>3,3,4</t>
  </si>
  <si>
    <t>3,3,6</t>
  </si>
  <si>
    <t>3,3,7</t>
  </si>
  <si>
    <t>3,3,8</t>
  </si>
  <si>
    <t>3,3,9</t>
  </si>
  <si>
    <t>3,3,10</t>
  </si>
  <si>
    <t>3,3,11</t>
  </si>
  <si>
    <t>Tee PVC Ø8" presión Union Z</t>
  </si>
  <si>
    <t>3,3,12</t>
  </si>
  <si>
    <t>3,3,13</t>
  </si>
  <si>
    <t>3,3,14</t>
  </si>
  <si>
    <t>3,3,15</t>
  </si>
  <si>
    <t>3,3,16</t>
  </si>
  <si>
    <t>3,3,17</t>
  </si>
  <si>
    <t>VALOR SUMINISTROS S3</t>
  </si>
  <si>
    <t>4,1,3</t>
  </si>
  <si>
    <t>4,1,4</t>
  </si>
  <si>
    <t>4,1,5</t>
  </si>
  <si>
    <t>4,1,6</t>
  </si>
  <si>
    <t>4,1,7</t>
  </si>
  <si>
    <t>4,1,8</t>
  </si>
  <si>
    <t>4,3,7</t>
  </si>
  <si>
    <t>4,3,8</t>
  </si>
  <si>
    <t>4,3,9</t>
  </si>
  <si>
    <t>4,3,10</t>
  </si>
  <si>
    <t>4,3,12</t>
  </si>
  <si>
    <t>4,3,13</t>
  </si>
  <si>
    <t>4,3,14</t>
  </si>
  <si>
    <t>4,3,15</t>
  </si>
  <si>
    <t>4,3,16</t>
  </si>
  <si>
    <t>4,3,17</t>
  </si>
  <si>
    <t>4,3,18</t>
  </si>
  <si>
    <t>4,3,19</t>
  </si>
  <si>
    <t>4,3,20</t>
  </si>
  <si>
    <t>4,3,22</t>
  </si>
  <si>
    <t>4,3,23</t>
  </si>
  <si>
    <t>Tee PVC 6"x3" presion Union Z</t>
  </si>
  <si>
    <t>Niple HD 3" L=30cm ELxEL</t>
  </si>
  <si>
    <t>Niple HD 3" L=20cm ELxEB</t>
  </si>
  <si>
    <t>Pasamuro HD 3" L=15cm EBxEB</t>
  </si>
  <si>
    <t>Niple HD 3" L=45 cm EBxEL</t>
  </si>
  <si>
    <t>Niple HD 3" L=100 cm EBxEL</t>
  </si>
  <si>
    <t>Adaptador PVC-HG 6"</t>
  </si>
  <si>
    <t>Adaptador PVC-HG 4"</t>
  </si>
  <si>
    <t>Codo 90°HD 3"</t>
  </si>
  <si>
    <t>Válvula de compuerta elastica HD extremo junta hidráulica 3"</t>
  </si>
  <si>
    <t>Hidrante de 3"</t>
  </si>
  <si>
    <t>4,5,3</t>
  </si>
  <si>
    <t>4,5,4</t>
  </si>
  <si>
    <t>4,5,5</t>
  </si>
  <si>
    <t>4,5,6</t>
  </si>
  <si>
    <t>4,5,7</t>
  </si>
  <si>
    <t>4,5,8</t>
  </si>
  <si>
    <t>4,5,9</t>
  </si>
  <si>
    <t>VALOR SUMINISTROS S4</t>
  </si>
  <si>
    <t>5,1,3</t>
  </si>
  <si>
    <t>5,1,4</t>
  </si>
  <si>
    <t>5,3,9</t>
  </si>
  <si>
    <t>5,3,10</t>
  </si>
  <si>
    <t>5,3,11</t>
  </si>
  <si>
    <t>5,3,12</t>
  </si>
  <si>
    <t>5,3,13</t>
  </si>
  <si>
    <t>5,3,14</t>
  </si>
  <si>
    <t>5,3,15</t>
  </si>
  <si>
    <t>5,3,16</t>
  </si>
  <si>
    <t>Cruz HD Ø6" presión junta PVC</t>
  </si>
  <si>
    <t>5,3,17</t>
  </si>
  <si>
    <t>5,3,18</t>
  </si>
  <si>
    <t>5,3,19</t>
  </si>
  <si>
    <t>5,3,20</t>
  </si>
  <si>
    <t>5,3,21</t>
  </si>
  <si>
    <t>VALOR SUMINISTRO S15</t>
  </si>
  <si>
    <t>6,1,3</t>
  </si>
  <si>
    <t>6,1,4</t>
  </si>
  <si>
    <t>6,1,5</t>
  </si>
  <si>
    <t>6,1,6</t>
  </si>
  <si>
    <t>6,1,7</t>
  </si>
  <si>
    <t>6,1,8</t>
  </si>
  <si>
    <t>6,3,5</t>
  </si>
  <si>
    <t>6,3,6</t>
  </si>
  <si>
    <t>6,3,7</t>
  </si>
  <si>
    <t>6,3,8</t>
  </si>
  <si>
    <t>6,3,9</t>
  </si>
  <si>
    <t>6,3,10</t>
  </si>
  <si>
    <t>6,3,11</t>
  </si>
  <si>
    <t>6,3,12</t>
  </si>
  <si>
    <t>6,3,13</t>
  </si>
  <si>
    <t>6,3,14</t>
  </si>
  <si>
    <t>6,3,15</t>
  </si>
  <si>
    <t>6,3,16</t>
  </si>
  <si>
    <t>6,3,17</t>
  </si>
  <si>
    <t>6,3,18</t>
  </si>
  <si>
    <t>6,3,19</t>
  </si>
  <si>
    <t>6,3,20</t>
  </si>
  <si>
    <t>6,3,21</t>
  </si>
  <si>
    <t>6,3,22</t>
  </si>
  <si>
    <t>6,3,23</t>
  </si>
  <si>
    <t>6,3,24</t>
  </si>
  <si>
    <t>6,3,25</t>
  </si>
  <si>
    <t>6,3,26</t>
  </si>
  <si>
    <t>VALOR SUMINISTRO S16</t>
  </si>
  <si>
    <t>7,1,3</t>
  </si>
  <si>
    <t>7,1,4</t>
  </si>
  <si>
    <t>7,1,5</t>
  </si>
  <si>
    <t>7,3,9</t>
  </si>
  <si>
    <t>7,3,10</t>
  </si>
  <si>
    <t>7,3,11</t>
  </si>
  <si>
    <t>7,3,12</t>
  </si>
  <si>
    <t>7,3,13</t>
  </si>
  <si>
    <t>7,3,14</t>
  </si>
  <si>
    <t>7,3,15</t>
  </si>
  <si>
    <t>7,3,16</t>
  </si>
  <si>
    <t>VALOR SUMINISTRO S17</t>
  </si>
  <si>
    <t>8,1,3</t>
  </si>
  <si>
    <t>8,1,4</t>
  </si>
  <si>
    <t>8,1,5</t>
  </si>
  <si>
    <t>8,3,6</t>
  </si>
  <si>
    <t>8,3,7</t>
  </si>
  <si>
    <t>8,3,8</t>
  </si>
  <si>
    <t>8,3,9</t>
  </si>
  <si>
    <t>8,3,11</t>
  </si>
  <si>
    <t>8,3,12</t>
  </si>
  <si>
    <t>8,3,13</t>
  </si>
  <si>
    <t>8,3,14</t>
  </si>
  <si>
    <t>8,3,15</t>
  </si>
  <si>
    <t>8,3,16</t>
  </si>
  <si>
    <t>8,3,18</t>
  </si>
  <si>
    <t>8,3,19</t>
  </si>
  <si>
    <t>8,3,20</t>
  </si>
  <si>
    <t>8,3,21</t>
  </si>
  <si>
    <t>Registro de corte 1/2" en cobre</t>
  </si>
  <si>
    <t>VALOR SUMINISTRO S18</t>
  </si>
  <si>
    <t>VALOR SUMINISTRO ESTACIÓN</t>
  </si>
  <si>
    <t xml:space="preserve">Suministro de tubería PVC sanitaria 2" </t>
  </si>
  <si>
    <t>Suministro tubería PVC sanitaria 3" perforada</t>
  </si>
  <si>
    <t>Suministro de tubería sanitaria PVC 4"</t>
  </si>
  <si>
    <t>Suministro de tubería PVC RDE 21 1" presión</t>
  </si>
  <si>
    <t>Suministro de tubería PVC RDE 21 1/2" presión</t>
  </si>
  <si>
    <t>9,3,6</t>
  </si>
  <si>
    <t>Suministro de sifón sanitario PVC 2"</t>
  </si>
  <si>
    <t>9,3,7</t>
  </si>
  <si>
    <t>Suministro de codo PVC de 90° PVC Ø1"</t>
  </si>
  <si>
    <t>9,3,8</t>
  </si>
  <si>
    <t>Codo de 90° PVC sanitario Ø=2"</t>
  </si>
  <si>
    <t>9,3,9</t>
  </si>
  <si>
    <t>Suministro de Tee PVC presión 1/2"</t>
  </si>
  <si>
    <t>9,3,10</t>
  </si>
  <si>
    <t>Suministro de Tee PVC presión 1"</t>
  </si>
  <si>
    <t>9,3,11</t>
  </si>
  <si>
    <t>Suministro de Yee sanitaria PVC 2"</t>
  </si>
  <si>
    <t>9,3,12</t>
  </si>
  <si>
    <t>9,3,13</t>
  </si>
  <si>
    <t>VALOR SUMINISTRO EDIFICIO</t>
  </si>
  <si>
    <t xml:space="preserve">TOTAL COSTO DIRECTO OBRA ESTACION MACROMEDICION: </t>
  </si>
  <si>
    <t xml:space="preserve"> PRESUPUESTO OBRA ESTACION : </t>
  </si>
  <si>
    <t xml:space="preserve">TOTAL COSTO DIRECTO OBRA EDIFICIO OPERACIONES: </t>
  </si>
  <si>
    <t xml:space="preserve"> PRESUPUESTO OBRA EDIFICIO OPERACIONES : </t>
  </si>
  <si>
    <t xml:space="preserve">TOTAL COSTO DIRECTO SUMINISTROS : </t>
  </si>
  <si>
    <t xml:space="preserve">ADMINISTRACIÓN : </t>
  </si>
  <si>
    <t xml:space="preserve"> PRESUPUESTO SUMINISTRO : </t>
  </si>
  <si>
    <t>TOTAL PRESUPUESTO CONTRATO FINDETER:  (OBRA CIVIL + SUMINISTROS)</t>
  </si>
  <si>
    <t xml:space="preserve">Hidrante 3" </t>
  </si>
  <si>
    <t>HIDRANTES</t>
  </si>
  <si>
    <t>IVA UTILIDAD</t>
  </si>
  <si>
    <t xml:space="preserve">CONSOLIDADO HIDRANTES </t>
  </si>
  <si>
    <t>NUMERACION</t>
  </si>
  <si>
    <t>CONSOLIDADO MACROS</t>
  </si>
  <si>
    <t>CONSECUTIVO</t>
  </si>
  <si>
    <t>M1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</si>
  <si>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</si>
  <si>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</si>
  <si>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</si>
  <si>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</si>
  <si>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</si>
  <si>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</si>
  <si>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</si>
  <si>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</si>
  <si>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</si>
  <si>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CONSOLIDADO PURGAS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</si>
  <si>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</si>
  <si>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</si>
  <si>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</si>
  <si>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</si>
  <si>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</si>
  <si>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</si>
  <si>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</si>
  <si>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</si>
  <si>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</si>
  <si>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</si>
  <si>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</si>
  <si>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</si>
  <si>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</si>
  <si>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</si>
  <si>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</si>
  <si>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</si>
  <si>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CONSOLIDADO PILAS</t>
  </si>
  <si>
    <t>V-1</t>
  </si>
  <si>
    <t>V-2</t>
  </si>
  <si>
    <t>V-3</t>
  </si>
  <si>
    <t>V-4</t>
  </si>
  <si>
    <t>V-5</t>
  </si>
  <si>
    <t>V-6</t>
  </si>
  <si>
    <t>V-7</t>
  </si>
  <si>
    <t>V-8</t>
  </si>
  <si>
    <t>V-9</t>
  </si>
  <si>
    <t>V-10</t>
  </si>
  <si>
    <t>V-11</t>
  </si>
  <si>
    <t>V-12</t>
  </si>
  <si>
    <t>V-13</t>
  </si>
  <si>
    <t>V-14</t>
  </si>
  <si>
    <t>V-15</t>
  </si>
  <si>
    <t>V-16</t>
  </si>
  <si>
    <t>V-17</t>
  </si>
  <si>
    <t>V-18</t>
  </si>
  <si>
    <t>V-19</t>
  </si>
  <si>
    <t>V-20</t>
  </si>
  <si>
    <t>V-21</t>
  </si>
  <si>
    <t>V-22</t>
  </si>
  <si>
    <t>V-23</t>
  </si>
  <si>
    <t>V-24</t>
  </si>
  <si>
    <t>V-25</t>
  </si>
  <si>
    <t>V-26</t>
  </si>
  <si>
    <t>V-27</t>
  </si>
  <si>
    <t>V-28</t>
  </si>
  <si>
    <t>V-29</t>
  </si>
  <si>
    <t>V-30</t>
  </si>
  <si>
    <t>V-31</t>
  </si>
  <si>
    <t>V-32</t>
  </si>
  <si>
    <t>V-33</t>
  </si>
  <si>
    <t>V-34</t>
  </si>
  <si>
    <t>V-35</t>
  </si>
  <si>
    <t>V-36</t>
  </si>
  <si>
    <t>V-37</t>
  </si>
  <si>
    <t>V-38</t>
  </si>
  <si>
    <t>V-39</t>
  </si>
  <si>
    <t>V-40</t>
  </si>
  <si>
    <t>V-41</t>
  </si>
  <si>
    <t>V-42</t>
  </si>
  <si>
    <t>V-43</t>
  </si>
  <si>
    <t>V-44</t>
  </si>
  <si>
    <t>V-45</t>
  </si>
  <si>
    <t>V-46</t>
  </si>
  <si>
    <t>V-47</t>
  </si>
  <si>
    <t>V-48</t>
  </si>
  <si>
    <t>V-49</t>
  </si>
  <si>
    <t>V-50</t>
  </si>
  <si>
    <t>V-51</t>
  </si>
  <si>
    <t>V-52</t>
  </si>
  <si>
    <t>V-53</t>
  </si>
  <si>
    <t>V-54</t>
  </si>
  <si>
    <t>V-55</t>
  </si>
  <si>
    <t>V-56</t>
  </si>
  <si>
    <t>V-57</t>
  </si>
  <si>
    <t>V-58</t>
  </si>
  <si>
    <t>V-59</t>
  </si>
  <si>
    <t>V-60</t>
  </si>
  <si>
    <t>V-61</t>
  </si>
  <si>
    <t>V-62</t>
  </si>
  <si>
    <t>V-63</t>
  </si>
  <si>
    <t>V-64</t>
  </si>
  <si>
    <t>V-65</t>
  </si>
  <si>
    <t>V-66</t>
  </si>
  <si>
    <t>V-67</t>
  </si>
  <si>
    <t>V-68</t>
  </si>
  <si>
    <t>V-69</t>
  </si>
  <si>
    <t>V-70</t>
  </si>
  <si>
    <t>V-71</t>
  </si>
  <si>
    <t>V-72</t>
  </si>
  <si>
    <t>V-73</t>
  </si>
  <si>
    <t>V-74</t>
  </si>
  <si>
    <t>V-75</t>
  </si>
  <si>
    <t>V-76</t>
  </si>
  <si>
    <t>V-77</t>
  </si>
  <si>
    <t>V-78</t>
  </si>
  <si>
    <t>V-79</t>
  </si>
  <si>
    <t>V-80</t>
  </si>
  <si>
    <t>V-81</t>
  </si>
  <si>
    <t>V-82</t>
  </si>
  <si>
    <t>V-83</t>
  </si>
  <si>
    <t>V-84</t>
  </si>
  <si>
    <t>VS-01</t>
  </si>
  <si>
    <t>VS-02</t>
  </si>
  <si>
    <t>VS-03</t>
  </si>
  <si>
    <t>VS-04</t>
  </si>
  <si>
    <t>VS-05</t>
  </si>
  <si>
    <t>VS-06</t>
  </si>
  <si>
    <t>VS-08</t>
  </si>
  <si>
    <t>VS-09</t>
  </si>
  <si>
    <t>VS-10</t>
  </si>
  <si>
    <t>VS-11</t>
  </si>
  <si>
    <t>VS-12</t>
  </si>
  <si>
    <t>VS-13</t>
  </si>
  <si>
    <t>VS-14</t>
  </si>
  <si>
    <t>VS-15</t>
  </si>
  <si>
    <t>VS-16</t>
  </si>
  <si>
    <t>VS-17</t>
  </si>
  <si>
    <t>VS-18</t>
  </si>
  <si>
    <t>VS-19</t>
  </si>
  <si>
    <t>VS-21</t>
  </si>
  <si>
    <t>VS-22</t>
  </si>
  <si>
    <t>VS-23</t>
  </si>
  <si>
    <t>VS-24</t>
  </si>
  <si>
    <t>VS-25</t>
  </si>
  <si>
    <t>VS-26</t>
  </si>
  <si>
    <t>VS-27</t>
  </si>
  <si>
    <t>VS-28</t>
  </si>
  <si>
    <t>VS-29</t>
  </si>
  <si>
    <t>VS-30</t>
  </si>
  <si>
    <t>VS-31</t>
  </si>
  <si>
    <t>VS-32</t>
  </si>
  <si>
    <t>VS-33</t>
  </si>
  <si>
    <t>VS-34</t>
  </si>
  <si>
    <t>VS-35</t>
  </si>
  <si>
    <t>VS-36</t>
  </si>
  <si>
    <t>VS-37</t>
  </si>
  <si>
    <t>VS-38</t>
  </si>
  <si>
    <t>VS-39</t>
  </si>
  <si>
    <t>VS-40</t>
  </si>
  <si>
    <t>VS-41</t>
  </si>
  <si>
    <t>VS-42</t>
  </si>
  <si>
    <t>VS-43</t>
  </si>
  <si>
    <t>VS-44</t>
  </si>
  <si>
    <t>VS-45</t>
  </si>
  <si>
    <t>VS-46</t>
  </si>
  <si>
    <t>VS-47</t>
  </si>
  <si>
    <t>VS-48</t>
  </si>
  <si>
    <t>VS-49</t>
  </si>
  <si>
    <t>VS-50</t>
  </si>
  <si>
    <t>VS-51</t>
  </si>
  <si>
    <t>VS-52</t>
  </si>
  <si>
    <t>VS-53</t>
  </si>
  <si>
    <t>VS-54</t>
  </si>
  <si>
    <t>VS-55</t>
  </si>
  <si>
    <t>VS-56</t>
  </si>
  <si>
    <t>VS-57</t>
  </si>
  <si>
    <t>VS-58</t>
  </si>
  <si>
    <t>VS-59</t>
  </si>
  <si>
    <t>VS-60</t>
  </si>
  <si>
    <t>VS-61</t>
  </si>
  <si>
    <t>VS-62</t>
  </si>
  <si>
    <t>VS-63</t>
  </si>
  <si>
    <t>VS-64</t>
  </si>
  <si>
    <t>VS-65</t>
  </si>
  <si>
    <t>VS-66</t>
  </si>
  <si>
    <t>VS-67</t>
  </si>
  <si>
    <t>VS-68</t>
  </si>
  <si>
    <t>VS-69</t>
  </si>
  <si>
    <t>VS-70</t>
  </si>
  <si>
    <t>VS-71</t>
  </si>
  <si>
    <t>VS-72</t>
  </si>
  <si>
    <t>VS-73</t>
  </si>
  <si>
    <t>VS-74</t>
  </si>
  <si>
    <t>VS-75</t>
  </si>
  <si>
    <t>VS-80</t>
  </si>
  <si>
    <t>VS-81</t>
  </si>
  <si>
    <t>VS-82</t>
  </si>
  <si>
    <t>VS-83</t>
  </si>
  <si>
    <t>VS-84</t>
  </si>
  <si>
    <t>VS-85</t>
  </si>
  <si>
    <t>VS-86</t>
  </si>
  <si>
    <t>VS-141</t>
  </si>
  <si>
    <t>VS-142</t>
  </si>
  <si>
    <t>VS-143</t>
  </si>
  <si>
    <t>VS-144</t>
  </si>
  <si>
    <t>VS-145</t>
  </si>
  <si>
    <t>VS-146</t>
  </si>
  <si>
    <t>VS-147</t>
  </si>
  <si>
    <t>VS-148</t>
  </si>
  <si>
    <t>VS-149</t>
  </si>
  <si>
    <t>VS-150</t>
  </si>
  <si>
    <t>VS-151</t>
  </si>
  <si>
    <t>VS-152</t>
  </si>
  <si>
    <t>VS-153</t>
  </si>
  <si>
    <t>VS-154</t>
  </si>
  <si>
    <t>VS-155</t>
  </si>
  <si>
    <t>VS-156</t>
  </si>
  <si>
    <t>VS-157</t>
  </si>
  <si>
    <t>VS-158</t>
  </si>
  <si>
    <t>VS-159</t>
  </si>
  <si>
    <t>VS-160</t>
  </si>
  <si>
    <t>VS-161</t>
  </si>
  <si>
    <t>VS-172</t>
  </si>
  <si>
    <t>VS-173</t>
  </si>
  <si>
    <t>VS-174</t>
  </si>
  <si>
    <t>VS-175</t>
  </si>
  <si>
    <t>VS-176</t>
  </si>
  <si>
    <t>VS-177</t>
  </si>
  <si>
    <t>VS-178</t>
  </si>
  <si>
    <t>VS-179</t>
  </si>
  <si>
    <t>VS-180</t>
  </si>
  <si>
    <t>VS-181</t>
  </si>
  <si>
    <t>VS-182</t>
  </si>
  <si>
    <t>CONCRETO CAJAS VÁLVULAS</t>
  </si>
  <si>
    <t>M3 POR CAJA</t>
  </si>
  <si>
    <t>CONCRETO DE 21 MPA PARA ANCLAJES Y CÁMARAS VALVULAS</t>
  </si>
  <si>
    <t>CONCRETO DE 21 MPA PARA CÁMARAS VALVULAS</t>
  </si>
  <si>
    <t>CONCRETO DE 21 MPA PARA ANCLAJES</t>
  </si>
  <si>
    <t>Volumen concreto para cámaras de Válvulas</t>
  </si>
  <si>
    <t>Clasificación del anclaje a usar</t>
  </si>
  <si>
    <t>Tipo accesorio/Diámetro</t>
  </si>
  <si>
    <t>Tapa:</t>
  </si>
  <si>
    <t>0,80x0,50x0,18=</t>
  </si>
  <si>
    <t>m3</t>
  </si>
  <si>
    <t>Codo horizontal 11.25</t>
  </si>
  <si>
    <t>A</t>
  </si>
  <si>
    <t>Base:</t>
  </si>
  <si>
    <t>0,80x0,50x0,15=</t>
  </si>
  <si>
    <t>Codo horizontal 22.5</t>
  </si>
  <si>
    <t>B</t>
  </si>
  <si>
    <t>Muros:</t>
  </si>
  <si>
    <t>1,2x0,15x,8*2=</t>
  </si>
  <si>
    <t>Codo horizontal 45.0</t>
  </si>
  <si>
    <t>C</t>
  </si>
  <si>
    <t>1,2x0,15x,5*2=</t>
  </si>
  <si>
    <t>Codo horizontal 90.0</t>
  </si>
  <si>
    <t>D</t>
  </si>
  <si>
    <t>Tee, Válvula o tapón</t>
  </si>
  <si>
    <t>Codo vertical concavo 11.25</t>
  </si>
  <si>
    <t>Codo vertical concavo 22.5</t>
  </si>
  <si>
    <t>Codo vertical convexo 11.25</t>
  </si>
  <si>
    <t>Codo vertical convexo 22.5</t>
  </si>
  <si>
    <t>Dimensiones de los tipos de anclajes</t>
  </si>
  <si>
    <t>Tipo de anclaje</t>
  </si>
  <si>
    <t>H</t>
  </si>
  <si>
    <t>L</t>
  </si>
  <si>
    <t>VOLUMEN</t>
  </si>
  <si>
    <t>MACROMEDIDOR TIPICO</t>
  </si>
  <si>
    <t xml:space="preserve">Excavación manual de 0-2 mts. </t>
  </si>
  <si>
    <t xml:space="preserve">Pavimento de concreto rígido MR40, incluye acero de refuerzo </t>
  </si>
  <si>
    <t xml:space="preserve">Excavación Manual en material conglomerado </t>
  </si>
  <si>
    <t xml:space="preserve">Demolición de pavimento incluye corte con disco </t>
  </si>
  <si>
    <t>Preliminares</t>
  </si>
  <si>
    <t xml:space="preserve">ITEMS </t>
  </si>
  <si>
    <t xml:space="preserve">REDES DE DISTRIBUCION </t>
  </si>
  <si>
    <t>Instalación Tapón PVC  Ø2.5"</t>
  </si>
  <si>
    <t>Instalación de válvula de Compuerta Extremo JH Ø2.5"</t>
  </si>
  <si>
    <t>Concreto pobre de 14 Mpa para solados</t>
  </si>
  <si>
    <t>Concreto de 21 Mpa para anclajes y cámaras válvulas</t>
  </si>
  <si>
    <t xml:space="preserve">Tee HD Ø 6''x4'' bridada </t>
  </si>
  <si>
    <t>Otros</t>
  </si>
  <si>
    <t>Suministros e Instalación de elementos estación de macromedición</t>
  </si>
  <si>
    <t>Suministro e Instalación tapa de acceso de seguridad Ø0.6 m</t>
  </si>
  <si>
    <t>Suministro de Acero fy=420 Mpa</t>
  </si>
  <si>
    <t>Instalación de válvula de Compuerta Elástica HD Vástago no ascendente Extremo JH Ø6"</t>
  </si>
  <si>
    <t>Instalación de válvula de Compuerta Elástica HD Vástago no ascendente Extremo JH Ø4"</t>
  </si>
  <si>
    <t>Instalación de válvula de Compuerta Elástica HD Vástago no ascendente Extremo JH Ø3"</t>
  </si>
  <si>
    <t>Instalación Hidrante Tipo Chicago 3" o equivalente (incluye instalación accesorios)</t>
  </si>
  <si>
    <t>Válvula de compuerta elástica HD extremo junta hidráulica 3"</t>
  </si>
  <si>
    <t>Instalación de Empates de HG a PVC de 3'' a 6''</t>
  </si>
  <si>
    <t>Suministros para acometidas y micromedidores</t>
  </si>
  <si>
    <t>SUBTOTAL COSTO DIRECTO OBRAS CIVILES</t>
  </si>
  <si>
    <t>SUBTOTAL COSTO DIRECTO SUMINISTROS</t>
  </si>
  <si>
    <t>Niple HD 3" L=15cm EBxEB</t>
  </si>
  <si>
    <t>PASOS ESPECIALES</t>
  </si>
  <si>
    <t>Excavación mecánica a cualquier profundidad y material</t>
  </si>
  <si>
    <t xml:space="preserve">Concretos </t>
  </si>
  <si>
    <t xml:space="preserve">Concreto de 21 MPa  para cárcamos </t>
  </si>
  <si>
    <t>Instalación de acero de refuerzo fy=420 Mpa</t>
  </si>
  <si>
    <t>Estructura Metálica</t>
  </si>
  <si>
    <t>Construccion de estructura para cercha en acero estructural  ASTM A 572 - A 36 (incluye tornillería, perfiles según diseños, soldadura, platinas, pernos de anclaje, abrazadera metálica, anticorrosivo, pintura final y todo lo necesario para su correcta instalación)</t>
  </si>
  <si>
    <t>Suministro e instalacion de soportes para tubería  para los pasos en puentes existentes incluye: anclajes l&lt;70 Cms, inc. Angulos, platinas, pintura, anticorrosivo, andamios, tormillería y todo lo necesario para su correcta instalación)</t>
  </si>
  <si>
    <t>Pintura de protección tuberías expuestas a la intemperie</t>
  </si>
  <si>
    <t>TOTAL SUMINISTROS</t>
  </si>
  <si>
    <t>OBRAS ELÉCTRICAS</t>
  </si>
  <si>
    <t>RED DE BAJA Y MEDIA TENSIÓN</t>
  </si>
  <si>
    <t>REGISTROS ELÉCTRICOS</t>
  </si>
  <si>
    <t xml:space="preserve">RED DE BAJA TENSIÓN- CUARTO ELÉCTRICO, TABLEROS PPAL TN1 TN2, ACOMETIDAS CCM, ILUMINACIÓN </t>
  </si>
  <si>
    <t>TUBERIAS Y DUCTOS ELÉCTRICOS</t>
  </si>
  <si>
    <t>ACOMETIDAS ELÉCTRICAS</t>
  </si>
  <si>
    <t>4,2,8</t>
  </si>
  <si>
    <t>4,5,10</t>
  </si>
  <si>
    <t>4,5,11</t>
  </si>
  <si>
    <t>4,5,12</t>
  </si>
  <si>
    <t>DOCUMENTAL Y TRÁMITES</t>
  </si>
  <si>
    <t>INSTALACIÓN Y CONEXIÓN DE TRANSFERENCIA AUTOMATICA 75KA</t>
  </si>
  <si>
    <t>INSTALACIÓN POSTE CONCRETO 8 X 510 kg-f</t>
  </si>
  <si>
    <t>SUMINISTRO POSTE CONCRETO 8 X 510 kg-f</t>
  </si>
  <si>
    <t>INSTALACIÓN TABLERO DE PLC Y COMUNICACIONES (INCLUYE PROGRAMACION)</t>
  </si>
  <si>
    <t>Suministro de subestación tipo poste de 5kVA, monofásico, 13,2kV/220V</t>
  </si>
  <si>
    <t>Suministro de poste PRFV Seccionado,12m*750kg-f</t>
  </si>
  <si>
    <t>Instalación de subestación tipo poste de 5kVA, monofásico, 13,2kV/220V</t>
  </si>
  <si>
    <t>Instalación de poste PRFV Seccionado, 12m*750kg-f</t>
  </si>
  <si>
    <t>Suministro e instalación de medidor bifásico</t>
  </si>
  <si>
    <t>Suministro e instalación de electrodo de puesta a tierra</t>
  </si>
  <si>
    <t>RED DE MEDIA TENSIÓN</t>
  </si>
  <si>
    <t xml:space="preserve">OBRA INSTALACIÓN </t>
  </si>
  <si>
    <t>OBRA SUMINISTRO E INSTALACIÓN</t>
  </si>
  <si>
    <t>INSTALACIÓN Y CONEXIÓN DE EQUIPO DE MEDIDA SEMIDIRECTA (INCLUYE MEDIDOR Y TCS)</t>
  </si>
  <si>
    <t>INSTALACIÓN Y CONEXIÓN DE TRANSFORMADOR SECO 300KVA/440V EN CELDA</t>
  </si>
  <si>
    <t>INSTALACIÓN Y CONEXIÓN DE SUBESTACION TIPO POSTE 75kVA</t>
  </si>
  <si>
    <t>SUMINISTROS</t>
  </si>
  <si>
    <t>BREAKER ENCHUFE 1X15 AMP</t>
  </si>
  <si>
    <t>SUBTOTAL COSTO DIRECTO OBRAS ELÉCTRICAS</t>
  </si>
  <si>
    <t>TOTAL OBRAS ELÉCTRICAS</t>
  </si>
  <si>
    <t>TOTAL PRESUPUESTO ESTIMADO (OBRAS ELÉCTRICAS + SUMINISTROS)</t>
  </si>
  <si>
    <t>Suministro y transporte DE SUBESTACION TIPO POSTE 75kVA</t>
  </si>
  <si>
    <t>RESUMEN PRESUPUESTO</t>
  </si>
  <si>
    <t>PRESUPUESTO REDES DE ACUEDUCTO</t>
  </si>
  <si>
    <t>PRESUPUESTO PASOS ESPECIALES</t>
  </si>
  <si>
    <t>OBRAS CIVILES Y ELÉCTRICAS (Incluye AIU e Iva de la Utilidad)</t>
  </si>
  <si>
    <t>PRESUPUESTO OBRAS ELÉCTRICAS</t>
  </si>
  <si>
    <t>VALOR</t>
  </si>
  <si>
    <t xml:space="preserve">TOTAL OBRAS </t>
  </si>
  <si>
    <t>SUMINISTROS (Incluye Admon)</t>
  </si>
  <si>
    <t xml:space="preserve">TOTAL SUMINISTROS </t>
  </si>
  <si>
    <t xml:space="preserve">TOTAL PRESUPUESTO ESTIMADO </t>
  </si>
  <si>
    <t xml:space="preserve">Instalación Tee PVC Ø6" x 3" presión </t>
  </si>
  <si>
    <t xml:space="preserve">Instalación Tee PVC Ø6" x 2,5" presión </t>
  </si>
  <si>
    <t>Tee PVC 6"x2.5" presion Union Z</t>
  </si>
  <si>
    <t>Suministro, transporte y colocación de base granular, incluye acarreo hasta 20 Km.</t>
  </si>
  <si>
    <t>Suministro, transporte y colocación de sub-base granular, incluye acarreo hasta 20 Km.</t>
  </si>
  <si>
    <t>Retiro y disposición final de material sobrante con cargue en volqueta a mano - medido en banco - distancia máxima 20Km</t>
  </si>
  <si>
    <t>Instalación de conexiones domiciliarias.  Incluye toda la instalación desde el collarín, excavación para  localización de tubería, colocación de la cajilla, solado e= 0.05m, la excavación y colocación de rellenos (50% Relleno con material seleccionado de la excavación y 50% Suministro y colocación de material de préstamo de conformidad con las recomendaciones del Interventor o del fabricante así: mitad abajo en el tubo compactado con pisón y mitad arriba compactado con compactador mecánico), adaptadores, racor y tuerca, disposición de sobrantes. El suministro de materiales su pago se encuentra por aparte en el Presupuesto de SUMINISTROS</t>
  </si>
  <si>
    <t xml:space="preserve">Desmonte material del dique provisional, incluye tubería PVC </t>
  </si>
  <si>
    <t>CONSTRUCCIÓN CÁMARA DE PASO BT ZONA VERDE RS3-002 INCLUYE HERRAJES</t>
  </si>
  <si>
    <t>CONSTRUCCIÓN CÁMARA DE PASO BT VEHICULAR RS3-004 INCLUYE HERRAJES</t>
  </si>
  <si>
    <t>CONSTRUCCIÓN CÁMARA DE PASO ILUMINACIÓN RS3-001 INCLUYE HERRAJES</t>
  </si>
  <si>
    <t>CONSTRUCCIÓN CÁMARA DE PASO MT 13200 RS3-005 INCLUYE HERRAJES</t>
  </si>
  <si>
    <t>TOTAL PRESUPUESTO ESTIMADO PASOS ESPECIALES (OBRAS CIVILES + SUMINISTROS)</t>
  </si>
  <si>
    <t>TOTAL PRESUPUESTO ESTIMADO REDES DE DISTRIBUCIÓN (OBRAS CIVILES + SUMINISTROS)</t>
  </si>
  <si>
    <t>FORMATO OFERTA ECONÓMICA 
PROYECTO: OPTIMIZACIÓN Y AMPLIACIÓN DEL SISTEMA DE ACUEDUCTO DEL MUNICIPIO DE ISTMINA-FASE II</t>
  </si>
  <si>
    <t>FORMATO OFERTA ECONÓMICA
PROYECTO: OPTIMIZACIÓN Y AMPLIACIÓN DEL SISTEMA DE ACUEDUCTO DEL MUNICIPIO DE ISTMINA-FASE II</t>
  </si>
  <si>
    <t>ADMINISTRACIÓN</t>
  </si>
  <si>
    <t>IMPREVISTOS</t>
  </si>
  <si>
    <t>UTILIDAD</t>
  </si>
  <si>
    <t>%</t>
  </si>
  <si>
    <t xml:space="preserve">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</si>
</sst>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#,##0.0"/>
    <numFmt numFmtId="167" formatCode="_(&quot;$&quot;\ * #,##0_);_(&quot;$&quot;\ * \(#,##0\);_(&quot;$&quot;\ * &quot;-&quot;??_);_(@_)"/>
    <numFmt numFmtId="168" formatCode="[$$-240A]\ #,##0.00"/>
    <numFmt numFmtId="169" formatCode="&quot;$&quot;#,##0.00"/>
    <numFmt numFmtId="170" formatCode="0.0%"/>
    <numFmt numFmtId="171" formatCode="0.000"/>
    <numFmt numFmtId="172" formatCode="[$-1012C0A]#,##0.00;;\ "/>
    <numFmt numFmtId="173" formatCode="0.000%"/>
    <numFmt numFmtId="174" formatCode="0.00\ &quot;m3&quot;"/>
    <numFmt numFmtId="175" formatCode="0.00\ &quot;m&quot;"/>
    <numFmt numFmtId="176" formatCode="_-&quot;$&quot;\ * #,##0.00_-;\-&quot;$&quot;\ * #,##0.00_-;_-&quot;$&quot;\ * &quot;-&quot;_-;_-@_-"/>
    <numFmt numFmtId="177" formatCode="0.0"/>
  </numFmts>
  <fonts count="60"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맑은 고딕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MT"/>
      <family val="2"/>
    </font>
    <font>
      <b/>
      <sz val="10"/>
      <color theme="1"/>
      <name val="ArialMT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FE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</borders>
  <cellStyleXfs count="90">
    <xf numFmtId="0" fontId="0" fillId="0" borderId="0"/>
    <xf numFmtId="164" fontId="17" fillId="0" borderId="0" applyFont="0" applyFill="0" applyBorder="0" applyAlignment="0" applyProtection="0"/>
    <xf numFmtId="0" fontId="21" fillId="0" borderId="0"/>
    <xf numFmtId="0" fontId="16" fillId="0" borderId="0"/>
    <xf numFmtId="9" fontId="17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4" fillId="0" borderId="0"/>
    <xf numFmtId="0" fontId="24" fillId="0" borderId="0"/>
    <xf numFmtId="0" fontId="14" fillId="0" borderId="0"/>
    <xf numFmtId="0" fontId="24" fillId="0" borderId="0"/>
    <xf numFmtId="0" fontId="24" fillId="0" borderId="0"/>
    <xf numFmtId="165" fontId="13" fillId="0" borderId="0" applyFont="0" applyFill="0" applyBorder="0" applyAlignment="0" applyProtection="0"/>
    <xf numFmtId="0" fontId="12" fillId="0" borderId="0"/>
    <xf numFmtId="0" fontId="24" fillId="0" borderId="0"/>
    <xf numFmtId="0" fontId="25" fillId="0" borderId="0"/>
    <xf numFmtId="0" fontId="24" fillId="0" borderId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7" fillId="0" borderId="0"/>
    <xf numFmtId="165" fontId="7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24" fillId="0" borderId="0">
      <alignment wrapText="1"/>
    </xf>
    <xf numFmtId="0" fontId="5" fillId="0" borderId="0"/>
    <xf numFmtId="0" fontId="34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827">
    <xf numFmtId="0" fontId="0" fillId="0" borderId="0" xfId="0"/>
    <xf numFmtId="4" fontId="19" fillId="0" borderId="0" xfId="0" applyNumberFormat="1" applyFont="1"/>
    <xf numFmtId="0" fontId="35" fillId="0" borderId="0" xfId="42" applyFont="1"/>
    <xf numFmtId="4" fontId="35" fillId="0" borderId="0" xfId="42" applyNumberFormat="1" applyFont="1"/>
    <xf numFmtId="4" fontId="34" fillId="0" borderId="0" xfId="42" applyNumberFormat="1"/>
    <xf numFmtId="0" fontId="34" fillId="0" borderId="0" xfId="42"/>
    <xf numFmtId="0" fontId="34" fillId="0" borderId="0" xfId="42" applyNumberFormat="1"/>
    <xf numFmtId="4" fontId="28" fillId="5" borderId="1" xfId="41" applyNumberFormat="1" applyFont="1" applyFill="1" applyBorder="1" applyAlignment="1">
      <alignment horizontal="center" vertical="center" wrapText="1"/>
    </xf>
    <xf numFmtId="4" fontId="28" fillId="0" borderId="0" xfId="41" applyNumberFormat="1" applyFont="1" applyAlignment="1">
      <alignment horizontal="center" vertical="center" wrapText="1"/>
    </xf>
    <xf numFmtId="4" fontId="30" fillId="0" borderId="0" xfId="41" applyNumberFormat="1" applyFont="1" applyAlignment="1">
      <alignment vertical="center" wrapText="1"/>
    </xf>
    <xf numFmtId="0" fontId="30" fillId="0" borderId="0" xfId="41" applyFont="1" applyAlignment="1">
      <alignment vertical="center" wrapText="1"/>
    </xf>
    <xf numFmtId="0" fontId="30" fillId="0" borderId="16" xfId="41" applyFont="1" applyBorder="1" applyAlignment="1">
      <alignment vertical="center"/>
    </xf>
    <xf numFmtId="0" fontId="30" fillId="0" borderId="17" xfId="41" applyFont="1" applyBorder="1" applyAlignment="1">
      <alignment vertical="center"/>
    </xf>
    <xf numFmtId="4" fontId="30" fillId="0" borderId="17" xfId="41" applyNumberFormat="1" applyFont="1" applyBorder="1" applyAlignment="1">
      <alignment vertical="center"/>
    </xf>
    <xf numFmtId="4" fontId="30" fillId="0" borderId="18" xfId="41" applyNumberFormat="1" applyFont="1" applyBorder="1" applyAlignment="1">
      <alignment vertical="center"/>
    </xf>
    <xf numFmtId="4" fontId="30" fillId="0" borderId="0" xfId="41" applyNumberFormat="1" applyFont="1" applyAlignment="1">
      <alignment vertical="center"/>
    </xf>
    <xf numFmtId="0" fontId="30" fillId="0" borderId="0" xfId="41" applyFont="1" applyAlignment="1">
      <alignment vertical="center"/>
    </xf>
    <xf numFmtId="0" fontId="30" fillId="0" borderId="19" xfId="41" applyFont="1" applyBorder="1" applyAlignment="1">
      <alignment vertical="center"/>
    </xf>
    <xf numFmtId="0" fontId="30" fillId="0" borderId="20" xfId="41" applyFont="1" applyBorder="1" applyAlignment="1">
      <alignment vertical="center"/>
    </xf>
    <xf numFmtId="4" fontId="30" fillId="0" borderId="20" xfId="41" applyNumberFormat="1" applyFont="1" applyBorder="1" applyAlignment="1">
      <alignment vertical="center"/>
    </xf>
    <xf numFmtId="4" fontId="30" fillId="0" borderId="21" xfId="41" applyNumberFormat="1" applyFont="1" applyBorder="1" applyAlignment="1">
      <alignment vertical="center"/>
    </xf>
    <xf numFmtId="0" fontId="30" fillId="0" borderId="22" xfId="41" applyFont="1" applyBorder="1" applyAlignment="1">
      <alignment vertical="center"/>
    </xf>
    <xf numFmtId="0" fontId="30" fillId="0" borderId="23" xfId="41" applyFont="1" applyBorder="1" applyAlignment="1">
      <alignment vertical="center"/>
    </xf>
    <xf numFmtId="4" fontId="30" fillId="0" borderId="23" xfId="41" applyNumberFormat="1" applyFont="1" applyBorder="1" applyAlignment="1">
      <alignment vertical="center"/>
    </xf>
    <xf numFmtId="4" fontId="30" fillId="0" borderId="24" xfId="41" applyNumberFormat="1" applyFont="1" applyBorder="1" applyAlignment="1">
      <alignment vertical="center"/>
    </xf>
    <xf numFmtId="0" fontId="28" fillId="6" borderId="10" xfId="41" applyFont="1" applyFill="1" applyBorder="1" applyAlignment="1">
      <alignment vertical="center"/>
    </xf>
    <xf numFmtId="0" fontId="28" fillId="6" borderId="11" xfId="41" applyFont="1" applyFill="1" applyBorder="1" applyAlignment="1">
      <alignment vertical="center"/>
    </xf>
    <xf numFmtId="4" fontId="28" fillId="6" borderId="11" xfId="41" applyNumberFormat="1" applyFont="1" applyFill="1" applyBorder="1" applyAlignment="1">
      <alignment vertical="center"/>
    </xf>
    <xf numFmtId="4" fontId="28" fillId="6" borderId="12" xfId="41" applyNumberFormat="1" applyFont="1" applyFill="1" applyBorder="1" applyAlignment="1">
      <alignment vertical="center"/>
    </xf>
    <xf numFmtId="4" fontId="28" fillId="6" borderId="1" xfId="41" applyNumberFormat="1" applyFont="1" applyFill="1" applyBorder="1" applyAlignment="1">
      <alignment vertical="center"/>
    </xf>
    <xf numFmtId="4" fontId="28" fillId="0" borderId="0" xfId="41" applyNumberFormat="1" applyFont="1" applyAlignment="1">
      <alignment vertical="center"/>
    </xf>
    <xf numFmtId="0" fontId="28" fillId="0" borderId="0" xfId="41" applyFont="1" applyAlignment="1">
      <alignment vertical="center"/>
    </xf>
    <xf numFmtId="2" fontId="30" fillId="0" borderId="0" xfId="41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0" fillId="0" borderId="31" xfId="41" applyFont="1" applyBorder="1" applyAlignment="1">
      <alignment vertical="center"/>
    </xf>
    <xf numFmtId="0" fontId="30" fillId="0" borderId="28" xfId="41" applyFont="1" applyBorder="1" applyAlignment="1">
      <alignment vertical="center"/>
    </xf>
    <xf numFmtId="4" fontId="30" fillId="0" borderId="28" xfId="41" applyNumberFormat="1" applyFont="1" applyBorder="1" applyAlignment="1">
      <alignment vertical="center"/>
    </xf>
    <xf numFmtId="4" fontId="30" fillId="0" borderId="32" xfId="41" applyNumberFormat="1" applyFont="1" applyBorder="1" applyAlignment="1">
      <alignment vertical="center"/>
    </xf>
    <xf numFmtId="0" fontId="30" fillId="0" borderId="25" xfId="41" applyFont="1" applyBorder="1" applyAlignment="1">
      <alignment vertical="center"/>
    </xf>
    <xf numFmtId="0" fontId="30" fillId="0" borderId="26" xfId="41" applyFont="1" applyBorder="1" applyAlignment="1">
      <alignment vertical="center"/>
    </xf>
    <xf numFmtId="4" fontId="30" fillId="0" borderId="26" xfId="41" applyNumberFormat="1" applyFont="1" applyBorder="1" applyAlignment="1">
      <alignment vertical="center"/>
    </xf>
    <xf numFmtId="4" fontId="30" fillId="0" borderId="27" xfId="41" applyNumberFormat="1" applyFont="1" applyBorder="1" applyAlignment="1">
      <alignment vertical="center"/>
    </xf>
    <xf numFmtId="0" fontId="18" fillId="0" borderId="0" xfId="41" applyFont="1" applyAlignment="1">
      <alignment vertical="center" wrapText="1"/>
    </xf>
    <xf numFmtId="0" fontId="18" fillId="0" borderId="0" xfId="41" applyFont="1" applyAlignment="1">
      <alignment vertical="center"/>
    </xf>
    <xf numFmtId="4" fontId="30" fillId="8" borderId="23" xfId="41" applyNumberFormat="1" applyFont="1" applyFill="1" applyBorder="1" applyAlignment="1">
      <alignment vertical="center"/>
    </xf>
    <xf numFmtId="0" fontId="0" fillId="0" borderId="0" xfId="0" applyBorder="1"/>
    <xf numFmtId="0" fontId="19" fillId="0" borderId="0" xfId="0" applyFont="1"/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/>
    <xf numFmtId="0" fontId="44" fillId="0" borderId="36" xfId="0" applyFont="1" applyFill="1" applyBorder="1"/>
    <xf numFmtId="0" fontId="45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71" fontId="0" fillId="0" borderId="37" xfId="0" applyNumberFormat="1" applyBorder="1"/>
    <xf numFmtId="0" fontId="41" fillId="4" borderId="1" xfId="0" applyFont="1" applyFill="1" applyBorder="1"/>
    <xf numFmtId="0" fontId="0" fillId="0" borderId="37" xfId="0" applyBorder="1"/>
    <xf numFmtId="171" fontId="0" fillId="0" borderId="1" xfId="0" applyNumberFormat="1" applyBorder="1"/>
    <xf numFmtId="0" fontId="40" fillId="0" borderId="1" xfId="0" applyFont="1" applyFill="1" applyBorder="1" applyAlignment="1">
      <alignment horizontal="center" vertical="center"/>
    </xf>
    <xf numFmtId="0" fontId="0" fillId="4" borderId="36" xfId="0" applyFill="1" applyBorder="1"/>
    <xf numFmtId="0" fontId="0" fillId="4" borderId="1" xfId="0" applyFill="1" applyBorder="1"/>
    <xf numFmtId="0" fontId="0" fillId="4" borderId="38" xfId="0" applyFill="1" applyBorder="1"/>
    <xf numFmtId="0" fontId="0" fillId="4" borderId="39" xfId="0" applyFill="1" applyBorder="1"/>
    <xf numFmtId="0" fontId="0" fillId="0" borderId="6" xfId="0" applyFill="1" applyBorder="1"/>
    <xf numFmtId="0" fontId="0" fillId="0" borderId="0" xfId="0" applyFill="1" applyBorder="1"/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/>
    </xf>
    <xf numFmtId="171" fontId="41" fillId="0" borderId="0" xfId="0" applyNumberFormat="1" applyFont="1" applyFill="1" applyBorder="1" applyAlignment="1">
      <alignment horizontal="center" vertical="center"/>
    </xf>
    <xf numFmtId="4" fontId="41" fillId="0" borderId="0" xfId="0" applyNumberFormat="1" applyFont="1" applyFill="1" applyBorder="1" applyAlignment="1">
      <alignment horizontal="center" vertical="center"/>
    </xf>
    <xf numFmtId="166" fontId="41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9" fillId="0" borderId="8" xfId="0" applyFont="1" applyBorder="1"/>
    <xf numFmtId="0" fontId="26" fillId="9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wrapText="1"/>
    </xf>
    <xf numFmtId="0" fontId="26" fillId="9" borderId="1" xfId="0" applyFont="1" applyFill="1" applyBorder="1"/>
    <xf numFmtId="0" fontId="41" fillId="9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37" xfId="0" applyFill="1" applyBorder="1"/>
    <xf numFmtId="0" fontId="0" fillId="9" borderId="36" xfId="0" applyFill="1" applyBorder="1"/>
    <xf numFmtId="0" fontId="0" fillId="9" borderId="1" xfId="0" applyFill="1" applyBorder="1"/>
    <xf numFmtId="0" fontId="0" fillId="9" borderId="38" xfId="0" applyFill="1" applyBorder="1"/>
    <xf numFmtId="0" fontId="0" fillId="9" borderId="39" xfId="0" applyFill="1" applyBorder="1"/>
    <xf numFmtId="0" fontId="4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4" xfId="0" applyFill="1" applyBorder="1"/>
    <xf numFmtId="4" fontId="0" fillId="0" borderId="14" xfId="0" applyNumberFormat="1" applyFill="1" applyBorder="1" applyAlignment="1">
      <alignment horizontal="center"/>
    </xf>
    <xf numFmtId="166" fontId="0" fillId="0" borderId="14" xfId="0" applyNumberForma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Font="1" applyFill="1"/>
    <xf numFmtId="0" fontId="0" fillId="0" borderId="0" xfId="0" applyFont="1"/>
    <xf numFmtId="0" fontId="47" fillId="10" borderId="1" xfId="0" applyFont="1" applyFill="1" applyBorder="1" applyAlignment="1">
      <alignment horizontal="center" vertical="center" wrapText="1"/>
    </xf>
    <xf numFmtId="0" fontId="47" fillId="10" borderId="1" xfId="0" applyFont="1" applyFill="1" applyBorder="1"/>
    <xf numFmtId="4" fontId="0" fillId="0" borderId="37" xfId="0" applyNumberFormat="1" applyBorder="1" applyAlignment="1">
      <alignment horizontal="center"/>
    </xf>
    <xf numFmtId="0" fontId="41" fillId="10" borderId="1" xfId="0" applyFont="1" applyFill="1" applyBorder="1"/>
    <xf numFmtId="0" fontId="0" fillId="10" borderId="36" xfId="0" applyFill="1" applyBorder="1"/>
    <xf numFmtId="0" fontId="0" fillId="10" borderId="1" xfId="0" applyFill="1" applyBorder="1"/>
    <xf numFmtId="0" fontId="0" fillId="10" borderId="38" xfId="0" applyFill="1" applyBorder="1"/>
    <xf numFmtId="0" fontId="0" fillId="10" borderId="39" xfId="0" applyFill="1" applyBorder="1"/>
    <xf numFmtId="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24" fillId="0" borderId="0" xfId="40" applyFont="1">
      <alignment wrapText="1"/>
    </xf>
    <xf numFmtId="0" fontId="17" fillId="0" borderId="0" xfId="40" applyFont="1">
      <alignment wrapText="1"/>
    </xf>
    <xf numFmtId="4" fontId="17" fillId="0" borderId="0" xfId="40" applyNumberFormat="1" applyFont="1">
      <alignment wrapText="1"/>
    </xf>
    <xf numFmtId="0" fontId="19" fillId="0" borderId="0" xfId="40" applyFont="1" applyBorder="1">
      <alignment wrapText="1"/>
    </xf>
    <xf numFmtId="9" fontId="19" fillId="0" borderId="0" xfId="40" applyNumberFormat="1" applyFont="1" applyBorder="1">
      <alignment wrapText="1"/>
    </xf>
    <xf numFmtId="0" fontId="19" fillId="0" borderId="0" xfId="40" applyFont="1">
      <alignment wrapText="1"/>
    </xf>
    <xf numFmtId="0" fontId="23" fillId="0" borderId="0" xfId="40" applyFont="1">
      <alignment wrapText="1"/>
    </xf>
    <xf numFmtId="167" fontId="0" fillId="0" borderId="0" xfId="0" applyNumberFormat="1"/>
    <xf numFmtId="0" fontId="28" fillId="0" borderId="1" xfId="48" applyFont="1" applyFill="1" applyBorder="1" applyAlignment="1">
      <alignment horizontal="left" vertical="center" wrapText="1"/>
    </xf>
    <xf numFmtId="0" fontId="38" fillId="7" borderId="0" xfId="0" applyFont="1" applyFill="1"/>
    <xf numFmtId="0" fontId="0" fillId="7" borderId="0" xfId="0" applyFill="1"/>
    <xf numFmtId="0" fontId="26" fillId="7" borderId="1" xfId="48" applyFont="1" applyFill="1" applyBorder="1" applyAlignment="1">
      <alignment horizontal="center" vertical="center"/>
    </xf>
    <xf numFmtId="0" fontId="26" fillId="7" borderId="1" xfId="48" applyFont="1" applyFill="1" applyBorder="1" applyAlignment="1">
      <alignment horizontal="center" vertical="center" wrapText="1"/>
    </xf>
    <xf numFmtId="0" fontId="26" fillId="7" borderId="43" xfId="48" applyFont="1" applyFill="1" applyBorder="1" applyAlignment="1">
      <alignment horizontal="left" vertical="center" wrapText="1"/>
    </xf>
    <xf numFmtId="167" fontId="26" fillId="7" borderId="44" xfId="48" applyNumberFormat="1" applyFont="1" applyFill="1" applyBorder="1" applyAlignment="1">
      <alignment vertical="center"/>
    </xf>
    <xf numFmtId="167" fontId="29" fillId="7" borderId="1" xfId="0" applyNumberFormat="1" applyFont="1" applyFill="1" applyBorder="1"/>
    <xf numFmtId="0" fontId="27" fillId="0" borderId="45" xfId="48" applyFont="1" applyFill="1" applyBorder="1" applyAlignment="1">
      <alignment horizontal="left" vertical="center" wrapText="1"/>
    </xf>
    <xf numFmtId="167" fontId="27" fillId="0" borderId="46" xfId="48" applyNumberFormat="1" applyFont="1" applyFill="1" applyBorder="1" applyAlignment="1">
      <alignment vertical="center"/>
    </xf>
    <xf numFmtId="167" fontId="27" fillId="0" borderId="46" xfId="48" applyNumberFormat="1" applyFont="1" applyFill="1" applyBorder="1" applyAlignment="1">
      <alignment horizontal="right" vertical="center"/>
    </xf>
    <xf numFmtId="167" fontId="27" fillId="0" borderId="47" xfId="48" applyNumberFormat="1" applyFont="1" applyFill="1" applyBorder="1" applyAlignment="1">
      <alignment horizontal="right" vertical="center"/>
    </xf>
    <xf numFmtId="0" fontId="27" fillId="0" borderId="48" xfId="48" applyFont="1" applyFill="1" applyBorder="1" applyAlignment="1">
      <alignment horizontal="left" vertical="center" wrapText="1"/>
    </xf>
    <xf numFmtId="167" fontId="27" fillId="0" borderId="49" xfId="48" applyNumberFormat="1" applyFont="1" applyFill="1" applyBorder="1" applyAlignment="1">
      <alignment vertical="center"/>
    </xf>
    <xf numFmtId="167" fontId="27" fillId="0" borderId="49" xfId="48" applyNumberFormat="1" applyFont="1" applyFill="1" applyBorder="1" applyAlignment="1">
      <alignment horizontal="right" vertical="center"/>
    </xf>
    <xf numFmtId="167" fontId="27" fillId="0" borderId="46" xfId="48" applyNumberFormat="1" applyFont="1" applyBorder="1" applyAlignment="1">
      <alignment vertical="center"/>
    </xf>
    <xf numFmtId="167" fontId="27" fillId="0" borderId="46" xfId="48" applyNumberFormat="1" applyFont="1" applyBorder="1" applyAlignment="1">
      <alignment horizontal="right" vertical="center"/>
    </xf>
    <xf numFmtId="0" fontId="27" fillId="0" borderId="50" xfId="48" applyFont="1" applyFill="1" applyBorder="1" applyAlignment="1">
      <alignment horizontal="left" vertical="center" wrapText="1"/>
    </xf>
    <xf numFmtId="167" fontId="27" fillId="0" borderId="51" xfId="48" applyNumberFormat="1" applyFont="1" applyBorder="1" applyAlignment="1">
      <alignment vertical="center"/>
    </xf>
    <xf numFmtId="167" fontId="27" fillId="0" borderId="51" xfId="48" applyNumberFormat="1" applyFont="1" applyBorder="1" applyAlignment="1">
      <alignment horizontal="right" vertical="center"/>
    </xf>
    <xf numFmtId="167" fontId="27" fillId="0" borderId="52" xfId="48" applyNumberFormat="1" applyFont="1" applyBorder="1" applyAlignment="1">
      <alignment horizontal="right" vertical="center"/>
    </xf>
    <xf numFmtId="0" fontId="27" fillId="0" borderId="53" xfId="48" applyFont="1" applyFill="1" applyBorder="1" applyAlignment="1">
      <alignment horizontal="left" vertical="center" wrapText="1"/>
    </xf>
    <xf numFmtId="167" fontId="27" fillId="0" borderId="54" xfId="48" applyNumberFormat="1" applyFont="1" applyBorder="1" applyAlignment="1">
      <alignment vertical="center"/>
    </xf>
    <xf numFmtId="167" fontId="27" fillId="0" borderId="54" xfId="48" applyNumberFormat="1" applyFont="1" applyBorder="1" applyAlignment="1">
      <alignment horizontal="right" vertical="center"/>
    </xf>
    <xf numFmtId="167" fontId="27" fillId="0" borderId="55" xfId="48" applyNumberFormat="1" applyFont="1" applyBorder="1" applyAlignment="1">
      <alignment horizontal="right" vertical="center"/>
    </xf>
    <xf numFmtId="167" fontId="27" fillId="0" borderId="51" xfId="48" applyNumberFormat="1" applyFont="1" applyFill="1" applyBorder="1" applyAlignment="1">
      <alignment vertical="center"/>
    </xf>
    <xf numFmtId="167" fontId="27" fillId="0" borderId="51" xfId="48" applyNumberFormat="1" applyFont="1" applyFill="1" applyBorder="1" applyAlignment="1">
      <alignment horizontal="right" vertical="center"/>
    </xf>
    <xf numFmtId="167" fontId="27" fillId="0" borderId="52" xfId="48" applyNumberFormat="1" applyFont="1" applyFill="1" applyBorder="1" applyAlignment="1">
      <alignment horizontal="right" vertical="center"/>
    </xf>
    <xf numFmtId="0" fontId="26" fillId="7" borderId="1" xfId="48" applyFont="1" applyFill="1" applyBorder="1" applyAlignment="1">
      <alignment horizontal="left" vertical="center" wrapText="1"/>
    </xf>
    <xf numFmtId="167" fontId="26" fillId="7" borderId="1" xfId="48" applyNumberFormat="1" applyFont="1" applyFill="1" applyBorder="1" applyAlignment="1">
      <alignment vertical="center"/>
    </xf>
    <xf numFmtId="0" fontId="26" fillId="7" borderId="43" xfId="48" applyFont="1" applyFill="1" applyBorder="1" applyAlignment="1">
      <alignment horizontal="left" vertical="center"/>
    </xf>
    <xf numFmtId="4" fontId="30" fillId="0" borderId="20" xfId="41" applyNumberFormat="1" applyFont="1" applyFill="1" applyBorder="1" applyAlignment="1">
      <alignment vertical="center"/>
    </xf>
    <xf numFmtId="4" fontId="30" fillId="0" borderId="23" xfId="41" applyNumberFormat="1" applyFont="1" applyFill="1" applyBorder="1" applyAlignment="1">
      <alignment vertical="center"/>
    </xf>
    <xf numFmtId="0" fontId="35" fillId="0" borderId="50" xfId="42" applyFont="1" applyBorder="1"/>
    <xf numFmtId="3" fontId="34" fillId="0" borderId="51" xfId="42" applyNumberFormat="1" applyBorder="1" applyAlignment="1">
      <alignment horizontal="center"/>
    </xf>
    <xf numFmtId="0" fontId="34" fillId="0" borderId="50" xfId="42" applyBorder="1"/>
    <xf numFmtId="3" fontId="35" fillId="0" borderId="51" xfId="42" applyNumberFormat="1" applyFont="1" applyBorder="1" applyAlignment="1">
      <alignment horizontal="center"/>
    </xf>
    <xf numFmtId="0" fontId="34" fillId="0" borderId="48" xfId="42" applyBorder="1"/>
    <xf numFmtId="3" fontId="34" fillId="0" borderId="49" xfId="42" applyNumberFormat="1" applyBorder="1" applyAlignment="1">
      <alignment horizontal="center"/>
    </xf>
    <xf numFmtId="0" fontId="34" fillId="0" borderId="53" xfId="42" applyBorder="1"/>
    <xf numFmtId="3" fontId="34" fillId="0" borderId="54" xfId="42" applyNumberFormat="1" applyBorder="1" applyAlignment="1">
      <alignment horizontal="center"/>
    </xf>
    <xf numFmtId="0" fontId="34" fillId="0" borderId="45" xfId="42" applyBorder="1"/>
    <xf numFmtId="3" fontId="34" fillId="0" borderId="46" xfId="42" applyNumberFormat="1" applyBorder="1" applyAlignment="1">
      <alignment horizontal="center"/>
    </xf>
    <xf numFmtId="0" fontId="35" fillId="0" borderId="57" xfId="42" applyFont="1" applyBorder="1"/>
    <xf numFmtId="3" fontId="34" fillId="0" borderId="58" xfId="42" applyNumberFormat="1" applyBorder="1" applyAlignment="1">
      <alignment horizontal="center"/>
    </xf>
    <xf numFmtId="0" fontId="35" fillId="0" borderId="60" xfId="42" applyFont="1" applyBorder="1"/>
    <xf numFmtId="4" fontId="35" fillId="0" borderId="61" xfId="42" applyNumberFormat="1" applyFont="1" applyBorder="1"/>
    <xf numFmtId="0" fontId="35" fillId="0" borderId="61" xfId="42" applyNumberFormat="1" applyFont="1" applyBorder="1"/>
    <xf numFmtId="0" fontId="35" fillId="0" borderId="61" xfId="42" applyFont="1" applyBorder="1"/>
    <xf numFmtId="4" fontId="35" fillId="0" borderId="62" xfId="42" applyNumberFormat="1" applyFont="1" applyBorder="1"/>
    <xf numFmtId="0" fontId="27" fillId="0" borderId="17" xfId="41" applyFont="1" applyBorder="1" applyAlignment="1">
      <alignment vertical="center"/>
    </xf>
    <xf numFmtId="0" fontId="27" fillId="0" borderId="20" xfId="41" applyFont="1" applyBorder="1" applyAlignment="1">
      <alignment vertical="center"/>
    </xf>
    <xf numFmtId="4" fontId="27" fillId="0" borderId="17" xfId="41" applyNumberFormat="1" applyFont="1" applyFill="1" applyBorder="1" applyAlignment="1">
      <alignment vertical="center"/>
    </xf>
    <xf numFmtId="4" fontId="19" fillId="0" borderId="0" xfId="0" applyNumberFormat="1" applyFont="1" applyFill="1"/>
    <xf numFmtId="0" fontId="27" fillId="0" borderId="31" xfId="41" applyFont="1" applyBorder="1" applyAlignment="1">
      <alignment vertical="center"/>
    </xf>
    <xf numFmtId="0" fontId="27" fillId="0" borderId="28" xfId="41" applyFont="1" applyBorder="1" applyAlignment="1">
      <alignment vertical="center"/>
    </xf>
    <xf numFmtId="4" fontId="27" fillId="0" borderId="28" xfId="41" applyNumberFormat="1" applyFont="1" applyFill="1" applyBorder="1" applyAlignment="1">
      <alignment vertical="center"/>
    </xf>
    <xf numFmtId="0" fontId="27" fillId="0" borderId="63" xfId="41" applyFont="1" applyBorder="1" applyAlignment="1">
      <alignment vertical="center"/>
    </xf>
    <xf numFmtId="0" fontId="27" fillId="0" borderId="64" xfId="41" applyFont="1" applyBorder="1" applyAlignment="1">
      <alignment vertical="center"/>
    </xf>
    <xf numFmtId="4" fontId="27" fillId="0" borderId="64" xfId="41" applyNumberFormat="1" applyFont="1" applyFill="1" applyBorder="1" applyAlignment="1">
      <alignment vertical="center"/>
    </xf>
    <xf numFmtId="0" fontId="19" fillId="0" borderId="41" xfId="0" applyFont="1" applyBorder="1"/>
    <xf numFmtId="0" fontId="19" fillId="0" borderId="42" xfId="0" applyFont="1" applyBorder="1"/>
    <xf numFmtId="0" fontId="27" fillId="0" borderId="65" xfId="41" applyFont="1" applyBorder="1" applyAlignment="1">
      <alignment vertical="center"/>
    </xf>
    <xf numFmtId="4" fontId="19" fillId="0" borderId="0" xfId="0" applyNumberFormat="1" applyFont="1" applyBorder="1"/>
    <xf numFmtId="0" fontId="19" fillId="0" borderId="0" xfId="0" applyFont="1" applyBorder="1"/>
    <xf numFmtId="0" fontId="19" fillId="0" borderId="66" xfId="0" applyFont="1" applyBorder="1"/>
    <xf numFmtId="0" fontId="27" fillId="0" borderId="67" xfId="41" applyFont="1" applyBorder="1" applyAlignment="1">
      <alignment vertical="center"/>
    </xf>
    <xf numFmtId="0" fontId="27" fillId="0" borderId="68" xfId="41" applyFont="1" applyBorder="1" applyAlignment="1">
      <alignment vertical="center"/>
    </xf>
    <xf numFmtId="4" fontId="27" fillId="0" borderId="69" xfId="41" applyNumberFormat="1" applyFont="1" applyFill="1" applyBorder="1" applyAlignment="1">
      <alignment vertical="center"/>
    </xf>
    <xf numFmtId="0" fontId="19" fillId="0" borderId="70" xfId="0" applyFont="1" applyBorder="1"/>
    <xf numFmtId="4" fontId="19" fillId="0" borderId="70" xfId="0" applyNumberFormat="1" applyFont="1" applyBorder="1"/>
    <xf numFmtId="0" fontId="19" fillId="0" borderId="71" xfId="0" applyFont="1" applyBorder="1"/>
    <xf numFmtId="4" fontId="19" fillId="0" borderId="41" xfId="0" applyNumberFormat="1" applyFont="1" applyBorder="1"/>
    <xf numFmtId="4" fontId="19" fillId="0" borderId="70" xfId="0" applyNumberFormat="1" applyFont="1" applyFill="1" applyBorder="1"/>
    <xf numFmtId="4" fontId="19" fillId="0" borderId="41" xfId="0" applyNumberFormat="1" applyFont="1" applyFill="1" applyBorder="1"/>
    <xf numFmtId="0" fontId="27" fillId="0" borderId="72" xfId="41" applyFont="1" applyBorder="1" applyAlignment="1">
      <alignment vertical="center"/>
    </xf>
    <xf numFmtId="4" fontId="19" fillId="0" borderId="0" xfId="0" applyNumberFormat="1" applyFont="1" applyFill="1" applyBorder="1"/>
    <xf numFmtId="0" fontId="27" fillId="0" borderId="75" xfId="41" applyFont="1" applyBorder="1" applyAlignment="1">
      <alignment vertical="center"/>
    </xf>
    <xf numFmtId="0" fontId="27" fillId="0" borderId="0" xfId="41" applyFont="1" applyBorder="1" applyAlignment="1">
      <alignment vertical="center"/>
    </xf>
    <xf numFmtId="4" fontId="27" fillId="0" borderId="0" xfId="41" applyNumberFormat="1" applyFont="1" applyFill="1" applyBorder="1" applyAlignment="1">
      <alignment vertical="center"/>
    </xf>
    <xf numFmtId="0" fontId="27" fillId="0" borderId="2" xfId="41" applyFont="1" applyBorder="1" applyAlignment="1">
      <alignment vertical="center"/>
    </xf>
    <xf numFmtId="0" fontId="19" fillId="0" borderId="0" xfId="0" applyFont="1" applyFill="1"/>
    <xf numFmtId="0" fontId="19" fillId="0" borderId="41" xfId="0" applyFont="1" applyFill="1" applyBorder="1"/>
    <xf numFmtId="0" fontId="19" fillId="0" borderId="0" xfId="0" applyFont="1" applyFill="1" applyBorder="1"/>
    <xf numFmtId="0" fontId="19" fillId="0" borderId="70" xfId="0" applyFont="1" applyFill="1" applyBorder="1"/>
    <xf numFmtId="0" fontId="27" fillId="8" borderId="63" xfId="41" applyFont="1" applyFill="1" applyBorder="1" applyAlignment="1">
      <alignment vertical="center"/>
    </xf>
    <xf numFmtId="0" fontId="27" fillId="8" borderId="64" xfId="41" applyFont="1" applyFill="1" applyBorder="1" applyAlignment="1">
      <alignment vertical="center"/>
    </xf>
    <xf numFmtId="4" fontId="27" fillId="8" borderId="64" xfId="41" applyNumberFormat="1" applyFont="1" applyFill="1" applyBorder="1" applyAlignment="1">
      <alignment vertical="center"/>
    </xf>
    <xf numFmtId="0" fontId="27" fillId="8" borderId="65" xfId="41" applyFont="1" applyFill="1" applyBorder="1" applyAlignment="1">
      <alignment vertical="center"/>
    </xf>
    <xf numFmtId="0" fontId="27" fillId="8" borderId="20" xfId="41" applyFont="1" applyFill="1" applyBorder="1" applyAlignment="1">
      <alignment vertical="center"/>
    </xf>
    <xf numFmtId="4" fontId="27" fillId="8" borderId="17" xfId="41" applyNumberFormat="1" applyFont="1" applyFill="1" applyBorder="1" applyAlignment="1">
      <alignment vertical="center"/>
    </xf>
    <xf numFmtId="0" fontId="27" fillId="8" borderId="73" xfId="41" applyFont="1" applyFill="1" applyBorder="1" applyAlignment="1">
      <alignment vertical="center"/>
    </xf>
    <xf numFmtId="0" fontId="27" fillId="8" borderId="26" xfId="41" applyFont="1" applyFill="1" applyBorder="1" applyAlignment="1">
      <alignment vertical="center"/>
    </xf>
    <xf numFmtId="4" fontId="27" fillId="8" borderId="74" xfId="41" applyNumberFormat="1" applyFont="1" applyFill="1" applyBorder="1" applyAlignment="1">
      <alignment vertical="center"/>
    </xf>
    <xf numFmtId="0" fontId="27" fillId="8" borderId="76" xfId="41" applyFont="1" applyFill="1" applyBorder="1" applyAlignment="1">
      <alignment vertical="center"/>
    </xf>
    <xf numFmtId="0" fontId="27" fillId="8" borderId="70" xfId="41" applyFont="1" applyFill="1" applyBorder="1" applyAlignment="1">
      <alignment vertical="center"/>
    </xf>
    <xf numFmtId="4" fontId="27" fillId="8" borderId="70" xfId="41" applyNumberFormat="1" applyFont="1" applyFill="1" applyBorder="1" applyAlignment="1">
      <alignment vertical="center"/>
    </xf>
    <xf numFmtId="0" fontId="19" fillId="8" borderId="41" xfId="0" applyFont="1" applyFill="1" applyBorder="1"/>
    <xf numFmtId="0" fontId="19" fillId="8" borderId="0" xfId="0" applyFont="1" applyFill="1" applyBorder="1"/>
    <xf numFmtId="4" fontId="19" fillId="8" borderId="0" xfId="0" applyNumberFormat="1" applyFont="1" applyFill="1" applyBorder="1"/>
    <xf numFmtId="0" fontId="19" fillId="8" borderId="70" xfId="0" applyFont="1" applyFill="1" applyBorder="1"/>
    <xf numFmtId="167" fontId="53" fillId="0" borderId="0" xfId="0" applyNumberFormat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54" fillId="3" borderId="1" xfId="49" applyFont="1" applyFill="1" applyBorder="1" applyAlignment="1">
      <alignment horizontal="center" vertical="center"/>
    </xf>
    <xf numFmtId="0" fontId="54" fillId="3" borderId="1" xfId="49" applyFont="1" applyFill="1" applyBorder="1" applyAlignment="1">
      <alignment horizontal="center" vertical="center" wrapText="1"/>
    </xf>
    <xf numFmtId="0" fontId="32" fillId="0" borderId="0" xfId="49" applyFont="1" applyAlignment="1">
      <alignment vertical="center"/>
    </xf>
    <xf numFmtId="14" fontId="55" fillId="0" borderId="15" xfId="49" applyNumberFormat="1" applyFont="1" applyBorder="1" applyAlignment="1">
      <alignment horizontal="justify" vertical="center" wrapText="1"/>
    </xf>
    <xf numFmtId="0" fontId="32" fillId="0" borderId="15" xfId="49" applyFont="1" applyBorder="1" applyAlignment="1">
      <alignment horizontal="center" vertical="center"/>
    </xf>
    <xf numFmtId="4" fontId="54" fillId="0" borderId="15" xfId="49" applyNumberFormat="1" applyFont="1" applyBorder="1" applyAlignment="1">
      <alignment vertical="center"/>
    </xf>
    <xf numFmtId="14" fontId="56" fillId="0" borderId="83" xfId="49" applyNumberFormat="1" applyFont="1" applyBorder="1" applyAlignment="1">
      <alignment horizontal="justify" vertical="center" wrapText="1"/>
    </xf>
    <xf numFmtId="0" fontId="32" fillId="0" borderId="83" xfId="49" applyFont="1" applyBorder="1" applyAlignment="1">
      <alignment horizontal="center" vertical="center"/>
    </xf>
    <xf numFmtId="2" fontId="32" fillId="0" borderId="83" xfId="49" applyNumberFormat="1" applyFont="1" applyBorder="1" applyAlignment="1">
      <alignment horizontal="center" vertical="center"/>
    </xf>
    <xf numFmtId="4" fontId="32" fillId="0" borderId="83" xfId="49" applyNumberFormat="1" applyFont="1" applyBorder="1" applyAlignment="1">
      <alignment vertical="center"/>
    </xf>
    <xf numFmtId="170" fontId="32" fillId="0" borderId="0" xfId="50" applyNumberFormat="1" applyFont="1" applyAlignment="1">
      <alignment vertical="center"/>
    </xf>
    <xf numFmtId="14" fontId="56" fillId="0" borderId="29" xfId="49" applyNumberFormat="1" applyFont="1" applyBorder="1" applyAlignment="1">
      <alignment horizontal="justify" vertical="center" wrapText="1"/>
    </xf>
    <xf numFmtId="0" fontId="32" fillId="0" borderId="29" xfId="49" applyFont="1" applyBorder="1" applyAlignment="1">
      <alignment horizontal="center" vertical="center"/>
    </xf>
    <xf numFmtId="2" fontId="32" fillId="0" borderId="29" xfId="49" applyNumberFormat="1" applyFont="1" applyBorder="1" applyAlignment="1">
      <alignment horizontal="center" vertical="center"/>
    </xf>
    <xf numFmtId="4" fontId="32" fillId="0" borderId="29" xfId="49" applyNumberFormat="1" applyFont="1" applyBorder="1" applyAlignment="1">
      <alignment vertical="center"/>
    </xf>
    <xf numFmtId="14" fontId="56" fillId="0" borderId="30" xfId="49" applyNumberFormat="1" applyFont="1" applyBorder="1" applyAlignment="1">
      <alignment horizontal="justify" vertical="center" wrapText="1"/>
    </xf>
    <xf numFmtId="0" fontId="32" fillId="0" borderId="30" xfId="49" applyFont="1" applyBorder="1" applyAlignment="1">
      <alignment horizontal="center" vertical="center"/>
    </xf>
    <xf numFmtId="2" fontId="32" fillId="0" borderId="30" xfId="49" applyNumberFormat="1" applyFont="1" applyBorder="1" applyAlignment="1">
      <alignment horizontal="center" vertical="center"/>
    </xf>
    <xf numFmtId="4" fontId="32" fillId="0" borderId="30" xfId="49" applyNumberFormat="1" applyFont="1" applyBorder="1" applyAlignment="1">
      <alignment vertical="center"/>
    </xf>
    <xf numFmtId="14" fontId="55" fillId="0" borderId="1" xfId="49" applyNumberFormat="1" applyFont="1" applyBorder="1" applyAlignment="1">
      <alignment horizontal="justify" vertical="center" wrapText="1"/>
    </xf>
    <xf numFmtId="0" fontId="32" fillId="0" borderId="1" xfId="49" applyFont="1" applyBorder="1" applyAlignment="1">
      <alignment horizontal="center" vertical="center"/>
    </xf>
    <xf numFmtId="2" fontId="32" fillId="0" borderId="1" xfId="49" applyNumberFormat="1" applyFont="1" applyBorder="1" applyAlignment="1">
      <alignment horizontal="center" vertical="center"/>
    </xf>
    <xf numFmtId="4" fontId="54" fillId="0" borderId="1" xfId="49" applyNumberFormat="1" applyFont="1" applyBorder="1" applyAlignment="1">
      <alignment vertical="center"/>
    </xf>
    <xf numFmtId="14" fontId="55" fillId="0" borderId="10" xfId="49" applyNumberFormat="1" applyFont="1" applyBorder="1" applyAlignment="1">
      <alignment horizontal="justify" vertical="center" wrapText="1"/>
    </xf>
    <xf numFmtId="0" fontId="32" fillId="0" borderId="11" xfId="49" applyFont="1" applyBorder="1" applyAlignment="1">
      <alignment horizontal="center" vertical="center"/>
    </xf>
    <xf numFmtId="2" fontId="32" fillId="0" borderId="11" xfId="49" applyNumberFormat="1" applyFont="1" applyBorder="1" applyAlignment="1">
      <alignment horizontal="center" vertical="center"/>
    </xf>
    <xf numFmtId="4" fontId="54" fillId="0" borderId="11" xfId="49" applyNumberFormat="1" applyFont="1" applyBorder="1" applyAlignment="1">
      <alignment vertical="center"/>
    </xf>
    <xf numFmtId="2" fontId="32" fillId="0" borderId="15" xfId="49" applyNumberFormat="1" applyFont="1" applyBorder="1" applyAlignment="1">
      <alignment horizontal="center" vertical="center"/>
    </xf>
    <xf numFmtId="14" fontId="56" fillId="0" borderId="83" xfId="49" applyNumberFormat="1" applyFont="1" applyBorder="1" applyAlignment="1">
      <alignment vertical="center" wrapText="1"/>
    </xf>
    <xf numFmtId="14" fontId="56" fillId="0" borderId="29" xfId="49" applyNumberFormat="1" applyFont="1" applyBorder="1" applyAlignment="1">
      <alignment vertical="center" wrapText="1"/>
    </xf>
    <xf numFmtId="14" fontId="56" fillId="0" borderId="84" xfId="49" applyNumberFormat="1" applyFont="1" applyBorder="1" applyAlignment="1">
      <alignment vertical="center" wrapText="1"/>
    </xf>
    <xf numFmtId="2" fontId="32" fillId="0" borderId="84" xfId="49" applyNumberFormat="1" applyFont="1" applyBorder="1" applyAlignment="1">
      <alignment horizontal="center" vertical="center"/>
    </xf>
    <xf numFmtId="4" fontId="32" fillId="0" borderId="84" xfId="49" applyNumberFormat="1" applyFont="1" applyBorder="1" applyAlignment="1">
      <alignment vertical="center"/>
    </xf>
    <xf numFmtId="14" fontId="56" fillId="0" borderId="30" xfId="49" applyNumberFormat="1" applyFont="1" applyBorder="1" applyAlignment="1">
      <alignment vertical="center" wrapText="1"/>
    </xf>
    <xf numFmtId="0" fontId="56" fillId="0" borderId="83" xfId="49" applyFont="1" applyBorder="1" applyAlignment="1">
      <alignment horizontal="left" vertical="center" wrapText="1"/>
    </xf>
    <xf numFmtId="4" fontId="54" fillId="3" borderId="1" xfId="49" applyNumberFormat="1" applyFont="1" applyFill="1" applyBorder="1" applyAlignment="1">
      <alignment vertical="center"/>
    </xf>
    <xf numFmtId="3" fontId="34" fillId="0" borderId="51" xfId="42" applyNumberFormat="1" applyFill="1" applyBorder="1" applyAlignment="1">
      <alignment horizontal="center"/>
    </xf>
    <xf numFmtId="4" fontId="30" fillId="0" borderId="17" xfId="41" applyNumberFormat="1" applyFont="1" applyFill="1" applyBorder="1" applyAlignment="1">
      <alignment vertical="center"/>
    </xf>
    <xf numFmtId="0" fontId="47" fillId="5" borderId="1" xfId="41" applyFont="1" applyFill="1" applyBorder="1" applyAlignment="1">
      <alignment horizontal="center" vertical="center" wrapText="1"/>
    </xf>
    <xf numFmtId="4" fontId="47" fillId="5" borderId="1" xfId="41" applyNumberFormat="1" applyFont="1" applyFill="1" applyBorder="1" applyAlignment="1">
      <alignment horizontal="center" vertical="center" wrapText="1"/>
    </xf>
    <xf numFmtId="0" fontId="2" fillId="0" borderId="0" xfId="0" applyFont="1"/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4" fontId="41" fillId="0" borderId="1" xfId="0" applyNumberFormat="1" applyFont="1" applyBorder="1" applyAlignment="1">
      <alignment horizontal="center" vertical="center"/>
    </xf>
    <xf numFmtId="0" fontId="41" fillId="11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1" applyNumberFormat="1" applyFont="1" applyBorder="1"/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wrapText="1"/>
    </xf>
    <xf numFmtId="4" fontId="2" fillId="12" borderId="1" xfId="0" applyNumberFormat="1" applyFont="1" applyFill="1" applyBorder="1" applyAlignment="1">
      <alignment horizontal="center" vertical="center"/>
    </xf>
    <xf numFmtId="4" fontId="2" fillId="12" borderId="1" xfId="1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/>
    <xf numFmtId="0" fontId="2" fillId="11" borderId="1" xfId="0" applyFont="1" applyFill="1" applyBorder="1" applyAlignment="1">
      <alignment wrapText="1"/>
    </xf>
    <xf numFmtId="0" fontId="41" fillId="0" borderId="0" xfId="0" applyFont="1" applyAlignment="1">
      <alignment horizontal="center" vertical="center"/>
    </xf>
    <xf numFmtId="0" fontId="2" fillId="13" borderId="1" xfId="0" applyFont="1" applyFill="1" applyBorder="1" applyAlignment="1">
      <alignment wrapText="1"/>
    </xf>
    <xf numFmtId="165" fontId="41" fillId="0" borderId="0" xfId="51" applyFont="1" applyAlignment="1">
      <alignment horizontal="center" vertical="center"/>
    </xf>
    <xf numFmtId="164" fontId="41" fillId="0" borderId="0" xfId="0" applyNumberFormat="1" applyFont="1" applyAlignment="1">
      <alignment horizontal="center" vertical="center"/>
    </xf>
    <xf numFmtId="4" fontId="41" fillId="13" borderId="1" xfId="1" applyNumberFormat="1" applyFont="1" applyFill="1" applyBorder="1"/>
    <xf numFmtId="0" fontId="2" fillId="11" borderId="1" xfId="0" applyFont="1" applyFill="1" applyBorder="1" applyAlignment="1">
      <alignment horizontal="center" vertical="center"/>
    </xf>
    <xf numFmtId="4" fontId="41" fillId="0" borderId="1" xfId="1" applyNumberFormat="1" applyFont="1" applyFill="1" applyBorder="1"/>
    <xf numFmtId="4" fontId="41" fillId="0" borderId="1" xfId="1" applyNumberFormat="1" applyFont="1" applyFill="1" applyBorder="1" applyAlignment="1">
      <alignment wrapText="1"/>
    </xf>
    <xf numFmtId="165" fontId="2" fillId="0" borderId="0" xfId="51" applyFont="1"/>
    <xf numFmtId="164" fontId="2" fillId="0" borderId="0" xfId="1" applyFont="1"/>
    <xf numFmtId="4" fontId="41" fillId="13" borderId="1" xfId="1" applyNumberFormat="1" applyFont="1" applyFill="1" applyBorder="1" applyAlignment="1">
      <alignment wrapText="1"/>
    </xf>
    <xf numFmtId="0" fontId="41" fillId="11" borderId="0" xfId="0" applyFont="1" applyFill="1" applyAlignment="1">
      <alignment horizontal="center" vertical="center"/>
    </xf>
    <xf numFmtId="164" fontId="2" fillId="0" borderId="1" xfId="1" applyFont="1" applyBorder="1"/>
    <xf numFmtId="164" fontId="41" fillId="13" borderId="1" xfId="1" applyFont="1" applyFill="1" applyBorder="1"/>
    <xf numFmtId="164" fontId="2" fillId="0" borderId="0" xfId="0" applyNumberFormat="1" applyFont="1"/>
    <xf numFmtId="0" fontId="41" fillId="0" borderId="0" xfId="0" applyFont="1" applyFill="1" applyAlignment="1">
      <alignment vertical="center" wrapText="1"/>
    </xf>
    <xf numFmtId="4" fontId="41" fillId="0" borderId="0" xfId="1" applyNumberFormat="1" applyFont="1" applyFill="1"/>
    <xf numFmtId="0" fontId="41" fillId="0" borderId="1" xfId="0" applyFont="1" applyFill="1" applyBorder="1" applyAlignment="1">
      <alignment vertical="center"/>
    </xf>
    <xf numFmtId="0" fontId="41" fillId="0" borderId="1" xfId="0" applyFont="1" applyFill="1" applyBorder="1" applyAlignment="1">
      <alignment vertical="center" wrapText="1"/>
    </xf>
    <xf numFmtId="4" fontId="41" fillId="13" borderId="1" xfId="1" applyNumberFormat="1" applyFont="1" applyFill="1" applyBorder="1" applyAlignment="1">
      <alignment vertical="center"/>
    </xf>
    <xf numFmtId="4" fontId="41" fillId="0" borderId="0" xfId="1" applyNumberFormat="1" applyFont="1" applyFill="1" applyBorder="1" applyAlignment="1">
      <alignment vertical="center"/>
    </xf>
    <xf numFmtId="0" fontId="2" fillId="0" borderId="0" xfId="0" applyFont="1" applyAlignment="1">
      <alignment wrapText="1"/>
    </xf>
    <xf numFmtId="4" fontId="2" fillId="0" borderId="0" xfId="0" applyNumberFormat="1" applyFont="1"/>
    <xf numFmtId="4" fontId="2" fillId="0" borderId="0" xfId="1" applyNumberFormat="1" applyFont="1"/>
    <xf numFmtId="173" fontId="2" fillId="0" borderId="0" xfId="4" applyNumberFormat="1" applyFont="1"/>
    <xf numFmtId="0" fontId="2" fillId="0" borderId="1" xfId="0" applyFont="1" applyBorder="1"/>
    <xf numFmtId="4" fontId="2" fillId="0" borderId="1" xfId="0" applyNumberFormat="1" applyFont="1" applyBorder="1"/>
    <xf numFmtId="4" fontId="41" fillId="13" borderId="12" xfId="1" applyNumberFormat="1" applyFont="1" applyFill="1" applyBorder="1"/>
    <xf numFmtId="0" fontId="41" fillId="0" borderId="0" xfId="0" applyFont="1" applyFill="1" applyBorder="1" applyAlignment="1">
      <alignment horizontal="center" wrapText="1"/>
    </xf>
    <xf numFmtId="4" fontId="41" fillId="0" borderId="0" xfId="1" applyNumberFormat="1" applyFont="1" applyFill="1" applyBorder="1"/>
    <xf numFmtId="0" fontId="0" fillId="0" borderId="0" xfId="0" applyFont="1" applyAlignment="1">
      <alignment wrapText="1"/>
    </xf>
    <xf numFmtId="9" fontId="41" fillId="0" borderId="0" xfId="0" applyNumberFormat="1" applyFont="1" applyFill="1" applyBorder="1" applyAlignment="1">
      <alignment horizontal="center" wrapText="1"/>
    </xf>
    <xf numFmtId="4" fontId="41" fillId="0" borderId="0" xfId="0" applyNumberFormat="1" applyFont="1"/>
    <xf numFmtId="0" fontId="41" fillId="0" borderId="0" xfId="0" applyFont="1" applyAlignment="1">
      <alignment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34" fillId="4" borderId="58" xfId="42" applyNumberFormat="1" applyFill="1" applyBorder="1"/>
    <xf numFmtId="4" fontId="34" fillId="4" borderId="58" xfId="42" applyNumberFormat="1" applyFill="1" applyBorder="1"/>
    <xf numFmtId="0" fontId="34" fillId="4" borderId="58" xfId="42" applyFill="1" applyBorder="1"/>
    <xf numFmtId="4" fontId="34" fillId="4" borderId="59" xfId="42" applyNumberFormat="1" applyFill="1" applyBorder="1"/>
    <xf numFmtId="0" fontId="34" fillId="4" borderId="51" xfId="42" applyNumberFormat="1" applyFill="1" applyBorder="1"/>
    <xf numFmtId="4" fontId="34" fillId="4" borderId="51" xfId="42" applyNumberFormat="1" applyFill="1" applyBorder="1"/>
    <xf numFmtId="0" fontId="34" fillId="4" borderId="51" xfId="42" applyFill="1" applyBorder="1"/>
    <xf numFmtId="4" fontId="34" fillId="4" borderId="52" xfId="42" applyNumberFormat="1" applyFill="1" applyBorder="1"/>
    <xf numFmtId="0" fontId="35" fillId="4" borderId="51" xfId="42" applyNumberFormat="1" applyFont="1" applyFill="1" applyBorder="1"/>
    <xf numFmtId="4" fontId="35" fillId="4" borderId="51" xfId="42" applyNumberFormat="1" applyFont="1" applyFill="1" applyBorder="1"/>
    <xf numFmtId="0" fontId="35" fillId="4" borderId="51" xfId="42" applyFont="1" applyFill="1" applyBorder="1"/>
    <xf numFmtId="4" fontId="35" fillId="4" borderId="52" xfId="42" applyNumberFormat="1" applyFont="1" applyFill="1" applyBorder="1"/>
    <xf numFmtId="3" fontId="34" fillId="4" borderId="51" xfId="42" applyNumberFormat="1" applyFill="1" applyBorder="1" applyAlignment="1">
      <alignment horizontal="center"/>
    </xf>
    <xf numFmtId="0" fontId="34" fillId="4" borderId="54" xfId="42" applyNumberFormat="1" applyFill="1" applyBorder="1"/>
    <xf numFmtId="4" fontId="34" fillId="4" borderId="54" xfId="42" applyNumberFormat="1" applyFill="1" applyBorder="1"/>
    <xf numFmtId="0" fontId="34" fillId="4" borderId="54" xfId="42" applyFill="1" applyBorder="1"/>
    <xf numFmtId="0" fontId="34" fillId="4" borderId="46" xfId="42" applyNumberFormat="1" applyFill="1" applyBorder="1"/>
    <xf numFmtId="4" fontId="34" fillId="4" borderId="46" xfId="42" applyNumberFormat="1" applyFill="1" applyBorder="1"/>
    <xf numFmtId="0" fontId="34" fillId="4" borderId="49" xfId="42" applyNumberFormat="1" applyFill="1" applyBorder="1"/>
    <xf numFmtId="4" fontId="34" fillId="4" borderId="49" xfId="42" applyNumberFormat="1" applyFill="1" applyBorder="1"/>
    <xf numFmtId="0" fontId="34" fillId="4" borderId="0" xfId="42" applyNumberFormat="1" applyFill="1"/>
    <xf numFmtId="4" fontId="34" fillId="4" borderId="0" xfId="42" applyNumberFormat="1" applyFill="1"/>
    <xf numFmtId="0" fontId="34" fillId="4" borderId="0" xfId="42" applyFill="1"/>
    <xf numFmtId="0" fontId="35" fillId="4" borderId="61" xfId="42" applyNumberFormat="1" applyFont="1" applyFill="1" applyBorder="1"/>
    <xf numFmtId="4" fontId="35" fillId="4" borderId="61" xfId="42" applyNumberFormat="1" applyFont="1" applyFill="1" applyBorder="1"/>
    <xf numFmtId="0" fontId="35" fillId="4" borderId="61" xfId="42" applyFont="1" applyFill="1" applyBorder="1"/>
    <xf numFmtId="4" fontId="35" fillId="4" borderId="62" xfId="42" applyNumberFormat="1" applyFont="1" applyFill="1" applyBorder="1"/>
    <xf numFmtId="4" fontId="34" fillId="4" borderId="55" xfId="42" applyNumberFormat="1" applyFill="1" applyBorder="1"/>
    <xf numFmtId="4" fontId="34" fillId="4" borderId="47" xfId="42" applyNumberFormat="1" applyFill="1" applyBorder="1"/>
    <xf numFmtId="4" fontId="34" fillId="4" borderId="56" xfId="42" applyNumberFormat="1" applyFill="1" applyBorder="1"/>
    <xf numFmtId="0" fontId="17" fillId="0" borderId="0" xfId="52"/>
    <xf numFmtId="0" fontId="42" fillId="0" borderId="45" xfId="52" applyFont="1" applyBorder="1" applyAlignment="1">
      <alignment horizontal="center" vertical="center"/>
    </xf>
    <xf numFmtId="0" fontId="42" fillId="0" borderId="46" xfId="52" applyFont="1" applyBorder="1" applyAlignment="1">
      <alignment horizontal="center" vertical="center"/>
    </xf>
    <xf numFmtId="0" fontId="42" fillId="0" borderId="47" xfId="52" applyFont="1" applyBorder="1" applyAlignment="1">
      <alignment horizontal="center" vertical="center"/>
    </xf>
    <xf numFmtId="0" fontId="42" fillId="0" borderId="50" xfId="52" applyFont="1" applyBorder="1" applyAlignment="1">
      <alignment horizontal="center" vertical="center"/>
    </xf>
    <xf numFmtId="0" fontId="42" fillId="0" borderId="51" xfId="52" applyFont="1" applyBorder="1" applyAlignment="1">
      <alignment horizontal="center" vertical="center"/>
    </xf>
    <xf numFmtId="0" fontId="17" fillId="0" borderId="51" xfId="52" applyBorder="1" applyAlignment="1">
      <alignment horizontal="center" vertical="center"/>
    </xf>
    <xf numFmtId="0" fontId="17" fillId="0" borderId="52" xfId="52" applyBorder="1" applyAlignment="1">
      <alignment horizontal="center" vertical="center"/>
    </xf>
    <xf numFmtId="0" fontId="42" fillId="0" borderId="48" xfId="52" applyFont="1" applyBorder="1" applyAlignment="1">
      <alignment horizontal="center" vertical="center"/>
    </xf>
    <xf numFmtId="0" fontId="17" fillId="0" borderId="49" xfId="52" applyBorder="1" applyAlignment="1">
      <alignment horizontal="center" vertical="center"/>
    </xf>
    <xf numFmtId="0" fontId="17" fillId="0" borderId="56" xfId="52" applyBorder="1" applyAlignment="1">
      <alignment horizontal="center" vertical="center"/>
    </xf>
    <xf numFmtId="0" fontId="42" fillId="0" borderId="7" xfId="52" applyFont="1" applyBorder="1" applyAlignment="1">
      <alignment horizontal="center"/>
    </xf>
    <xf numFmtId="0" fontId="17" fillId="0" borderId="8" xfId="52" applyBorder="1" applyAlignment="1">
      <alignment horizontal="center" vertical="center"/>
    </xf>
    <xf numFmtId="0" fontId="17" fillId="0" borderId="9" xfId="52" applyBorder="1" applyAlignment="1">
      <alignment horizontal="center" vertical="center"/>
    </xf>
    <xf numFmtId="0" fontId="17" fillId="0" borderId="0" xfId="52" applyAlignment="1">
      <alignment horizontal="center"/>
    </xf>
    <xf numFmtId="0" fontId="42" fillId="0" borderId="0" xfId="52" applyFont="1" applyAlignment="1">
      <alignment horizontal="center" vertical="center"/>
    </xf>
    <xf numFmtId="0" fontId="17" fillId="0" borderId="7" xfId="52" applyBorder="1"/>
    <xf numFmtId="0" fontId="58" fillId="0" borderId="45" xfId="2" applyFont="1" applyBorder="1" applyAlignment="1">
      <alignment horizontal="center"/>
    </xf>
    <xf numFmtId="0" fontId="58" fillId="0" borderId="46" xfId="2" applyFont="1" applyBorder="1" applyAlignment="1">
      <alignment horizontal="center"/>
    </xf>
    <xf numFmtId="0" fontId="58" fillId="0" borderId="47" xfId="2" applyFont="1" applyBorder="1" applyAlignment="1">
      <alignment horizontal="center"/>
    </xf>
    <xf numFmtId="0" fontId="58" fillId="0" borderId="79" xfId="2" applyFont="1" applyBorder="1" applyAlignment="1">
      <alignment horizontal="center"/>
    </xf>
    <xf numFmtId="0" fontId="58" fillId="0" borderId="57" xfId="2" applyFont="1" applyBorder="1" applyAlignment="1">
      <alignment horizontal="center"/>
    </xf>
    <xf numFmtId="0" fontId="58" fillId="0" borderId="77" xfId="2" applyFont="1" applyBorder="1" applyAlignment="1">
      <alignment horizontal="center"/>
    </xf>
    <xf numFmtId="0" fontId="58" fillId="0" borderId="80" xfId="2" applyFont="1" applyBorder="1" applyAlignment="1">
      <alignment horizontal="center"/>
    </xf>
    <xf numFmtId="0" fontId="58" fillId="0" borderId="50" xfId="2" applyFont="1" applyBorder="1" applyAlignment="1">
      <alignment horizontal="center"/>
    </xf>
    <xf numFmtId="0" fontId="58" fillId="0" borderId="51" xfId="2" applyFont="1" applyBorder="1" applyAlignment="1">
      <alignment horizontal="center"/>
    </xf>
    <xf numFmtId="0" fontId="58" fillId="0" borderId="52" xfId="2" applyFont="1" applyBorder="1" applyAlignment="1">
      <alignment horizontal="center"/>
    </xf>
    <xf numFmtId="0" fontId="58" fillId="0" borderId="81" xfId="2" applyFont="1" applyBorder="1" applyAlignment="1">
      <alignment horizontal="center"/>
    </xf>
    <xf numFmtId="0" fontId="58" fillId="0" borderId="78" xfId="2" applyFont="1" applyBorder="1" applyAlignment="1">
      <alignment horizontal="center"/>
    </xf>
    <xf numFmtId="0" fontId="58" fillId="0" borderId="82" xfId="2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19" fillId="0" borderId="81" xfId="0" applyFont="1" applyBorder="1" applyAlignment="1">
      <alignment horizontal="center"/>
    </xf>
    <xf numFmtId="0" fontId="19" fillId="0" borderId="78" xfId="0" applyFont="1" applyBorder="1" applyAlignment="1">
      <alignment horizontal="center"/>
    </xf>
    <xf numFmtId="0" fontId="19" fillId="0" borderId="82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85" xfId="0" applyBorder="1" applyAlignment="1">
      <alignment horizontal="left"/>
    </xf>
    <xf numFmtId="0" fontId="0" fillId="0" borderId="86" xfId="0" applyBorder="1" applyAlignment="1">
      <alignment horizontal="left"/>
    </xf>
    <xf numFmtId="0" fontId="0" fillId="0" borderId="87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88" xfId="0" applyBorder="1" applyAlignment="1">
      <alignment horizontal="center"/>
    </xf>
    <xf numFmtId="4" fontId="26" fillId="0" borderId="1" xfId="42" applyNumberFormat="1" applyFont="1" applyBorder="1" applyAlignment="1">
      <alignment horizontal="center" vertical="center"/>
    </xf>
    <xf numFmtId="0" fontId="58" fillId="0" borderId="45" xfId="2" applyFont="1" applyBorder="1" applyAlignment="1">
      <alignment horizontal="left"/>
    </xf>
    <xf numFmtId="0" fontId="58" fillId="12" borderId="46" xfId="2" applyFont="1" applyFill="1" applyBorder="1" applyAlignment="1">
      <alignment horizontal="center"/>
    </xf>
    <xf numFmtId="0" fontId="58" fillId="0" borderId="47" xfId="2" applyFont="1" applyBorder="1" applyAlignment="1">
      <alignment horizontal="center" vertical="center"/>
    </xf>
    <xf numFmtId="0" fontId="58" fillId="0" borderId="50" xfId="2" applyFont="1" applyBorder="1" applyAlignment="1">
      <alignment horizontal="left"/>
    </xf>
    <xf numFmtId="0" fontId="58" fillId="12" borderId="51" xfId="2" applyFont="1" applyFill="1" applyBorder="1" applyAlignment="1">
      <alignment horizontal="center"/>
    </xf>
    <xf numFmtId="0" fontId="58" fillId="0" borderId="52" xfId="2" applyFont="1" applyBorder="1" applyAlignment="1">
      <alignment horizontal="center" vertical="center"/>
    </xf>
    <xf numFmtId="0" fontId="58" fillId="0" borderId="48" xfId="2" applyFont="1" applyBorder="1" applyAlignment="1">
      <alignment horizontal="left"/>
    </xf>
    <xf numFmtId="0" fontId="58" fillId="12" borderId="49" xfId="2" applyFont="1" applyFill="1" applyBorder="1" applyAlignment="1">
      <alignment horizontal="center"/>
    </xf>
    <xf numFmtId="0" fontId="58" fillId="0" borderId="56" xfId="2" applyFont="1" applyBorder="1" applyAlignment="1">
      <alignment horizontal="center" vertical="center"/>
    </xf>
    <xf numFmtId="0" fontId="58" fillId="0" borderId="0" xfId="2" applyFont="1" applyAlignment="1">
      <alignment horizontal="left"/>
    </xf>
    <xf numFmtId="0" fontId="58" fillId="12" borderId="8" xfId="2" applyFont="1" applyFill="1" applyBorder="1" applyAlignment="1">
      <alignment horizontal="center"/>
    </xf>
    <xf numFmtId="0" fontId="58" fillId="0" borderId="0" xfId="2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6" fillId="1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6" fillId="15" borderId="1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3" fillId="14" borderId="1" xfId="0" applyFont="1" applyFill="1" applyBorder="1" applyAlignment="1">
      <alignment vertical="center"/>
    </xf>
    <xf numFmtId="2" fontId="23" fillId="14" borderId="1" xfId="0" applyNumberFormat="1" applyFont="1" applyFill="1" applyBorder="1" applyAlignment="1">
      <alignment horizontal="center" vertical="center"/>
    </xf>
    <xf numFmtId="0" fontId="23" fillId="14" borderId="1" xfId="0" applyFont="1" applyFill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75" fontId="27" fillId="0" borderId="1" xfId="0" applyNumberFormat="1" applyFont="1" applyBorder="1" applyAlignment="1">
      <alignment horizontal="center" vertical="center"/>
    </xf>
    <xf numFmtId="174" fontId="27" fillId="14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0" fontId="23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vertical="center"/>
    </xf>
    <xf numFmtId="0" fontId="51" fillId="0" borderId="3" xfId="40" applyFont="1" applyFill="1" applyBorder="1" applyAlignment="1">
      <alignment vertical="top" wrapText="1"/>
    </xf>
    <xf numFmtId="0" fontId="51" fillId="0" borderId="4" xfId="40" applyFont="1" applyFill="1" applyBorder="1" applyAlignment="1">
      <alignment vertical="top" wrapText="1"/>
    </xf>
    <xf numFmtId="0" fontId="29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169" fontId="22" fillId="0" borderId="11" xfId="0" applyNumberFormat="1" applyFont="1" applyBorder="1" applyAlignment="1">
      <alignment vertical="center"/>
    </xf>
    <xf numFmtId="169" fontId="22" fillId="0" borderId="11" xfId="0" applyNumberFormat="1" applyFont="1" applyBorder="1" applyAlignment="1">
      <alignment horizontal="right" vertical="center"/>
    </xf>
    <xf numFmtId="169" fontId="59" fillId="0" borderId="11" xfId="0" applyNumberFormat="1" applyFont="1" applyBorder="1" applyAlignment="1">
      <alignment horizontal="right" vertical="center"/>
    </xf>
    <xf numFmtId="170" fontId="22" fillId="0" borderId="11" xfId="4" applyNumberFormat="1" applyFont="1" applyBorder="1" applyAlignment="1">
      <alignment horizontal="right" vertical="center"/>
    </xf>
    <xf numFmtId="4" fontId="22" fillId="0" borderId="11" xfId="0" applyNumberFormat="1" applyFont="1" applyBorder="1" applyAlignment="1">
      <alignment horizontal="right" vertical="center"/>
    </xf>
    <xf numFmtId="0" fontId="24" fillId="0" borderId="0" xfId="40" applyFont="1">
      <alignment wrapText="1"/>
    </xf>
    <xf numFmtId="0" fontId="17" fillId="0" borderId="0" xfId="40" applyFont="1">
      <alignment wrapText="1"/>
    </xf>
    <xf numFmtId="4" fontId="17" fillId="0" borderId="0" xfId="40" applyNumberFormat="1" applyFont="1">
      <alignment wrapText="1"/>
    </xf>
    <xf numFmtId="0" fontId="24" fillId="0" borderId="6" xfId="40" applyFont="1" applyBorder="1">
      <alignment wrapText="1"/>
    </xf>
    <xf numFmtId="0" fontId="52" fillId="0" borderId="1" xfId="40" applyFont="1" applyFill="1" applyBorder="1" applyAlignment="1">
      <alignment horizontal="center" vertical="center" wrapText="1"/>
    </xf>
    <xf numFmtId="0" fontId="24" fillId="0" borderId="1" xfId="40" applyFont="1" applyBorder="1">
      <alignment wrapText="1"/>
    </xf>
    <xf numFmtId="0" fontId="52" fillId="0" borderId="1" xfId="40" applyFont="1" applyFill="1" applyBorder="1" applyAlignment="1" applyProtection="1">
      <alignment horizontal="center" vertical="center" wrapText="1"/>
    </xf>
    <xf numFmtId="0" fontId="52" fillId="0" borderId="1" xfId="40" applyFont="1" applyFill="1" applyBorder="1" applyAlignment="1" applyProtection="1">
      <alignment vertical="center" wrapText="1"/>
    </xf>
    <xf numFmtId="0" fontId="48" fillId="0" borderId="1" xfId="40" applyFont="1" applyFill="1" applyBorder="1" applyAlignment="1" applyProtection="1">
      <alignment horizontal="center" vertical="center" wrapText="1"/>
    </xf>
    <xf numFmtId="0" fontId="48" fillId="0" borderId="1" xfId="40" applyFont="1" applyFill="1" applyBorder="1" applyAlignment="1" applyProtection="1">
      <alignment horizontal="justify" vertical="center" wrapText="1"/>
    </xf>
    <xf numFmtId="0" fontId="52" fillId="0" borderId="1" xfId="40" applyFont="1" applyFill="1" applyBorder="1" applyAlignment="1" applyProtection="1">
      <alignment vertical="top" wrapText="1"/>
    </xf>
    <xf numFmtId="0" fontId="48" fillId="0" borderId="1" xfId="40" applyFont="1" applyFill="1" applyBorder="1" applyAlignment="1" applyProtection="1">
      <alignment vertical="center" wrapText="1"/>
    </xf>
    <xf numFmtId="172" fontId="48" fillId="0" borderId="1" xfId="40" applyNumberFormat="1" applyFont="1" applyFill="1" applyBorder="1" applyAlignment="1" applyProtection="1">
      <alignment horizontal="center" vertical="center" wrapText="1"/>
    </xf>
    <xf numFmtId="0" fontId="17" fillId="0" borderId="1" xfId="40" applyFont="1" applyBorder="1">
      <alignment wrapText="1"/>
    </xf>
    <xf numFmtId="2" fontId="48" fillId="0" borderId="1" xfId="40" applyNumberFormat="1" applyFont="1" applyFill="1" applyBorder="1" applyAlignment="1" applyProtection="1">
      <alignment horizontal="center" vertical="center" wrapText="1"/>
    </xf>
    <xf numFmtId="0" fontId="17" fillId="0" borderId="0" xfId="40" applyFont="1" applyAlignment="1">
      <alignment vertical="center" wrapText="1"/>
    </xf>
    <xf numFmtId="172" fontId="52" fillId="0" borderId="1" xfId="40" applyNumberFormat="1" applyFont="1" applyFill="1" applyBorder="1" applyAlignment="1" applyProtection="1">
      <alignment horizontal="center" vertical="center" wrapText="1"/>
    </xf>
    <xf numFmtId="176" fontId="19" fillId="0" borderId="0" xfId="40" applyNumberFormat="1" applyFont="1" applyBorder="1">
      <alignment wrapText="1"/>
    </xf>
    <xf numFmtId="176" fontId="24" fillId="0" borderId="0" xfId="40" applyNumberFormat="1" applyFont="1">
      <alignment wrapText="1"/>
    </xf>
    <xf numFmtId="0" fontId="48" fillId="0" borderId="15" xfId="40" applyFont="1" applyFill="1" applyBorder="1" applyAlignment="1" applyProtection="1">
      <alignment horizontal="justify" vertical="center" wrapText="1"/>
    </xf>
    <xf numFmtId="0" fontId="50" fillId="0" borderId="1" xfId="40" applyFont="1" applyFill="1" applyBorder="1" applyAlignment="1" applyProtection="1">
      <alignment horizontal="center" vertical="center" wrapText="1"/>
    </xf>
    <xf numFmtId="2" fontId="49" fillId="0" borderId="1" xfId="40" applyNumberFormat="1" applyFont="1" applyFill="1" applyBorder="1" applyAlignment="1" applyProtection="1">
      <alignment horizontal="center" vertical="center" wrapText="1"/>
    </xf>
    <xf numFmtId="0" fontId="49" fillId="0" borderId="1" xfId="40" applyFont="1" applyFill="1" applyBorder="1" applyAlignment="1" applyProtection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4" fontId="29" fillId="2" borderId="13" xfId="0" applyNumberFormat="1" applyFont="1" applyFill="1" applyBorder="1" applyAlignment="1">
      <alignment horizontal="center" vertical="center" wrapText="1"/>
    </xf>
    <xf numFmtId="172" fontId="24" fillId="0" borderId="1" xfId="40" applyNumberFormat="1" applyFont="1" applyFill="1" applyBorder="1" applyAlignment="1" applyProtection="1">
      <alignment horizontal="center" vertical="center" wrapText="1"/>
    </xf>
    <xf numFmtId="0" fontId="52" fillId="0" borderId="1" xfId="40" applyFont="1" applyFill="1" applyBorder="1" applyAlignment="1" applyProtection="1">
      <alignment horizontal="justify" vertical="center" wrapText="1"/>
    </xf>
    <xf numFmtId="0" fontId="52" fillId="2" borderId="1" xfId="40" applyFont="1" applyFill="1" applyBorder="1" applyAlignment="1">
      <alignment horizontal="center" vertical="center" wrapText="1"/>
    </xf>
    <xf numFmtId="0" fontId="52" fillId="2" borderId="1" xfId="40" applyFont="1" applyFill="1" applyBorder="1" applyAlignment="1">
      <alignment horizontal="left" vertical="center" wrapText="1"/>
    </xf>
    <xf numFmtId="0" fontId="48" fillId="0" borderId="1" xfId="40" applyFont="1" applyFill="1" applyBorder="1" applyAlignment="1">
      <alignment horizontal="center" vertical="center" wrapText="1"/>
    </xf>
    <xf numFmtId="2" fontId="48" fillId="0" borderId="1" xfId="40" applyNumberFormat="1" applyFont="1" applyFill="1" applyBorder="1" applyAlignment="1">
      <alignment horizontal="center" vertical="center" wrapText="1"/>
    </xf>
    <xf numFmtId="177" fontId="48" fillId="0" borderId="1" xfId="40" applyNumberFormat="1" applyFont="1" applyFill="1" applyBorder="1" applyAlignment="1">
      <alignment horizontal="center" vertical="center" wrapText="1"/>
    </xf>
    <xf numFmtId="0" fontId="48" fillId="0" borderId="10" xfId="40" applyFont="1" applyFill="1" applyBorder="1" applyAlignment="1" applyProtection="1">
      <alignment horizontal="center" vertical="center" wrapText="1"/>
    </xf>
    <xf numFmtId="0" fontId="48" fillId="0" borderId="11" xfId="40" applyFont="1" applyFill="1" applyBorder="1" applyAlignment="1" applyProtection="1">
      <alignment vertical="center" wrapText="1"/>
    </xf>
    <xf numFmtId="0" fontId="48" fillId="0" borderId="11" xfId="40" applyFont="1" applyFill="1" applyBorder="1" applyAlignment="1" applyProtection="1">
      <alignment horizontal="center" vertical="center" wrapText="1"/>
    </xf>
    <xf numFmtId="2" fontId="48" fillId="0" borderId="11" xfId="40" applyNumberFormat="1" applyFont="1" applyFill="1" applyBorder="1" applyAlignment="1" applyProtection="1">
      <alignment horizontal="center" vertical="center" wrapText="1"/>
    </xf>
    <xf numFmtId="176" fontId="48" fillId="0" borderId="12" xfId="40" applyNumberFormat="1" applyFont="1" applyFill="1" applyBorder="1" applyAlignment="1">
      <alignment horizontal="right" vertical="center" wrapText="1"/>
    </xf>
    <xf numFmtId="0" fontId="52" fillId="0" borderId="15" xfId="40" applyFont="1" applyFill="1" applyBorder="1" applyAlignment="1" applyProtection="1">
      <alignment horizontal="justify" vertical="center" wrapText="1"/>
    </xf>
    <xf numFmtId="0" fontId="24" fillId="0" borderId="1" xfId="40" applyFont="1" applyFill="1" applyBorder="1" applyAlignment="1" applyProtection="1">
      <alignment horizontal="justify" vertical="center" wrapText="1"/>
    </xf>
    <xf numFmtId="2" fontId="24" fillId="0" borderId="1" xfId="40" applyNumberFormat="1" applyFont="1" applyFill="1" applyBorder="1" applyAlignment="1" applyProtection="1">
      <alignment horizontal="center" vertical="center" wrapText="1"/>
    </xf>
    <xf numFmtId="2" fontId="29" fillId="0" borderId="1" xfId="40" applyNumberFormat="1" applyFont="1" applyFill="1" applyBorder="1" applyAlignment="1" applyProtection="1">
      <alignment horizontal="center" vertical="center" wrapText="1"/>
    </xf>
    <xf numFmtId="0" fontId="52" fillId="2" borderId="10" xfId="40" applyFont="1" applyFill="1" applyBorder="1" applyAlignment="1">
      <alignment horizontal="center" vertical="center" wrapText="1"/>
    </xf>
    <xf numFmtId="0" fontId="52" fillId="2" borderId="15" xfId="40" applyFont="1" applyFill="1" applyBorder="1" applyAlignment="1">
      <alignment horizontal="left" vertical="center" wrapText="1"/>
    </xf>
    <xf numFmtId="0" fontId="52" fillId="0" borderId="10" xfId="40" applyFont="1" applyFill="1" applyBorder="1" applyAlignment="1" applyProtection="1">
      <alignment horizontal="center" vertical="center" wrapText="1"/>
    </xf>
    <xf numFmtId="172" fontId="29" fillId="0" borderId="1" xfId="40" applyNumberFormat="1" applyFont="1" applyFill="1" applyBorder="1" applyAlignment="1" applyProtection="1">
      <alignment horizontal="center" vertical="center" wrapText="1"/>
    </xf>
    <xf numFmtId="176" fontId="48" fillId="0" borderId="11" xfId="40" applyNumberFormat="1" applyFont="1" applyFill="1" applyBorder="1" applyAlignment="1">
      <alignment horizontal="right" vertical="center" wrapText="1"/>
    </xf>
    <xf numFmtId="44" fontId="0" fillId="0" borderId="0" xfId="0" applyNumberFormat="1"/>
    <xf numFmtId="10" fontId="59" fillId="0" borderId="12" xfId="4" applyNumberFormat="1" applyFont="1" applyBorder="1" applyAlignment="1">
      <alignment horizontal="center" vertical="center"/>
    </xf>
    <xf numFmtId="0" fontId="28" fillId="7" borderId="36" xfId="48" applyFont="1" applyFill="1" applyBorder="1" applyAlignment="1">
      <alignment horizontal="center" vertical="center"/>
    </xf>
    <xf numFmtId="0" fontId="28" fillId="7" borderId="37" xfId="48" applyFont="1" applyFill="1" applyBorder="1" applyAlignment="1">
      <alignment horizontal="center" vertical="center" wrapText="1"/>
    </xf>
    <xf numFmtId="0" fontId="30" fillId="0" borderId="91" xfId="48" applyFont="1" applyFill="1" applyBorder="1" applyAlignment="1">
      <alignment horizontal="left" vertical="center" wrapText="1"/>
    </xf>
    <xf numFmtId="0" fontId="28" fillId="7" borderId="36" xfId="48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66" xfId="0" applyBorder="1"/>
    <xf numFmtId="0" fontId="30" fillId="0" borderId="93" xfId="48" applyFont="1" applyFill="1" applyBorder="1" applyAlignment="1">
      <alignment horizontal="left" vertical="center" wrapText="1"/>
    </xf>
    <xf numFmtId="0" fontId="28" fillId="7" borderId="94" xfId="48" applyFont="1" applyFill="1" applyBorder="1" applyAlignment="1">
      <alignment horizontal="center" vertical="center" wrapText="1"/>
    </xf>
    <xf numFmtId="0" fontId="0" fillId="0" borderId="76" xfId="0" applyBorder="1"/>
    <xf numFmtId="0" fontId="0" fillId="0" borderId="71" xfId="0" applyBorder="1"/>
    <xf numFmtId="0" fontId="23" fillId="0" borderId="1" xfId="10" applyFont="1" applyBorder="1" applyAlignment="1">
      <alignment horizontal="center" vertical="center"/>
    </xf>
    <xf numFmtId="0" fontId="38" fillId="0" borderId="89" xfId="10" applyFont="1" applyBorder="1" applyAlignment="1">
      <alignment horizontal="center" vertical="center"/>
    </xf>
    <xf numFmtId="0" fontId="38" fillId="0" borderId="90" xfId="10" applyFont="1" applyBorder="1" applyAlignment="1">
      <alignment horizontal="center" vertic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38" fillId="3" borderId="33" xfId="0" applyFont="1" applyFill="1" applyBorder="1" applyAlignment="1">
      <alignment horizontal="center" vertical="center" wrapText="1"/>
    </xf>
    <xf numFmtId="0" fontId="38" fillId="3" borderId="35" xfId="0" applyFont="1" applyFill="1" applyBorder="1" applyAlignment="1">
      <alignment horizontal="center" vertical="center" wrapText="1"/>
    </xf>
    <xf numFmtId="0" fontId="38" fillId="3" borderId="36" xfId="0" applyFont="1" applyFill="1" applyBorder="1" applyAlignment="1">
      <alignment horizontal="center" vertical="center" wrapText="1"/>
    </xf>
    <xf numFmtId="0" fontId="38" fillId="3" borderId="37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4" fontId="29" fillId="7" borderId="15" xfId="0" applyNumberFormat="1" applyFont="1" applyFill="1" applyBorder="1" applyAlignment="1">
      <alignment horizontal="center" vertical="center" wrapText="1"/>
    </xf>
    <xf numFmtId="4" fontId="29" fillId="7" borderId="13" xfId="0" applyNumberFormat="1" applyFont="1" applyFill="1" applyBorder="1" applyAlignment="1">
      <alignment horizontal="center" vertical="center" wrapText="1"/>
    </xf>
    <xf numFmtId="0" fontId="28" fillId="7" borderId="15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169" fontId="28" fillId="7" borderId="15" xfId="0" applyNumberFormat="1" applyFont="1" applyFill="1" applyBorder="1" applyAlignment="1">
      <alignment horizontal="center" vertical="center" wrapText="1"/>
    </xf>
    <xf numFmtId="169" fontId="28" fillId="7" borderId="13" xfId="0" applyNumberFormat="1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1" fillId="11" borderId="10" xfId="0" applyFont="1" applyFill="1" applyBorder="1" applyAlignment="1">
      <alignment horizontal="center" wrapText="1"/>
    </xf>
    <xf numFmtId="0" fontId="41" fillId="11" borderId="11" xfId="0" applyFont="1" applyFill="1" applyBorder="1" applyAlignment="1">
      <alignment horizontal="center" wrapText="1"/>
    </xf>
    <xf numFmtId="0" fontId="41" fillId="11" borderId="12" xfId="0" applyFont="1" applyFill="1" applyBorder="1" applyAlignment="1">
      <alignment horizontal="center" wrapText="1"/>
    </xf>
    <xf numFmtId="0" fontId="41" fillId="11" borderId="1" xfId="0" applyFont="1" applyFill="1" applyBorder="1" applyAlignment="1">
      <alignment horizontal="center" wrapText="1"/>
    </xf>
    <xf numFmtId="0" fontId="41" fillId="11" borderId="0" xfId="0" applyFont="1" applyFill="1" applyAlignment="1">
      <alignment horizontal="center" wrapText="1"/>
    </xf>
    <xf numFmtId="0" fontId="41" fillId="11" borderId="1" xfId="0" applyFont="1" applyFill="1" applyBorder="1" applyAlignment="1">
      <alignment horizontal="center"/>
    </xf>
    <xf numFmtId="0" fontId="41" fillId="13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41" fillId="13" borderId="10" xfId="0" applyFont="1" applyFill="1" applyBorder="1" applyAlignment="1">
      <alignment horizontal="center" vertical="center" wrapText="1"/>
    </xf>
    <xf numFmtId="0" fontId="41" fillId="13" borderId="11" xfId="0" applyFont="1" applyFill="1" applyBorder="1" applyAlignment="1">
      <alignment horizontal="center" vertical="center" wrapText="1"/>
    </xf>
    <xf numFmtId="0" fontId="41" fillId="1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41" fillId="0" borderId="4" xfId="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13" borderId="10" xfId="0" applyFont="1" applyFill="1" applyBorder="1" applyAlignment="1">
      <alignment horizontal="center" wrapText="1"/>
    </xf>
    <xf numFmtId="0" fontId="41" fillId="13" borderId="11" xfId="0" applyFont="1" applyFill="1" applyBorder="1" applyAlignment="1">
      <alignment horizontal="center" wrapText="1"/>
    </xf>
    <xf numFmtId="0" fontId="41" fillId="13" borderId="12" xfId="0" applyFont="1" applyFill="1" applyBorder="1" applyAlignment="1">
      <alignment horizontal="center" wrapText="1"/>
    </xf>
    <xf numFmtId="0" fontId="2" fillId="11" borderId="10" xfId="0" applyFont="1" applyFill="1" applyBorder="1" applyAlignment="1">
      <alignment horizontal="center" wrapText="1"/>
    </xf>
    <xf numFmtId="0" fontId="2" fillId="11" borderId="11" xfId="0" applyFont="1" applyFill="1" applyBorder="1" applyAlignment="1">
      <alignment horizontal="center" wrapText="1"/>
    </xf>
    <xf numFmtId="0" fontId="2" fillId="11" borderId="12" xfId="0" applyFont="1" applyFill="1" applyBorder="1" applyAlignment="1">
      <alignment horizontal="center" wrapText="1"/>
    </xf>
    <xf numFmtId="0" fontId="18" fillId="0" borderId="15" xfId="41" applyFont="1" applyBorder="1" applyAlignment="1">
      <alignment horizontal="center" vertical="center"/>
    </xf>
    <xf numFmtId="0" fontId="18" fillId="0" borderId="14" xfId="41" applyFont="1" applyBorder="1" applyAlignment="1">
      <alignment horizontal="center" vertical="center"/>
    </xf>
    <xf numFmtId="0" fontId="18" fillId="0" borderId="13" xfId="41" applyFont="1" applyBorder="1" applyAlignment="1">
      <alignment horizontal="center" vertical="center"/>
    </xf>
    <xf numFmtId="0" fontId="57" fillId="14" borderId="3" xfId="52" applyFont="1" applyFill="1" applyBorder="1" applyAlignment="1">
      <alignment horizontal="center"/>
    </xf>
    <xf numFmtId="0" fontId="57" fillId="14" borderId="4" xfId="52" applyFont="1" applyFill="1" applyBorder="1" applyAlignment="1">
      <alignment horizontal="center"/>
    </xf>
    <xf numFmtId="0" fontId="57" fillId="14" borderId="5" xfId="52" applyFon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169" fontId="22" fillId="0" borderId="10" xfId="0" applyNumberFormat="1" applyFont="1" applyBorder="1" applyAlignment="1">
      <alignment horizontal="center" vertical="center"/>
    </xf>
    <xf numFmtId="169" fontId="22" fillId="0" borderId="11" xfId="0" applyNumberFormat="1" applyFont="1" applyBorder="1" applyAlignment="1">
      <alignment horizontal="center" vertical="center"/>
    </xf>
    <xf numFmtId="169" fontId="22" fillId="0" borderId="12" xfId="0" applyNumberFormat="1" applyFont="1" applyBorder="1" applyAlignment="1">
      <alignment horizontal="center" vertical="center"/>
    </xf>
    <xf numFmtId="170" fontId="29" fillId="0" borderId="11" xfId="4" applyNumberFormat="1" applyFont="1" applyBorder="1" applyAlignment="1">
      <alignment horizontal="center" vertical="center"/>
    </xf>
    <xf numFmtId="170" fontId="29" fillId="0" borderId="12" xfId="4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4" fontId="29" fillId="0" borderId="11" xfId="0" applyNumberFormat="1" applyFont="1" applyBorder="1" applyAlignment="1">
      <alignment horizontal="center" vertical="center"/>
    </xf>
    <xf numFmtId="4" fontId="29" fillId="0" borderId="12" xfId="0" applyNumberFormat="1" applyFont="1" applyBorder="1" applyAlignment="1">
      <alignment horizontal="center" vertical="center"/>
    </xf>
    <xf numFmtId="176" fontId="29" fillId="7" borderId="15" xfId="0" applyNumberFormat="1" applyFont="1" applyFill="1" applyBorder="1" applyAlignment="1">
      <alignment horizontal="center" vertical="center" wrapText="1"/>
    </xf>
    <xf numFmtId="176" fontId="29" fillId="7" borderId="13" xfId="0" applyNumberFormat="1" applyFont="1" applyFill="1" applyBorder="1" applyAlignment="1">
      <alignment horizontal="center" vertical="center" wrapText="1"/>
    </xf>
    <xf numFmtId="4" fontId="41" fillId="10" borderId="37" xfId="0" applyNumberFormat="1" applyFont="1" applyFill="1" applyBorder="1" applyAlignment="1">
      <alignment horizontal="center" vertical="center"/>
    </xf>
    <xf numFmtId="4" fontId="41" fillId="10" borderId="40" xfId="0" applyNumberFormat="1" applyFont="1" applyFill="1" applyBorder="1" applyAlignment="1">
      <alignment horizontal="center" vertical="center"/>
    </xf>
    <xf numFmtId="0" fontId="4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41" fillId="10" borderId="39" xfId="0" applyFont="1" applyFill="1" applyBorder="1" applyAlignment="1">
      <alignment horizontal="center" vertical="center"/>
    </xf>
    <xf numFmtId="0" fontId="0" fillId="10" borderId="39" xfId="0" applyFill="1" applyBorder="1" applyAlignment="1">
      <alignment horizontal="center"/>
    </xf>
    <xf numFmtId="4" fontId="41" fillId="10" borderId="1" xfId="0" applyNumberFormat="1" applyFont="1" applyFill="1" applyBorder="1" applyAlignment="1">
      <alignment horizontal="center" vertical="center"/>
    </xf>
    <xf numFmtId="4" fontId="41" fillId="10" borderId="39" xfId="0" applyNumberFormat="1" applyFont="1" applyFill="1" applyBorder="1" applyAlignment="1">
      <alignment horizontal="center" vertical="center"/>
    </xf>
    <xf numFmtId="0" fontId="41" fillId="10" borderId="1" xfId="0" applyFont="1" applyFill="1" applyBorder="1" applyAlignment="1">
      <alignment horizontal="center"/>
    </xf>
    <xf numFmtId="4" fontId="47" fillId="10" borderId="1" xfId="0" applyNumberFormat="1" applyFont="1" applyFill="1" applyBorder="1" applyAlignment="1">
      <alignment horizontal="center" vertical="center" wrapText="1"/>
    </xf>
    <xf numFmtId="166" fontId="47" fillId="10" borderId="1" xfId="0" applyNumberFormat="1" applyFont="1" applyFill="1" applyBorder="1" applyAlignment="1">
      <alignment horizontal="center" vertical="center" wrapText="1"/>
    </xf>
    <xf numFmtId="166" fontId="47" fillId="10" borderId="1" xfId="0" applyNumberFormat="1" applyFont="1" applyFill="1" applyBorder="1" applyAlignment="1">
      <alignment horizontal="center" wrapText="1"/>
    </xf>
    <xf numFmtId="0" fontId="43" fillId="10" borderId="33" xfId="0" applyFont="1" applyFill="1" applyBorder="1" applyAlignment="1">
      <alignment horizontal="center"/>
    </xf>
    <xf numFmtId="0" fontId="43" fillId="10" borderId="34" xfId="0" applyFont="1" applyFill="1" applyBorder="1" applyAlignment="1">
      <alignment horizontal="center"/>
    </xf>
    <xf numFmtId="0" fontId="43" fillId="10" borderId="35" xfId="0" applyFont="1" applyFill="1" applyBorder="1" applyAlignment="1">
      <alignment horizontal="center"/>
    </xf>
    <xf numFmtId="0" fontId="47" fillId="10" borderId="36" xfId="0" applyFont="1" applyFill="1" applyBorder="1" applyAlignment="1">
      <alignment horizontal="center" vertical="center" wrapText="1"/>
    </xf>
    <xf numFmtId="0" fontId="47" fillId="10" borderId="1" xfId="0" applyFont="1" applyFill="1" applyBorder="1" applyAlignment="1">
      <alignment horizontal="center" vertical="center"/>
    </xf>
    <xf numFmtId="0" fontId="47" fillId="10" borderId="1" xfId="0" applyFont="1" applyFill="1" applyBorder="1" applyAlignment="1">
      <alignment horizontal="center" vertical="center" wrapText="1"/>
    </xf>
    <xf numFmtId="0" fontId="47" fillId="10" borderId="1" xfId="0" applyFont="1" applyFill="1" applyBorder="1" applyAlignment="1">
      <alignment horizontal="center"/>
    </xf>
    <xf numFmtId="0" fontId="47" fillId="10" borderId="1" xfId="0" applyFont="1" applyFill="1" applyBorder="1" applyAlignment="1">
      <alignment horizontal="center" wrapText="1"/>
    </xf>
    <xf numFmtId="0" fontId="47" fillId="10" borderId="37" xfId="0" applyFont="1" applyFill="1" applyBorder="1" applyAlignment="1">
      <alignment horizontal="center" vertical="center" wrapText="1"/>
    </xf>
    <xf numFmtId="4" fontId="41" fillId="9" borderId="37" xfId="0" applyNumberFormat="1" applyFont="1" applyFill="1" applyBorder="1" applyAlignment="1">
      <alignment horizontal="center" vertical="center"/>
    </xf>
    <xf numFmtId="4" fontId="41" fillId="9" borderId="40" xfId="0" applyNumberFormat="1" applyFont="1" applyFill="1" applyBorder="1" applyAlignment="1">
      <alignment horizontal="center" vertical="center"/>
    </xf>
    <xf numFmtId="0" fontId="41" fillId="9" borderId="1" xfId="0" applyFont="1" applyFill="1" applyBorder="1" applyAlignment="1">
      <alignment horizontal="center" vertical="center"/>
    </xf>
    <xf numFmtId="0" fontId="41" fillId="9" borderId="1" xfId="0" applyFont="1" applyFill="1" applyBorder="1" applyAlignment="1">
      <alignment horizontal="center"/>
    </xf>
    <xf numFmtId="0" fontId="41" fillId="9" borderId="39" xfId="0" applyFont="1" applyFill="1" applyBorder="1" applyAlignment="1">
      <alignment horizontal="center" vertical="center"/>
    </xf>
    <xf numFmtId="0" fontId="41" fillId="9" borderId="39" xfId="0" applyFont="1" applyFill="1" applyBorder="1" applyAlignment="1">
      <alignment horizontal="center"/>
    </xf>
    <xf numFmtId="4" fontId="41" fillId="9" borderId="1" xfId="0" applyNumberFormat="1" applyFont="1" applyFill="1" applyBorder="1" applyAlignment="1">
      <alignment horizontal="center" vertical="center"/>
    </xf>
    <xf numFmtId="4" fontId="41" fillId="9" borderId="39" xfId="0" applyNumberFormat="1" applyFont="1" applyFill="1" applyBorder="1" applyAlignment="1">
      <alignment horizontal="center" vertical="center"/>
    </xf>
    <xf numFmtId="4" fontId="26" fillId="9" borderId="1" xfId="0" applyNumberFormat="1" applyFont="1" applyFill="1" applyBorder="1" applyAlignment="1">
      <alignment horizontal="center" vertical="center" wrapText="1"/>
    </xf>
    <xf numFmtId="166" fontId="26" fillId="9" borderId="1" xfId="0" applyNumberFormat="1" applyFont="1" applyFill="1" applyBorder="1" applyAlignment="1">
      <alignment horizontal="center" vertical="center" wrapText="1"/>
    </xf>
    <xf numFmtId="166" fontId="26" fillId="9" borderId="1" xfId="0" applyNumberFormat="1" applyFont="1" applyFill="1" applyBorder="1" applyAlignment="1">
      <alignment horizontal="center" wrapText="1"/>
    </xf>
    <xf numFmtId="0" fontId="46" fillId="9" borderId="33" xfId="0" applyFont="1" applyFill="1" applyBorder="1" applyAlignment="1">
      <alignment horizontal="center"/>
    </xf>
    <xf numFmtId="0" fontId="46" fillId="9" borderId="34" xfId="0" applyFont="1" applyFill="1" applyBorder="1" applyAlignment="1">
      <alignment horizontal="center"/>
    </xf>
    <xf numFmtId="0" fontId="46" fillId="9" borderId="35" xfId="0" applyFont="1" applyFill="1" applyBorder="1" applyAlignment="1">
      <alignment horizontal="center"/>
    </xf>
    <xf numFmtId="0" fontId="26" fillId="9" borderId="36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 wrapText="1"/>
    </xf>
    <xf numFmtId="0" fontId="26" fillId="9" borderId="37" xfId="0" applyFont="1" applyFill="1" applyBorder="1" applyAlignment="1">
      <alignment horizontal="center" vertical="center" wrapText="1"/>
    </xf>
    <xf numFmtId="171" fontId="41" fillId="4" borderId="37" xfId="0" applyNumberFormat="1" applyFont="1" applyFill="1" applyBorder="1" applyAlignment="1">
      <alignment horizontal="center" vertical="center"/>
    </xf>
    <xf numFmtId="171" fontId="41" fillId="4" borderId="40" xfId="0" applyNumberFormat="1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/>
    </xf>
    <xf numFmtId="0" fontId="41" fillId="4" borderId="39" xfId="0" applyFont="1" applyFill="1" applyBorder="1" applyAlignment="1">
      <alignment horizontal="center" vertical="center"/>
    </xf>
    <xf numFmtId="0" fontId="41" fillId="4" borderId="39" xfId="0" applyFont="1" applyFill="1" applyBorder="1" applyAlignment="1">
      <alignment horizontal="center"/>
    </xf>
    <xf numFmtId="171" fontId="41" fillId="4" borderId="1" xfId="0" applyNumberFormat="1" applyFont="1" applyFill="1" applyBorder="1" applyAlignment="1">
      <alignment horizontal="center" vertical="center"/>
    </xf>
    <xf numFmtId="171" fontId="41" fillId="4" borderId="39" xfId="0" applyNumberFormat="1" applyFont="1" applyFill="1" applyBorder="1" applyAlignment="1">
      <alignment horizontal="center" vertical="center"/>
    </xf>
    <xf numFmtId="4" fontId="41" fillId="4" borderId="1" xfId="0" applyNumberFormat="1" applyFont="1" applyFill="1" applyBorder="1" applyAlignment="1">
      <alignment horizontal="center" vertical="center"/>
    </xf>
    <xf numFmtId="4" fontId="41" fillId="4" borderId="39" xfId="0" applyNumberFormat="1" applyFont="1" applyFill="1" applyBorder="1" applyAlignment="1">
      <alignment horizontal="center" vertical="center"/>
    </xf>
    <xf numFmtId="166" fontId="41" fillId="4" borderId="1" xfId="0" applyNumberFormat="1" applyFont="1" applyFill="1" applyBorder="1" applyAlignment="1">
      <alignment horizontal="center" vertical="center"/>
    </xf>
    <xf numFmtId="166" fontId="41" fillId="4" borderId="39" xfId="0" applyNumberFormat="1" applyFont="1" applyFill="1" applyBorder="1" applyAlignment="1">
      <alignment horizontal="center" vertical="center"/>
    </xf>
    <xf numFmtId="4" fontId="26" fillId="4" borderId="1" xfId="0" applyNumberFormat="1" applyFont="1" applyFill="1" applyBorder="1" applyAlignment="1">
      <alignment horizontal="center" vertical="center" wrapText="1"/>
    </xf>
    <xf numFmtId="166" fontId="26" fillId="4" borderId="1" xfId="0" applyNumberFormat="1" applyFont="1" applyFill="1" applyBorder="1" applyAlignment="1">
      <alignment horizontal="center" vertical="center" wrapText="1"/>
    </xf>
    <xf numFmtId="166" fontId="26" fillId="4" borderId="1" xfId="0" applyNumberFormat="1" applyFont="1" applyFill="1" applyBorder="1" applyAlignment="1">
      <alignment horizontal="center" wrapText="1"/>
    </xf>
    <xf numFmtId="0" fontId="43" fillId="4" borderId="33" xfId="0" applyFont="1" applyFill="1" applyBorder="1" applyAlignment="1">
      <alignment horizontal="center"/>
    </xf>
    <xf numFmtId="0" fontId="43" fillId="4" borderId="34" xfId="0" applyFont="1" applyFill="1" applyBorder="1" applyAlignment="1">
      <alignment horizontal="center"/>
    </xf>
    <xf numFmtId="0" fontId="43" fillId="4" borderId="35" xfId="0" applyFont="1" applyFill="1" applyBorder="1" applyAlignment="1">
      <alignment horizontal="center"/>
    </xf>
    <xf numFmtId="0" fontId="26" fillId="4" borderId="36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wrapText="1"/>
    </xf>
    <xf numFmtId="0" fontId="26" fillId="4" borderId="37" xfId="0" applyFont="1" applyFill="1" applyBorder="1" applyAlignment="1">
      <alignment horizontal="center" vertical="center" wrapText="1"/>
    </xf>
    <xf numFmtId="0" fontId="52" fillId="3" borderId="1" xfId="40" applyFont="1" applyFill="1" applyBorder="1" applyAlignment="1">
      <alignment horizontal="center" vertical="center" wrapText="1"/>
    </xf>
    <xf numFmtId="0" fontId="28" fillId="7" borderId="14" xfId="0" applyFont="1" applyFill="1" applyBorder="1" applyAlignment="1">
      <alignment horizontal="center" vertical="center" wrapText="1"/>
    </xf>
    <xf numFmtId="4" fontId="29" fillId="7" borderId="14" xfId="0" applyNumberFormat="1" applyFont="1" applyFill="1" applyBorder="1" applyAlignment="1">
      <alignment horizontal="center" vertical="center" wrapText="1"/>
    </xf>
    <xf numFmtId="176" fontId="28" fillId="7" borderId="14" xfId="0" applyNumberFormat="1" applyFont="1" applyFill="1" applyBorder="1" applyAlignment="1">
      <alignment horizontal="center" vertical="center" wrapText="1"/>
    </xf>
    <xf numFmtId="176" fontId="28" fillId="7" borderId="13" xfId="0" applyNumberFormat="1" applyFont="1" applyFill="1" applyBorder="1" applyAlignment="1">
      <alignment horizontal="center" vertical="center" wrapText="1"/>
    </xf>
    <xf numFmtId="176" fontId="29" fillId="7" borderId="14" xfId="0" applyNumberFormat="1" applyFont="1" applyFill="1" applyBorder="1" applyAlignment="1">
      <alignment horizontal="center" vertical="center" wrapText="1"/>
    </xf>
    <xf numFmtId="10" fontId="59" fillId="0" borderId="12" xfId="4" applyNumberFormat="1" applyFont="1" applyBorder="1" applyAlignment="1">
      <alignment vertical="center"/>
    </xf>
    <xf numFmtId="2" fontId="59" fillId="0" borderId="1" xfId="4" applyNumberFormat="1" applyFont="1" applyBorder="1" applyAlignment="1">
      <alignment horizontal="center" vertical="center"/>
    </xf>
    <xf numFmtId="10" fontId="59" fillId="0" borderId="1" xfId="4" applyNumberFormat="1" applyFont="1" applyBorder="1" applyAlignment="1">
      <alignment horizontal="center" vertical="center"/>
    </xf>
    <xf numFmtId="170" fontId="24" fillId="0" borderId="1" xfId="4" applyNumberFormat="1" applyFont="1" applyBorder="1" applyAlignment="1">
      <alignment horizontal="center" vertical="center"/>
    </xf>
    <xf numFmtId="169" fontId="28" fillId="0" borderId="1" xfId="0" applyNumberFormat="1" applyFont="1" applyFill="1" applyBorder="1" applyAlignment="1" applyProtection="1">
      <alignment vertical="center" wrapText="1"/>
      <protection locked="0"/>
    </xf>
    <xf numFmtId="169" fontId="24" fillId="0" borderId="1" xfId="0" applyNumberFormat="1" applyFont="1" applyFill="1" applyBorder="1" applyAlignment="1" applyProtection="1">
      <alignment vertical="center"/>
      <protection locked="0"/>
    </xf>
    <xf numFmtId="176" fontId="24" fillId="0" borderId="1" xfId="1" applyNumberFormat="1" applyFont="1" applyBorder="1" applyAlignment="1" applyProtection="1">
      <alignment vertical="center" wrapText="1"/>
      <protection locked="0"/>
    </xf>
    <xf numFmtId="176" fontId="24" fillId="0" borderId="1" xfId="0" applyNumberFormat="1" applyFont="1" applyBorder="1" applyAlignment="1" applyProtection="1">
      <alignment vertical="center"/>
      <protection locked="0"/>
    </xf>
    <xf numFmtId="176" fontId="29" fillId="0" borderId="1" xfId="1" applyNumberFormat="1" applyFont="1" applyBorder="1" applyAlignment="1" applyProtection="1">
      <alignment vertical="center" wrapText="1"/>
      <protection locked="0"/>
    </xf>
    <xf numFmtId="176" fontId="24" fillId="2" borderId="1" xfId="1" applyNumberFormat="1" applyFont="1" applyFill="1" applyBorder="1" applyAlignment="1" applyProtection="1">
      <alignment vertical="center" wrapText="1"/>
      <protection locked="0"/>
    </xf>
    <xf numFmtId="176" fontId="29" fillId="0" borderId="1" xfId="0" applyNumberFormat="1" applyFont="1" applyBorder="1" applyAlignment="1" applyProtection="1">
      <alignment vertical="center"/>
      <protection locked="0"/>
    </xf>
    <xf numFmtId="176" fontId="24" fillId="0" borderId="1" xfId="1" applyNumberFormat="1" applyFont="1" applyFill="1" applyBorder="1" applyAlignment="1" applyProtection="1">
      <alignment vertical="center" wrapText="1"/>
      <protection locked="0"/>
    </xf>
    <xf numFmtId="176" fontId="22" fillId="6" borderId="1" xfId="0" applyNumberFormat="1" applyFont="1" applyFill="1" applyBorder="1" applyAlignment="1" applyProtection="1">
      <alignment vertical="center"/>
      <protection locked="0"/>
    </xf>
    <xf numFmtId="169" fontId="24" fillId="0" borderId="1" xfId="0" applyNumberFormat="1" applyFont="1" applyBorder="1" applyAlignment="1" applyProtection="1">
      <alignment vertical="center"/>
      <protection locked="0"/>
    </xf>
    <xf numFmtId="169" fontId="24" fillId="0" borderId="1" xfId="1" applyNumberFormat="1" applyFont="1" applyBorder="1" applyAlignment="1" applyProtection="1">
      <alignment vertical="center" wrapText="1"/>
      <protection locked="0"/>
    </xf>
    <xf numFmtId="176" fontId="22" fillId="6" borderId="12" xfId="0" applyNumberFormat="1" applyFont="1" applyFill="1" applyBorder="1" applyAlignment="1" applyProtection="1">
      <alignment vertical="center"/>
      <protection locked="0"/>
    </xf>
    <xf numFmtId="176" fontId="22" fillId="0" borderId="1" xfId="0" applyNumberFormat="1" applyFont="1" applyBorder="1" applyAlignment="1" applyProtection="1">
      <alignment vertical="center"/>
      <protection locked="0"/>
    </xf>
    <xf numFmtId="44" fontId="24" fillId="0" borderId="1" xfId="0" applyNumberFormat="1" applyFont="1" applyBorder="1" applyAlignment="1" applyProtection="1">
      <alignment vertical="center"/>
      <protection locked="0"/>
    </xf>
    <xf numFmtId="2" fontId="59" fillId="0" borderId="1" xfId="4" applyNumberFormat="1" applyFont="1" applyBorder="1" applyAlignment="1" applyProtection="1">
      <alignment horizontal="center" vertical="center"/>
      <protection locked="0"/>
    </xf>
    <xf numFmtId="176" fontId="22" fillId="0" borderId="1" xfId="0" applyNumberFormat="1" applyFont="1" applyBorder="1" applyAlignment="1" applyProtection="1">
      <alignment horizontal="right" vertical="center"/>
      <protection locked="0"/>
    </xf>
    <xf numFmtId="176" fontId="59" fillId="0" borderId="1" xfId="0" applyNumberFormat="1" applyFont="1" applyBorder="1" applyAlignment="1" applyProtection="1">
      <alignment horizontal="right" vertical="center"/>
      <protection locked="0"/>
    </xf>
    <xf numFmtId="0" fontId="38" fillId="3" borderId="3" xfId="0" applyFont="1" applyFill="1" applyBorder="1" applyAlignment="1" applyProtection="1">
      <alignment horizontal="center" vertical="center" wrapText="1"/>
    </xf>
    <xf numFmtId="0" fontId="38" fillId="3" borderId="4" xfId="0" applyFont="1" applyFill="1" applyBorder="1" applyAlignment="1" applyProtection="1">
      <alignment horizontal="center" vertical="center" wrapText="1"/>
    </xf>
    <xf numFmtId="0" fontId="38" fillId="3" borderId="5" xfId="0" applyFont="1" applyFill="1" applyBorder="1" applyAlignment="1" applyProtection="1">
      <alignment horizontal="center" vertical="center" wrapText="1"/>
    </xf>
    <xf numFmtId="0" fontId="39" fillId="0" borderId="0" xfId="0" applyFont="1" applyAlignment="1" applyProtection="1">
      <alignment vertical="center"/>
    </xf>
    <xf numFmtId="0" fontId="38" fillId="3" borderId="7" xfId="0" applyFont="1" applyFill="1" applyBorder="1" applyAlignment="1" applyProtection="1">
      <alignment horizontal="center" vertical="center" wrapText="1"/>
    </xf>
    <xf numFmtId="0" fontId="38" fillId="3" borderId="8" xfId="0" applyFont="1" applyFill="1" applyBorder="1" applyAlignment="1" applyProtection="1">
      <alignment horizontal="center" vertical="center" wrapText="1"/>
    </xf>
    <xf numFmtId="0" fontId="38" fillId="3" borderId="9" xfId="0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/>
    </xf>
    <xf numFmtId="0" fontId="38" fillId="2" borderId="10" xfId="0" applyFont="1" applyFill="1" applyBorder="1" applyAlignment="1" applyProtection="1">
      <alignment horizontal="center" vertical="center"/>
    </xf>
    <xf numFmtId="0" fontId="38" fillId="2" borderId="11" xfId="0" applyFont="1" applyFill="1" applyBorder="1" applyAlignment="1" applyProtection="1">
      <alignment horizontal="center" vertical="center"/>
    </xf>
    <xf numFmtId="0" fontId="38" fillId="2" borderId="12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vertical="center"/>
    </xf>
    <xf numFmtId="0" fontId="38" fillId="0" borderId="0" xfId="0" applyFont="1" applyAlignment="1" applyProtection="1">
      <alignment vertical="center"/>
    </xf>
    <xf numFmtId="0" fontId="28" fillId="7" borderId="15" xfId="0" applyFont="1" applyFill="1" applyBorder="1" applyAlignment="1" applyProtection="1">
      <alignment horizontal="center" vertical="center" wrapText="1"/>
    </xf>
    <xf numFmtId="4" fontId="29" fillId="7" borderId="15" xfId="0" applyNumberFormat="1" applyFont="1" applyFill="1" applyBorder="1" applyAlignment="1" applyProtection="1">
      <alignment horizontal="center" vertical="center" wrapText="1"/>
    </xf>
    <xf numFmtId="169" fontId="28" fillId="7" borderId="15" xfId="0" applyNumberFormat="1" applyFont="1" applyFill="1" applyBorder="1" applyAlignment="1" applyProtection="1">
      <alignment horizontal="center" vertical="center" wrapText="1"/>
    </xf>
    <xf numFmtId="169" fontId="29" fillId="7" borderId="15" xfId="0" applyNumberFormat="1" applyFont="1" applyFill="1" applyBorder="1" applyAlignment="1" applyProtection="1">
      <alignment horizontal="center" vertical="center" wrapText="1"/>
    </xf>
    <xf numFmtId="0" fontId="28" fillId="7" borderId="13" xfId="0" applyFont="1" applyFill="1" applyBorder="1" applyAlignment="1" applyProtection="1">
      <alignment horizontal="center" vertical="center" wrapText="1"/>
    </xf>
    <xf numFmtId="4" fontId="29" fillId="7" borderId="13" xfId="0" applyNumberFormat="1" applyFont="1" applyFill="1" applyBorder="1" applyAlignment="1" applyProtection="1">
      <alignment horizontal="center" vertical="center" wrapText="1"/>
    </xf>
    <xf numFmtId="169" fontId="28" fillId="7" borderId="13" xfId="0" applyNumberFormat="1" applyFont="1" applyFill="1" applyBorder="1" applyAlignment="1" applyProtection="1">
      <alignment horizontal="center" vertical="center" wrapText="1"/>
    </xf>
    <xf numFmtId="169" fontId="29" fillId="7" borderId="13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vertical="center"/>
    </xf>
    <xf numFmtId="0" fontId="28" fillId="0" borderId="1" xfId="0" applyFont="1" applyFill="1" applyBorder="1" applyAlignment="1" applyProtection="1">
      <alignment vertical="center" wrapText="1"/>
    </xf>
    <xf numFmtId="4" fontId="24" fillId="0" borderId="1" xfId="0" applyNumberFormat="1" applyFont="1" applyFill="1" applyBorder="1" applyAlignment="1" applyProtection="1">
      <alignment vertical="center"/>
    </xf>
    <xf numFmtId="0" fontId="30" fillId="0" borderId="1" xfId="2" applyFont="1" applyFill="1" applyBorder="1" applyAlignment="1" applyProtection="1">
      <alignment horizontal="center" vertical="center"/>
    </xf>
    <xf numFmtId="2" fontId="31" fillId="0" borderId="1" xfId="2" applyNumberFormat="1" applyFont="1" applyFill="1" applyBorder="1" applyAlignment="1" applyProtection="1">
      <alignment vertical="center" wrapText="1"/>
    </xf>
    <xf numFmtId="2" fontId="31" fillId="0" borderId="1" xfId="2" applyNumberFormat="1" applyFont="1" applyFill="1" applyBorder="1" applyAlignment="1" applyProtection="1">
      <alignment horizontal="center" vertical="center"/>
    </xf>
    <xf numFmtId="4" fontId="24" fillId="0" borderId="1" xfId="0" applyNumberFormat="1" applyFont="1" applyBorder="1" applyAlignment="1" applyProtection="1">
      <alignment horizontal="center" vertical="center"/>
    </xf>
    <xf numFmtId="0" fontId="28" fillId="0" borderId="1" xfId="2" applyFont="1" applyFill="1" applyBorder="1" applyAlignment="1" applyProtection="1">
      <alignment horizontal="center" vertical="center"/>
    </xf>
    <xf numFmtId="2" fontId="33" fillId="0" borderId="1" xfId="2" applyNumberFormat="1" applyFont="1" applyFill="1" applyBorder="1" applyAlignment="1" applyProtection="1">
      <alignment vertical="center" wrapText="1"/>
    </xf>
    <xf numFmtId="2" fontId="33" fillId="0" borderId="1" xfId="2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vertical="center"/>
    </xf>
    <xf numFmtId="2" fontId="24" fillId="0" borderId="1" xfId="2" applyNumberFormat="1" applyFont="1" applyFill="1" applyBorder="1" applyAlignment="1" applyProtection="1">
      <alignment horizontal="justify" vertical="center" wrapText="1"/>
    </xf>
    <xf numFmtId="2" fontId="24" fillId="2" borderId="1" xfId="2" applyNumberFormat="1" applyFont="1" applyFill="1" applyBorder="1" applyAlignment="1" applyProtection="1">
      <alignment vertical="center" wrapText="1"/>
    </xf>
    <xf numFmtId="2" fontId="30" fillId="0" borderId="1" xfId="2" applyNumberFormat="1" applyFont="1" applyFill="1" applyBorder="1" applyAlignment="1" applyProtection="1">
      <alignment horizontal="center" vertical="center"/>
    </xf>
    <xf numFmtId="2" fontId="31" fillId="0" borderId="1" xfId="2" applyNumberFormat="1" applyFont="1" applyFill="1" applyBorder="1" applyAlignment="1" applyProtection="1">
      <alignment horizontal="justify" vertical="center" wrapText="1"/>
    </xf>
    <xf numFmtId="177" fontId="30" fillId="0" borderId="1" xfId="2" applyNumberFormat="1" applyFont="1" applyFill="1" applyBorder="1" applyAlignment="1" applyProtection="1">
      <alignment horizontal="center" vertical="center"/>
    </xf>
    <xf numFmtId="2" fontId="24" fillId="0" borderId="1" xfId="2" applyNumberFormat="1" applyFont="1" applyFill="1" applyBorder="1" applyAlignment="1" applyProtection="1">
      <alignment vertical="center" wrapText="1"/>
    </xf>
    <xf numFmtId="0" fontId="18" fillId="6" borderId="1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37" fillId="5" borderId="1" xfId="0" applyFont="1" applyFill="1" applyBorder="1" applyAlignment="1" applyProtection="1">
      <alignment horizontal="center" vertical="center"/>
    </xf>
    <xf numFmtId="0" fontId="36" fillId="0" borderId="0" xfId="0" applyFont="1" applyAlignment="1" applyProtection="1">
      <alignment vertical="center"/>
    </xf>
    <xf numFmtId="0" fontId="28" fillId="7" borderId="1" xfId="0" applyFont="1" applyFill="1" applyBorder="1" applyAlignment="1" applyProtection="1">
      <alignment horizontal="center" vertical="center" wrapText="1"/>
    </xf>
    <xf numFmtId="4" fontId="29" fillId="7" borderId="1" xfId="0" applyNumberFormat="1" applyFont="1" applyFill="1" applyBorder="1" applyAlignment="1" applyProtection="1">
      <alignment horizontal="center" vertical="center" wrapText="1"/>
    </xf>
    <xf numFmtId="169" fontId="28" fillId="7" borderId="1" xfId="0" applyNumberFormat="1" applyFont="1" applyFill="1" applyBorder="1" applyAlignment="1" applyProtection="1">
      <alignment horizontal="center" vertical="center" wrapText="1"/>
    </xf>
    <xf numFmtId="169" fontId="29" fillId="7" borderId="1" xfId="0" applyNumberFormat="1" applyFont="1" applyFill="1" applyBorder="1" applyAlignment="1" applyProtection="1">
      <alignment horizontal="center" vertical="center" wrapText="1"/>
    </xf>
    <xf numFmtId="4" fontId="24" fillId="0" borderId="1" xfId="0" applyNumberFormat="1" applyFont="1" applyBorder="1" applyAlignment="1" applyProtection="1">
      <alignment vertical="center"/>
    </xf>
    <xf numFmtId="4" fontId="29" fillId="0" borderId="1" xfId="0" applyNumberFormat="1" applyFont="1" applyBorder="1" applyAlignment="1" applyProtection="1">
      <alignment horizontal="center" vertical="center"/>
    </xf>
    <xf numFmtId="0" fontId="30" fillId="0" borderId="1" xfId="2" applyFont="1" applyFill="1" applyBorder="1" applyAlignment="1" applyProtection="1">
      <alignment horizontal="left" vertical="center"/>
    </xf>
    <xf numFmtId="0" fontId="18" fillId="6" borderId="10" xfId="0" applyFont="1" applyFill="1" applyBorder="1" applyAlignment="1" applyProtection="1">
      <alignment horizontal="center" vertical="center"/>
    </xf>
    <xf numFmtId="0" fontId="18" fillId="6" borderId="11" xfId="0" applyFont="1" applyFill="1" applyBorder="1" applyAlignment="1" applyProtection="1">
      <alignment horizontal="center" vertical="center"/>
    </xf>
    <xf numFmtId="0" fontId="18" fillId="6" borderId="12" xfId="0" applyFont="1" applyFill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vertical="center"/>
    </xf>
    <xf numFmtId="0" fontId="24" fillId="0" borderId="11" xfId="0" applyFont="1" applyBorder="1" applyAlignment="1" applyProtection="1">
      <alignment vertical="center"/>
    </xf>
    <xf numFmtId="169" fontId="24" fillId="0" borderId="12" xfId="0" applyNumberFormat="1" applyFont="1" applyBorder="1" applyAlignment="1" applyProtection="1">
      <alignment vertical="center"/>
    </xf>
    <xf numFmtId="0" fontId="29" fillId="0" borderId="10" xfId="0" applyFont="1" applyBorder="1" applyAlignment="1" applyProtection="1">
      <alignment vertical="center"/>
    </xf>
    <xf numFmtId="169" fontId="22" fillId="0" borderId="11" xfId="0" applyNumberFormat="1" applyFont="1" applyBorder="1" applyAlignment="1" applyProtection="1">
      <alignment vertical="center"/>
    </xf>
    <xf numFmtId="169" fontId="22" fillId="0" borderId="11" xfId="0" applyNumberFormat="1" applyFont="1" applyBorder="1" applyAlignment="1" applyProtection="1">
      <alignment horizontal="right" vertical="center"/>
    </xf>
    <xf numFmtId="169" fontId="29" fillId="0" borderId="11" xfId="0" applyNumberFormat="1" applyFont="1" applyBorder="1" applyAlignment="1" applyProtection="1">
      <alignment horizontal="right" vertical="center"/>
    </xf>
    <xf numFmtId="0" fontId="29" fillId="0" borderId="12" xfId="0" applyFont="1" applyBorder="1" applyAlignment="1" applyProtection="1">
      <alignment vertical="center"/>
    </xf>
    <xf numFmtId="169" fontId="59" fillId="0" borderId="12" xfId="0" applyNumberFormat="1" applyFont="1" applyBorder="1" applyAlignment="1" applyProtection="1">
      <alignment horizontal="right" vertical="center"/>
    </xf>
    <xf numFmtId="169" fontId="24" fillId="0" borderId="1" xfId="0" applyNumberFormat="1" applyFont="1" applyBorder="1" applyAlignment="1" applyProtection="1">
      <alignment horizontal="center" vertical="center"/>
    </xf>
    <xf numFmtId="169" fontId="59" fillId="0" borderId="11" xfId="0" applyNumberFormat="1" applyFont="1" applyBorder="1" applyAlignment="1" applyProtection="1">
      <alignment horizontal="right" vertical="center"/>
    </xf>
    <xf numFmtId="10" fontId="59" fillId="0" borderId="1" xfId="4" applyNumberFormat="1" applyFont="1" applyBorder="1" applyAlignment="1" applyProtection="1">
      <alignment horizontal="center" vertical="center"/>
    </xf>
    <xf numFmtId="10" fontId="59" fillId="0" borderId="12" xfId="4" applyNumberFormat="1" applyFont="1" applyBorder="1" applyAlignment="1" applyProtection="1">
      <alignment vertical="center"/>
    </xf>
    <xf numFmtId="2" fontId="59" fillId="0" borderId="1" xfId="4" applyNumberFormat="1" applyFont="1" applyBorder="1" applyAlignment="1" applyProtection="1">
      <alignment horizontal="center" vertical="center"/>
    </xf>
    <xf numFmtId="170" fontId="24" fillId="0" borderId="1" xfId="4" applyNumberFormat="1" applyFont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vertical="center"/>
    </xf>
    <xf numFmtId="170" fontId="22" fillId="0" borderId="11" xfId="4" applyNumberFormat="1" applyFont="1" applyBorder="1" applyAlignment="1" applyProtection="1">
      <alignment horizontal="right" vertical="center"/>
    </xf>
    <xf numFmtId="170" fontId="29" fillId="0" borderId="11" xfId="4" applyNumberFormat="1" applyFont="1" applyBorder="1" applyAlignment="1" applyProtection="1">
      <alignment horizontal="right" vertical="center"/>
    </xf>
    <xf numFmtId="170" fontId="22" fillId="0" borderId="11" xfId="4" applyNumberFormat="1" applyFont="1" applyBorder="1" applyAlignment="1" applyProtection="1">
      <alignment vertical="center"/>
    </xf>
    <xf numFmtId="170" fontId="29" fillId="0" borderId="11" xfId="4" applyNumberFormat="1" applyFont="1" applyBorder="1" applyAlignment="1" applyProtection="1">
      <alignment vertical="center"/>
    </xf>
    <xf numFmtId="4" fontId="22" fillId="0" borderId="11" xfId="0" applyNumberFormat="1" applyFont="1" applyBorder="1" applyAlignment="1" applyProtection="1">
      <alignment horizontal="right" vertical="center"/>
    </xf>
    <xf numFmtId="4" fontId="29" fillId="0" borderId="11" xfId="0" applyNumberFormat="1" applyFont="1" applyBorder="1" applyAlignment="1" applyProtection="1">
      <alignment horizontal="right" vertical="center"/>
    </xf>
    <xf numFmtId="169" fontId="29" fillId="0" borderId="11" xfId="0" applyNumberFormat="1" applyFont="1" applyBorder="1" applyAlignment="1" applyProtection="1">
      <alignment vertical="center"/>
    </xf>
    <xf numFmtId="4" fontId="29" fillId="0" borderId="11" xfId="0" applyNumberFormat="1" applyFont="1" applyBorder="1" applyAlignment="1" applyProtection="1">
      <alignment vertical="center"/>
    </xf>
    <xf numFmtId="169" fontId="29" fillId="0" borderId="0" xfId="0" applyNumberFormat="1" applyFont="1" applyAlignment="1" applyProtection="1">
      <alignment vertical="center"/>
    </xf>
    <xf numFmtId="169" fontId="29" fillId="0" borderId="0" xfId="0" applyNumberFormat="1" applyFont="1" applyAlignment="1" applyProtection="1">
      <alignment horizontal="right" vertical="center"/>
    </xf>
    <xf numFmtId="169" fontId="24" fillId="0" borderId="0" xfId="0" applyNumberFormat="1" applyFont="1" applyAlignment="1" applyProtection="1">
      <alignment vertical="center"/>
    </xf>
    <xf numFmtId="2" fontId="59" fillId="0" borderId="1" xfId="4" applyNumberFormat="1" applyFont="1" applyBorder="1" applyAlignment="1" applyProtection="1">
      <alignment vertical="center"/>
      <protection locked="0"/>
    </xf>
    <xf numFmtId="2" fontId="59" fillId="0" borderId="1" xfId="0" applyNumberFormat="1" applyFont="1" applyBorder="1" applyAlignment="1" applyProtection="1">
      <alignment horizontal="center" vertical="center"/>
      <protection locked="0"/>
    </xf>
    <xf numFmtId="170" fontId="24" fillId="0" borderId="12" xfId="4" applyNumberFormat="1" applyFont="1" applyBorder="1" applyAlignment="1">
      <alignment vertical="center"/>
    </xf>
    <xf numFmtId="0" fontId="38" fillId="3" borderId="1" xfId="0" applyFont="1" applyFill="1" applyBorder="1" applyAlignment="1" applyProtection="1">
      <alignment horizontal="center" vertical="center" wrapText="1"/>
    </xf>
    <xf numFmtId="0" fontId="20" fillId="0" borderId="0" xfId="43" applyFont="1" applyProtection="1"/>
    <xf numFmtId="0" fontId="38" fillId="2" borderId="1" xfId="0" applyFont="1" applyFill="1" applyBorder="1" applyAlignment="1" applyProtection="1">
      <alignment horizontal="center" vertical="center"/>
    </xf>
    <xf numFmtId="176" fontId="29" fillId="7" borderId="15" xfId="0" applyNumberFormat="1" applyFont="1" applyFill="1" applyBorder="1" applyAlignment="1" applyProtection="1">
      <alignment horizontal="center" vertical="center" wrapText="1"/>
    </xf>
    <xf numFmtId="176" fontId="29" fillId="7" borderId="13" xfId="0" applyNumberFormat="1" applyFont="1" applyFill="1" applyBorder="1" applyAlignment="1" applyProtection="1">
      <alignment horizontal="center" vertical="center" wrapText="1"/>
    </xf>
    <xf numFmtId="0" fontId="28" fillId="0" borderId="1" xfId="43" applyFont="1" applyFill="1" applyBorder="1" applyAlignment="1" applyProtection="1">
      <alignment horizontal="center" vertical="center"/>
    </xf>
    <xf numFmtId="0" fontId="28" fillId="0" borderId="1" xfId="43" applyFont="1" applyFill="1" applyBorder="1" applyAlignment="1" applyProtection="1">
      <alignment horizontal="justify" vertical="center" wrapText="1"/>
    </xf>
    <xf numFmtId="4" fontId="28" fillId="0" borderId="1" xfId="44" applyNumberFormat="1" applyFont="1" applyFill="1" applyBorder="1" applyAlignment="1" applyProtection="1">
      <alignment horizontal="center" vertical="center"/>
    </xf>
    <xf numFmtId="0" fontId="30" fillId="0" borderId="1" xfId="43" applyFont="1" applyFill="1" applyBorder="1" applyAlignment="1" applyProtection="1">
      <alignment horizontal="center" vertical="center"/>
    </xf>
    <xf numFmtId="0" fontId="24" fillId="0" borderId="1" xfId="43" applyFont="1" applyFill="1" applyBorder="1" applyAlignment="1" applyProtection="1">
      <alignment horizontal="justify" vertical="center" wrapText="1"/>
    </xf>
    <xf numFmtId="4" fontId="30" fillId="0" borderId="1" xfId="44" applyNumberFormat="1" applyFont="1" applyFill="1" applyBorder="1" applyAlignment="1" applyProtection="1">
      <alignment horizontal="center" vertical="center"/>
    </xf>
    <xf numFmtId="0" fontId="29" fillId="0" borderId="1" xfId="43" applyFont="1" applyFill="1" applyBorder="1" applyAlignment="1" applyProtection="1">
      <alignment horizontal="justify" vertical="center" wrapText="1"/>
    </xf>
    <xf numFmtId="0" fontId="24" fillId="0" borderId="1" xfId="43" applyFont="1" applyFill="1" applyBorder="1" applyAlignment="1" applyProtection="1">
      <alignment horizontal="center" vertical="center"/>
    </xf>
    <xf numFmtId="4" fontId="24" fillId="0" borderId="1" xfId="44" applyNumberFormat="1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justify" vertical="center" wrapText="1"/>
    </xf>
    <xf numFmtId="164" fontId="20" fillId="0" borderId="0" xfId="43" applyNumberFormat="1" applyFont="1" applyProtection="1"/>
    <xf numFmtId="0" fontId="20" fillId="0" borderId="0" xfId="43" applyFont="1" applyFill="1" applyProtection="1"/>
    <xf numFmtId="164" fontId="18" fillId="10" borderId="40" xfId="82" applyFont="1" applyFill="1" applyBorder="1" applyProtection="1"/>
    <xf numFmtId="0" fontId="30" fillId="0" borderId="3" xfId="43" applyFont="1" applyFill="1" applyBorder="1" applyAlignment="1" applyProtection="1">
      <alignment horizontal="center" vertical="center"/>
    </xf>
    <xf numFmtId="0" fontId="30" fillId="0" borderId="4" xfId="43" applyFont="1" applyFill="1" applyBorder="1" applyAlignment="1" applyProtection="1">
      <alignment horizontal="center" vertical="center"/>
    </xf>
    <xf numFmtId="0" fontId="30" fillId="0" borderId="5" xfId="43" applyFont="1" applyFill="1" applyBorder="1" applyAlignment="1" applyProtection="1">
      <alignment horizontal="center" vertical="center"/>
    </xf>
    <xf numFmtId="164" fontId="20" fillId="0" borderId="0" xfId="45" applyFont="1" applyProtection="1"/>
    <xf numFmtId="0" fontId="20" fillId="0" borderId="1" xfId="43" applyFont="1" applyBorder="1" applyAlignment="1" applyProtection="1">
      <alignment horizontal="center"/>
    </xf>
    <xf numFmtId="0" fontId="20" fillId="0" borderId="1" xfId="43" applyFont="1" applyBorder="1" applyProtection="1"/>
    <xf numFmtId="4" fontId="20" fillId="0" borderId="1" xfId="44" applyNumberFormat="1" applyFont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horizontal="center" vertical="center"/>
    </xf>
    <xf numFmtId="169" fontId="22" fillId="0" borderId="10" xfId="0" applyNumberFormat="1" applyFont="1" applyBorder="1" applyAlignment="1" applyProtection="1">
      <alignment horizontal="center" vertical="center"/>
    </xf>
    <xf numFmtId="169" fontId="22" fillId="0" borderId="11" xfId="0" applyNumberFormat="1" applyFont="1" applyBorder="1" applyAlignment="1" applyProtection="1">
      <alignment horizontal="center" vertical="center"/>
    </xf>
    <xf numFmtId="169" fontId="22" fillId="0" borderId="12" xfId="0" applyNumberFormat="1" applyFont="1" applyBorder="1" applyAlignment="1" applyProtection="1">
      <alignment horizontal="center" vertical="center"/>
    </xf>
    <xf numFmtId="10" fontId="59" fillId="0" borderId="12" xfId="4" applyNumberFormat="1" applyFont="1" applyBorder="1" applyAlignment="1" applyProtection="1">
      <alignment horizontal="center" vertical="center"/>
    </xf>
    <xf numFmtId="170" fontId="24" fillId="0" borderId="12" xfId="4" applyNumberFormat="1" applyFont="1" applyBorder="1" applyAlignment="1" applyProtection="1">
      <alignment vertical="center"/>
    </xf>
    <xf numFmtId="170" fontId="29" fillId="0" borderId="11" xfId="4" applyNumberFormat="1" applyFont="1" applyBorder="1" applyAlignment="1" applyProtection="1">
      <alignment horizontal="center" vertical="center"/>
    </xf>
    <xf numFmtId="170" fontId="29" fillId="0" borderId="12" xfId="4" applyNumberFormat="1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29" fillId="0" borderId="12" xfId="0" applyFont="1" applyBorder="1" applyAlignment="1" applyProtection="1">
      <alignment horizontal="center" vertical="center"/>
    </xf>
    <xf numFmtId="4" fontId="29" fillId="0" borderId="11" xfId="0" applyNumberFormat="1" applyFont="1" applyBorder="1" applyAlignment="1" applyProtection="1">
      <alignment horizontal="center" vertical="center"/>
    </xf>
    <xf numFmtId="4" fontId="29" fillId="0" borderId="12" xfId="0" applyNumberFormat="1" applyFont="1" applyBorder="1" applyAlignment="1" applyProtection="1">
      <alignment horizontal="center" vertical="center"/>
    </xf>
    <xf numFmtId="0" fontId="20" fillId="0" borderId="0" xfId="43" applyFont="1" applyAlignment="1" applyProtection="1">
      <alignment horizontal="center"/>
    </xf>
    <xf numFmtId="4" fontId="20" fillId="0" borderId="0" xfId="44" applyNumberFormat="1" applyFont="1" applyAlignment="1" applyProtection="1">
      <alignment horizontal="center"/>
    </xf>
    <xf numFmtId="176" fontId="20" fillId="0" borderId="0" xfId="45" applyNumberFormat="1" applyFont="1" applyProtection="1"/>
    <xf numFmtId="164" fontId="28" fillId="0" borderId="1" xfId="45" applyFont="1" applyFill="1" applyBorder="1" applyAlignment="1" applyProtection="1">
      <alignment vertical="center"/>
      <protection locked="0"/>
    </xf>
    <xf numFmtId="176" fontId="24" fillId="0" borderId="1" xfId="45" applyNumberFormat="1" applyFont="1" applyFill="1" applyBorder="1" applyAlignment="1" applyProtection="1">
      <alignment horizontal="center" vertical="center" wrapText="1"/>
      <protection locked="0"/>
    </xf>
    <xf numFmtId="176" fontId="30" fillId="0" borderId="1" xfId="45" applyNumberFormat="1" applyFont="1" applyFill="1" applyBorder="1" applyAlignment="1" applyProtection="1">
      <alignment vertical="center"/>
      <protection locked="0"/>
    </xf>
    <xf numFmtId="164" fontId="24" fillId="0" borderId="1" xfId="45" applyFont="1" applyFill="1" applyBorder="1" applyAlignment="1" applyProtection="1">
      <alignment vertical="center"/>
      <protection locked="0"/>
    </xf>
    <xf numFmtId="164" fontId="20" fillId="0" borderId="1" xfId="45" applyFont="1" applyBorder="1" applyProtection="1">
      <protection locked="0"/>
    </xf>
    <xf numFmtId="176" fontId="20" fillId="0" borderId="1" xfId="45" applyNumberFormat="1" applyFont="1" applyBorder="1" applyProtection="1">
      <protection locked="0"/>
    </xf>
    <xf numFmtId="176" fontId="20" fillId="0" borderId="1" xfId="43" applyNumberFormat="1" applyFont="1" applyBorder="1" applyAlignment="1" applyProtection="1">
      <alignment vertical="center"/>
      <protection locked="0"/>
    </xf>
    <xf numFmtId="42" fontId="20" fillId="0" borderId="1" xfId="43" applyNumberFormat="1" applyFont="1" applyBorder="1" applyAlignment="1" applyProtection="1">
      <alignment vertical="center"/>
      <protection locked="0"/>
    </xf>
    <xf numFmtId="176" fontId="52" fillId="0" borderId="1" xfId="40" applyNumberFormat="1" applyFont="1" applyFill="1" applyBorder="1" applyAlignment="1" applyProtection="1">
      <alignment horizontal="right" vertical="top" wrapText="1"/>
      <protection locked="0"/>
    </xf>
    <xf numFmtId="172" fontId="48" fillId="0" borderId="1" xfId="40" applyNumberFormat="1" applyFont="1" applyFill="1" applyBorder="1" applyAlignment="1" applyProtection="1">
      <alignment horizontal="right" vertical="top" wrapText="1"/>
      <protection locked="0"/>
    </xf>
    <xf numFmtId="176" fontId="48" fillId="0" borderId="1" xfId="40" applyNumberFormat="1" applyFont="1" applyFill="1" applyBorder="1" applyAlignment="1" applyProtection="1">
      <alignment horizontal="center" vertical="center" wrapText="1"/>
      <protection locked="0"/>
    </xf>
    <xf numFmtId="176" fontId="48" fillId="0" borderId="1" xfId="40" applyNumberFormat="1" applyFont="1" applyFill="1" applyBorder="1" applyAlignment="1" applyProtection="1">
      <alignment horizontal="right" vertical="center" wrapText="1"/>
      <protection locked="0"/>
    </xf>
    <xf numFmtId="168" fontId="48" fillId="0" borderId="1" xfId="40" applyNumberFormat="1" applyFont="1" applyFill="1" applyBorder="1" applyAlignment="1" applyProtection="1">
      <alignment horizontal="right" vertical="top" wrapText="1"/>
      <protection locked="0"/>
    </xf>
    <xf numFmtId="0" fontId="51" fillId="0" borderId="1" xfId="40" applyFont="1" applyFill="1" applyBorder="1" applyAlignment="1" applyProtection="1">
      <alignment vertical="top" wrapText="1"/>
      <protection locked="0"/>
    </xf>
    <xf numFmtId="169" fontId="28" fillId="2" borderId="13" xfId="0" applyNumberFormat="1" applyFont="1" applyFill="1" applyBorder="1" applyAlignment="1" applyProtection="1">
      <alignment horizontal="center" vertical="center" wrapText="1"/>
      <protection locked="0"/>
    </xf>
    <xf numFmtId="176" fontId="29" fillId="2" borderId="13" xfId="0" applyNumberFormat="1" applyFont="1" applyFill="1" applyBorder="1" applyAlignment="1" applyProtection="1">
      <alignment horizontal="center" vertical="center" wrapText="1"/>
      <protection locked="0"/>
    </xf>
    <xf numFmtId="176" fontId="30" fillId="0" borderId="92" xfId="48" applyNumberFormat="1" applyFont="1" applyFill="1" applyBorder="1" applyAlignment="1" applyProtection="1">
      <alignment vertical="center"/>
      <protection locked="0"/>
    </xf>
    <xf numFmtId="176" fontId="28" fillId="7" borderId="37" xfId="48" applyNumberFormat="1" applyFont="1" applyFill="1" applyBorder="1" applyAlignment="1" applyProtection="1">
      <alignment vertical="center"/>
      <protection locked="0"/>
    </xf>
    <xf numFmtId="176" fontId="29" fillId="7" borderId="37" xfId="0" applyNumberFormat="1" applyFont="1" applyFill="1" applyBorder="1" applyAlignment="1" applyProtection="1">
      <alignment vertical="center"/>
      <protection locked="0"/>
    </xf>
  </cellXfs>
  <cellStyles count="90">
    <cellStyle name="Millares" xfId="51" builtinId="3"/>
    <cellStyle name="Millares [0] 2" xfId="20"/>
    <cellStyle name="Millares [0] 2 2" xfId="62"/>
    <cellStyle name="Millares 2" xfId="7"/>
    <cellStyle name="Millares 2 2" xfId="14"/>
    <cellStyle name="Millares 2 2 2" xfId="25"/>
    <cellStyle name="Millares 2 2 2 2" xfId="39"/>
    <cellStyle name="Millares 2 2 2 2 2" xfId="78"/>
    <cellStyle name="Millares 2 2 2 3" xfId="67"/>
    <cellStyle name="Millares 2 2 3" xfId="59"/>
    <cellStyle name="Millares 2 3" xfId="33"/>
    <cellStyle name="Millares 2 3 2" xfId="75"/>
    <cellStyle name="Millares 2 4" xfId="56"/>
    <cellStyle name="Millares 3" xfId="19"/>
    <cellStyle name="Millares 3 2" xfId="29"/>
    <cellStyle name="Millares 3 2 2" xfId="44"/>
    <cellStyle name="Millares 3 2 2 2" xfId="81"/>
    <cellStyle name="Millares 3 2 3" xfId="71"/>
    <cellStyle name="Millares 3 3" xfId="61"/>
    <cellStyle name="Millares 4" xfId="23"/>
    <cellStyle name="Millares 4 2" xfId="65"/>
    <cellStyle name="Millares 5" xfId="35"/>
    <cellStyle name="Millares 5 2" xfId="76"/>
    <cellStyle name="Millares 6" xfId="88"/>
    <cellStyle name="Millares 7" xfId="89"/>
    <cellStyle name="Moneda" xfId="1" builtinId="4"/>
    <cellStyle name="Moneda 2" xfId="6"/>
    <cellStyle name="Moneda 2 2" xfId="30"/>
    <cellStyle name="Moneda 2 2 2" xfId="45"/>
    <cellStyle name="Moneda 2 2 2 2" xfId="82"/>
    <cellStyle name="Moneda 2 2 3" xfId="72"/>
    <cellStyle name="Moneda 2 3" xfId="55"/>
    <cellStyle name="Moneda 3" xfId="22"/>
    <cellStyle name="Moneda 3 2" xfId="64"/>
    <cellStyle name="Moneda 4" xfId="34"/>
    <cellStyle name="Normal" xfId="0" builtinId="0"/>
    <cellStyle name="Normal 10" xfId="28"/>
    <cellStyle name="Normal 10 2" xfId="12"/>
    <cellStyle name="Normal 10 3" xfId="43"/>
    <cellStyle name="Normal 10 3 2" xfId="80"/>
    <cellStyle name="Normal 10 4" xfId="70"/>
    <cellStyle name="Normal 11" xfId="10"/>
    <cellStyle name="Normal 12" xfId="40"/>
    <cellStyle name="Normal 13" xfId="41"/>
    <cellStyle name="Normal 13 2" xfId="79"/>
    <cellStyle name="Normal 14" xfId="42"/>
    <cellStyle name="Normal 15" xfId="49"/>
    <cellStyle name="Normal 15 2" xfId="86"/>
    <cellStyle name="Normal 2" xfId="2"/>
    <cellStyle name="Normal 2 10" xfId="36"/>
    <cellStyle name="Normal 2 16" xfId="31"/>
    <cellStyle name="Normal 2 16 2" xfId="46"/>
    <cellStyle name="Normal 2 16 2 2" xfId="83"/>
    <cellStyle name="Normal 2 16 3" xfId="73"/>
    <cellStyle name="Normal 2 2" xfId="52"/>
    <cellStyle name="Normal 2 3" xfId="18"/>
    <cellStyle name="Normal 3" xfId="3"/>
    <cellStyle name="Normal 3 2" xfId="9"/>
    <cellStyle name="Normal 3 3" xfId="26"/>
    <cellStyle name="Normal 3 3 2" xfId="68"/>
    <cellStyle name="Normal 3 4" xfId="48"/>
    <cellStyle name="Normal 3 4 2" xfId="85"/>
    <cellStyle name="Normal 3 5" xfId="53"/>
    <cellStyle name="Normal 4" xfId="5"/>
    <cellStyle name="Normal 4 2" xfId="11"/>
    <cellStyle name="Normal 4 2 2" xfId="24"/>
    <cellStyle name="Normal 4 2 2 2" xfId="38"/>
    <cellStyle name="Normal 4 2 2 2 2" xfId="77"/>
    <cellStyle name="Normal 4 2 2 3" xfId="47"/>
    <cellStyle name="Normal 4 2 2 3 2" xfId="84"/>
    <cellStyle name="Normal 4 2 2 4" xfId="66"/>
    <cellStyle name="Normal 4 2 3" xfId="32"/>
    <cellStyle name="Normal 4 2 3 2" xfId="74"/>
    <cellStyle name="Normal 4 2 4" xfId="58"/>
    <cellStyle name="Normal 4 3" xfId="13"/>
    <cellStyle name="Normal 4 4" xfId="54"/>
    <cellStyle name="Normal 5" xfId="15"/>
    <cellStyle name="Normal 5 2" xfId="60"/>
    <cellStyle name="Normal 6" xfId="16"/>
    <cellStyle name="Normal 7" xfId="17"/>
    <cellStyle name="Normal 8" xfId="21"/>
    <cellStyle name="Normal 8 2" xfId="63"/>
    <cellStyle name="Normal 9" xfId="27"/>
    <cellStyle name="Normal 9 2" xfId="69"/>
    <cellStyle name="Porcentaje" xfId="4" builtinId="5"/>
    <cellStyle name="Porcentaje 2" xfId="8"/>
    <cellStyle name="Porcentaje 2 2" xfId="57"/>
    <cellStyle name="Porcentaje 3" xfId="37"/>
    <cellStyle name="Porcentaje 4" xfId="50"/>
    <cellStyle name="Porcentaje 4 2" xfId="87"/>
  </cellStyles>
  <dxfs count="4"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AFED8"/>
      <color rgb="FFFFFFCC"/>
      <color rgb="FF66FFCC"/>
      <color rgb="FF99FF33"/>
      <color rgb="FF37FB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736601</xdr:colOff>
      <xdr:row>146</xdr:row>
      <xdr:rowOff>16933</xdr:rowOff>
    </xdr:from>
    <xdr:to>
      <xdr:col>12</xdr:col>
      <xdr:colOff>1209676</xdr:colOff>
      <xdr:row>161</xdr:row>
      <xdr:rowOff>1058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16" t="28389" r="21147" b="31111"/>
        <a:stretch>
          <a:fillRect/>
        </a:stretch>
      </xdr:blipFill>
      <xdr:spPr bwMode="auto">
        <a:xfrm>
          <a:off x="3191934" y="25400000"/>
          <a:ext cx="6283325" cy="263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4</xdr:row>
      <xdr:rowOff>95251</xdr:rowOff>
    </xdr:from>
    <xdr:to>
      <xdr:col>4</xdr:col>
      <xdr:colOff>627548</xdr:colOff>
      <xdr:row>24</xdr:row>
      <xdr:rowOff>50939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313340-09E2-49A4-AE43-1A6B0FBEA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6" y="727711"/>
          <a:ext cx="2519212" cy="3110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68581</xdr:colOff>
      <xdr:row>27</xdr:row>
      <xdr:rowOff>83820</xdr:rowOff>
    </xdr:from>
    <xdr:to>
      <xdr:col>9</xdr:col>
      <xdr:colOff>30481</xdr:colOff>
      <xdr:row>77</xdr:row>
      <xdr:rowOff>93483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096A0E-2257-40F8-8F97-C36C43920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1" y="4305300"/>
          <a:ext cx="5113020" cy="72486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abocicserver\@\Isla4\2001-%20proyec\edgarc\contratos\NorOriental\Cantobraimp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ABOCICSERVER\Shared%20Folders\@\Isla4\2001-%20proyec\edgarc\contratos\NorOriental\Cantobraimp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abocicserver\HABOCICSERVER\Shared%20Folders\@\Isla4\2001-%20proyec\edgarc\contratos\NorOriental\Cantobraimp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abocicserver\Users\pgomez\Library\Mail%20Downloads\ANALM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ABOCICSERVER\Shared%20Folders\Users\pgomez\Library\Mail%20Downloads\ANALM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abocicserver\HABOCICSERVER\Shared%20Folders\Users\pgomez\Library\Mail%20Downloads\ANALM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e%20de%20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ermeabOTR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ermeabOTR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ermeabOTR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4A"/>
      <sheetName val="Hoja1"/>
    </sheetNames>
    <sheetDataSet>
      <sheetData sheetId="0" refreshError="1">
        <row r="2">
          <cell r="E2">
            <v>1</v>
          </cell>
          <cell r="F2">
            <v>2</v>
          </cell>
          <cell r="G2">
            <v>3</v>
          </cell>
          <cell r="H2">
            <v>4</v>
          </cell>
          <cell r="I2">
            <v>5</v>
          </cell>
          <cell r="J2">
            <v>6</v>
          </cell>
          <cell r="K2">
            <v>7</v>
          </cell>
          <cell r="L2">
            <v>8</v>
          </cell>
          <cell r="M2">
            <v>9</v>
          </cell>
          <cell r="N2">
            <v>10</v>
          </cell>
          <cell r="O2">
            <v>11</v>
          </cell>
          <cell r="P2">
            <v>12</v>
          </cell>
          <cell r="Q2">
            <v>13</v>
          </cell>
          <cell r="R2">
            <v>14</v>
          </cell>
        </row>
        <row r="3">
          <cell r="E3" t="str">
            <v>BULLD D6D</v>
          </cell>
          <cell r="F3" t="str">
            <v>BULLD. D8H</v>
          </cell>
          <cell r="G3" t="str">
            <v>EXC. E200</v>
          </cell>
          <cell r="H3" t="str">
            <v>EXCAVADORA</v>
          </cell>
          <cell r="I3" t="str">
            <v>FINISHER</v>
          </cell>
          <cell r="J3" t="str">
            <v>MOTONI/DORA</v>
          </cell>
          <cell r="K3" t="str">
            <v>COMPACTADOR</v>
          </cell>
          <cell r="L3" t="str">
            <v>VOLQUETAS</v>
          </cell>
          <cell r="M3" t="str">
            <v>CARGADOR 926</v>
          </cell>
          <cell r="N3" t="str">
            <v>CARROTANQUE</v>
          </cell>
          <cell r="O3" t="str">
            <v>CARROTANQUE</v>
          </cell>
          <cell r="P3" t="str">
            <v>VOLQUETA</v>
          </cell>
          <cell r="Q3" t="str">
            <v xml:space="preserve">TRITURADORA </v>
          </cell>
          <cell r="R3" t="str">
            <v>PLANTA MEZC.</v>
          </cell>
          <cell r="S3" t="str">
            <v>BULLD. D4H</v>
          </cell>
          <cell r="T3" t="str">
            <v>EXCAVADORA</v>
          </cell>
          <cell r="U3" t="str">
            <v>COMPRESOR</v>
          </cell>
          <cell r="V3" t="str">
            <v>TRACTOR</v>
          </cell>
          <cell r="W3" t="str">
            <v>COMPACTADOR</v>
          </cell>
        </row>
        <row r="4">
          <cell r="E4" t="str">
            <v>Caterpillar</v>
          </cell>
          <cell r="F4" t="str">
            <v>Caterpillar</v>
          </cell>
          <cell r="G4" t="str">
            <v>Caterpillar</v>
          </cell>
          <cell r="H4" t="str">
            <v>CAT 426</v>
          </cell>
          <cell r="I4" t="str">
            <v>Barber Green</v>
          </cell>
          <cell r="J4" t="str">
            <v>Huber</v>
          </cell>
          <cell r="K4" t="str">
            <v>Ingersoll</v>
          </cell>
          <cell r="M4" t="str">
            <v>Caterpillar</v>
          </cell>
          <cell r="N4" t="str">
            <v>2000 GLNS</v>
          </cell>
          <cell r="O4" t="str">
            <v>IMPRIMADOR</v>
          </cell>
          <cell r="P4" t="str">
            <v>Dumper</v>
          </cell>
          <cell r="Q4" t="str">
            <v>Y CLASIFIC.</v>
          </cell>
          <cell r="R4" t="str">
            <v>ASFALTICA</v>
          </cell>
          <cell r="S4" t="str">
            <v>Caterpillar</v>
          </cell>
          <cell r="T4" t="str">
            <v>Hitachi UH81</v>
          </cell>
          <cell r="U4" t="str">
            <v>Ingersoll</v>
          </cell>
          <cell r="V4" t="str">
            <v>Ford</v>
          </cell>
          <cell r="W4" t="str">
            <v>DYNAPAC</v>
          </cell>
        </row>
        <row r="5">
          <cell r="E5" t="str">
            <v>140 HP</v>
          </cell>
          <cell r="F5" t="str">
            <v>270 HP</v>
          </cell>
          <cell r="G5" t="str">
            <v>150 HP</v>
          </cell>
          <cell r="H5" t="str">
            <v>62 HP</v>
          </cell>
          <cell r="I5" t="str">
            <v>70 HP</v>
          </cell>
          <cell r="J5" t="str">
            <v>130 HP</v>
          </cell>
          <cell r="K5" t="str">
            <v>94 HP</v>
          </cell>
          <cell r="L5" t="str">
            <v>170 HP</v>
          </cell>
          <cell r="M5" t="str">
            <v>105 HP</v>
          </cell>
          <cell r="N5" t="str">
            <v>170 HP</v>
          </cell>
          <cell r="S5" t="str">
            <v>94 HP</v>
          </cell>
          <cell r="T5" t="str">
            <v>140 HP</v>
          </cell>
          <cell r="U5" t="str">
            <v>54 HP</v>
          </cell>
          <cell r="V5" t="str">
            <v>60 HP</v>
          </cell>
          <cell r="W5" t="str">
            <v>77 HP</v>
          </cell>
        </row>
        <row r="6">
          <cell r="E6">
            <v>5</v>
          </cell>
          <cell r="F6">
            <v>5</v>
          </cell>
          <cell r="G6">
            <v>5</v>
          </cell>
          <cell r="H6">
            <v>5</v>
          </cell>
          <cell r="I6">
            <v>5</v>
          </cell>
          <cell r="J6">
            <v>5</v>
          </cell>
          <cell r="K6">
            <v>5</v>
          </cell>
          <cell r="L6">
            <v>5</v>
          </cell>
          <cell r="M6">
            <v>10</v>
          </cell>
          <cell r="N6">
            <v>5</v>
          </cell>
          <cell r="O6">
            <v>5</v>
          </cell>
          <cell r="P6">
            <v>5</v>
          </cell>
          <cell r="Q6">
            <v>5</v>
          </cell>
          <cell r="R6">
            <v>5</v>
          </cell>
          <cell r="S6">
            <v>5</v>
          </cell>
          <cell r="T6">
            <v>5</v>
          </cell>
          <cell r="U6">
            <v>4</v>
          </cell>
          <cell r="V6">
            <v>5</v>
          </cell>
          <cell r="W6">
            <v>5</v>
          </cell>
        </row>
        <row r="7">
          <cell r="E7">
            <v>10000</v>
          </cell>
          <cell r="F7">
            <v>10000</v>
          </cell>
          <cell r="G7">
            <v>10000</v>
          </cell>
          <cell r="H7">
            <v>10000</v>
          </cell>
          <cell r="I7">
            <v>10000</v>
          </cell>
          <cell r="J7">
            <v>10000</v>
          </cell>
          <cell r="K7">
            <v>10000</v>
          </cell>
          <cell r="L7">
            <v>10000</v>
          </cell>
          <cell r="M7">
            <v>8000</v>
          </cell>
          <cell r="N7">
            <v>10000</v>
          </cell>
          <cell r="O7">
            <v>10000</v>
          </cell>
          <cell r="P7">
            <v>10000</v>
          </cell>
          <cell r="Q7">
            <v>10000</v>
          </cell>
          <cell r="R7">
            <v>10000</v>
          </cell>
          <cell r="S7">
            <v>10000</v>
          </cell>
          <cell r="T7">
            <v>10000</v>
          </cell>
          <cell r="U7">
            <v>8000</v>
          </cell>
          <cell r="V7">
            <v>10000</v>
          </cell>
          <cell r="W7">
            <v>10000</v>
          </cell>
        </row>
        <row r="8">
          <cell r="E8">
            <v>85000000</v>
          </cell>
          <cell r="F8">
            <v>80000000</v>
          </cell>
          <cell r="G8">
            <v>115000000</v>
          </cell>
          <cell r="H8">
            <v>43000000</v>
          </cell>
          <cell r="I8">
            <v>120000000</v>
          </cell>
          <cell r="J8">
            <v>80000000</v>
          </cell>
          <cell r="K8">
            <v>60000000</v>
          </cell>
          <cell r="L8">
            <v>60000000</v>
          </cell>
          <cell r="M8">
            <v>57000000</v>
          </cell>
          <cell r="N8">
            <v>30000000</v>
          </cell>
          <cell r="O8">
            <v>23000000</v>
          </cell>
          <cell r="P8">
            <v>180000000</v>
          </cell>
          <cell r="Q8">
            <v>170000000</v>
          </cell>
          <cell r="R8">
            <v>160000000</v>
          </cell>
          <cell r="S8">
            <v>42000000</v>
          </cell>
          <cell r="T8">
            <v>50000000</v>
          </cell>
          <cell r="U8">
            <v>25000000</v>
          </cell>
          <cell r="V8">
            <v>15000000</v>
          </cell>
          <cell r="W8">
            <v>65000000</v>
          </cell>
        </row>
        <row r="9">
          <cell r="E9">
            <v>10</v>
          </cell>
          <cell r="F9">
            <v>10</v>
          </cell>
          <cell r="G9">
            <v>10</v>
          </cell>
          <cell r="H9">
            <v>10</v>
          </cell>
          <cell r="I9">
            <v>10</v>
          </cell>
          <cell r="J9">
            <v>10</v>
          </cell>
          <cell r="K9">
            <v>10</v>
          </cell>
          <cell r="L9">
            <v>10</v>
          </cell>
          <cell r="M9">
            <v>10</v>
          </cell>
          <cell r="N9">
            <v>10</v>
          </cell>
          <cell r="O9">
            <v>10</v>
          </cell>
          <cell r="P9">
            <v>10</v>
          </cell>
          <cell r="Q9">
            <v>10</v>
          </cell>
          <cell r="R9">
            <v>10</v>
          </cell>
          <cell r="S9">
            <v>10</v>
          </cell>
          <cell r="T9">
            <v>10</v>
          </cell>
          <cell r="U9">
            <v>10</v>
          </cell>
          <cell r="V9">
            <v>10</v>
          </cell>
          <cell r="W9">
            <v>10</v>
          </cell>
        </row>
        <row r="10">
          <cell r="E10">
            <v>8500000</v>
          </cell>
          <cell r="F10">
            <v>8000000</v>
          </cell>
          <cell r="G10">
            <v>8000000</v>
          </cell>
          <cell r="H10">
            <v>3000000</v>
          </cell>
          <cell r="I10">
            <v>12000000</v>
          </cell>
          <cell r="J10">
            <v>8000000</v>
          </cell>
          <cell r="K10">
            <v>6000000</v>
          </cell>
          <cell r="L10">
            <v>6000000</v>
          </cell>
          <cell r="M10">
            <v>2700000</v>
          </cell>
          <cell r="N10">
            <v>3000000</v>
          </cell>
          <cell r="O10">
            <v>2300000</v>
          </cell>
          <cell r="P10">
            <v>18000000</v>
          </cell>
          <cell r="Q10">
            <v>17000000</v>
          </cell>
          <cell r="R10">
            <v>16000000</v>
          </cell>
          <cell r="S10">
            <v>4200000</v>
          </cell>
          <cell r="T10">
            <v>5000000</v>
          </cell>
          <cell r="U10">
            <v>2500000</v>
          </cell>
          <cell r="V10">
            <v>1500000</v>
          </cell>
          <cell r="W10">
            <v>6500000</v>
          </cell>
        </row>
        <row r="11">
          <cell r="E11">
            <v>27200</v>
          </cell>
          <cell r="F11">
            <v>25600</v>
          </cell>
          <cell r="G11">
            <v>36100</v>
          </cell>
          <cell r="H11">
            <v>13500</v>
          </cell>
          <cell r="I11">
            <v>38400</v>
          </cell>
          <cell r="J11">
            <v>25600</v>
          </cell>
          <cell r="K11">
            <v>19200</v>
          </cell>
          <cell r="L11">
            <v>19200</v>
          </cell>
          <cell r="M11">
            <v>16282.5</v>
          </cell>
          <cell r="N11">
            <v>9600</v>
          </cell>
          <cell r="O11">
            <v>7360</v>
          </cell>
          <cell r="P11">
            <v>57600</v>
          </cell>
          <cell r="Q11">
            <v>54400</v>
          </cell>
          <cell r="R11">
            <v>51200</v>
          </cell>
          <cell r="S11">
            <v>13440</v>
          </cell>
          <cell r="T11">
            <v>16000</v>
          </cell>
          <cell r="U11">
            <v>8281.25</v>
          </cell>
          <cell r="V11">
            <v>4800</v>
          </cell>
          <cell r="W11">
            <v>20800</v>
          </cell>
        </row>
        <row r="13">
          <cell r="E13">
            <v>76500000</v>
          </cell>
          <cell r="F13">
            <v>72000000</v>
          </cell>
          <cell r="G13">
            <v>107000000</v>
          </cell>
          <cell r="H13">
            <v>40000000</v>
          </cell>
          <cell r="I13">
            <v>108000000</v>
          </cell>
          <cell r="J13">
            <v>72000000</v>
          </cell>
          <cell r="K13">
            <v>54000000</v>
          </cell>
          <cell r="L13">
            <v>54000000</v>
          </cell>
          <cell r="M13">
            <v>54300000</v>
          </cell>
          <cell r="N13">
            <v>27000000</v>
          </cell>
          <cell r="O13">
            <v>20700000</v>
          </cell>
          <cell r="P13">
            <v>162000000</v>
          </cell>
          <cell r="Q13">
            <v>153000000</v>
          </cell>
          <cell r="R13">
            <v>144000000</v>
          </cell>
          <cell r="S13">
            <v>37800000</v>
          </cell>
          <cell r="T13">
            <v>45000000</v>
          </cell>
          <cell r="U13">
            <v>22500000</v>
          </cell>
          <cell r="V13">
            <v>13500000</v>
          </cell>
          <cell r="W13">
            <v>58500000</v>
          </cell>
        </row>
        <row r="14">
          <cell r="E14">
            <v>7650</v>
          </cell>
          <cell r="F14">
            <v>7200</v>
          </cell>
          <cell r="G14">
            <v>10700</v>
          </cell>
          <cell r="H14">
            <v>4000</v>
          </cell>
          <cell r="I14">
            <v>10800</v>
          </cell>
          <cell r="J14">
            <v>7200</v>
          </cell>
          <cell r="K14">
            <v>5400</v>
          </cell>
          <cell r="L14">
            <v>5400</v>
          </cell>
          <cell r="M14">
            <v>6787.5</v>
          </cell>
          <cell r="N14">
            <v>2700</v>
          </cell>
          <cell r="O14">
            <v>2070</v>
          </cell>
          <cell r="P14">
            <v>16200</v>
          </cell>
          <cell r="Q14">
            <v>15300</v>
          </cell>
          <cell r="R14">
            <v>14400</v>
          </cell>
          <cell r="S14">
            <v>3780</v>
          </cell>
          <cell r="T14">
            <v>4500</v>
          </cell>
          <cell r="U14">
            <v>2812.5</v>
          </cell>
          <cell r="V14">
            <v>1350</v>
          </cell>
          <cell r="W14">
            <v>5850</v>
          </cell>
        </row>
        <row r="15">
          <cell r="E15">
            <v>41</v>
          </cell>
          <cell r="F15">
            <v>81</v>
          </cell>
          <cell r="G15">
            <v>41</v>
          </cell>
          <cell r="H15">
            <v>41</v>
          </cell>
          <cell r="I15">
            <v>41</v>
          </cell>
          <cell r="J15">
            <v>41</v>
          </cell>
          <cell r="K15">
            <v>51</v>
          </cell>
          <cell r="L15">
            <v>41</v>
          </cell>
          <cell r="M15">
            <v>42</v>
          </cell>
          <cell r="N15">
            <v>35</v>
          </cell>
          <cell r="O15">
            <v>41</v>
          </cell>
          <cell r="P15">
            <v>41</v>
          </cell>
          <cell r="Q15">
            <v>41</v>
          </cell>
          <cell r="R15">
            <v>41</v>
          </cell>
          <cell r="S15">
            <v>41</v>
          </cell>
          <cell r="T15">
            <v>70</v>
          </cell>
          <cell r="U15">
            <v>60</v>
          </cell>
          <cell r="V15">
            <v>41</v>
          </cell>
          <cell r="W15">
            <v>51</v>
          </cell>
        </row>
        <row r="16">
          <cell r="E16">
            <v>11152</v>
          </cell>
          <cell r="F16">
            <v>20736</v>
          </cell>
          <cell r="G16">
            <v>14801</v>
          </cell>
          <cell r="H16">
            <v>5535</v>
          </cell>
          <cell r="I16">
            <v>15744</v>
          </cell>
          <cell r="J16">
            <v>10496</v>
          </cell>
          <cell r="K16">
            <v>9792</v>
          </cell>
          <cell r="L16">
            <v>7872</v>
          </cell>
          <cell r="M16">
            <v>6838.65</v>
          </cell>
          <cell r="N16">
            <v>3360</v>
          </cell>
          <cell r="O16">
            <v>3017.6</v>
          </cell>
          <cell r="P16">
            <v>23616</v>
          </cell>
          <cell r="Q16">
            <v>22304</v>
          </cell>
          <cell r="R16">
            <v>20992</v>
          </cell>
          <cell r="S16">
            <v>5510.4</v>
          </cell>
          <cell r="T16">
            <v>11200</v>
          </cell>
          <cell r="U16">
            <v>4968.75</v>
          </cell>
          <cell r="V16">
            <v>1968</v>
          </cell>
          <cell r="W16">
            <v>10608</v>
          </cell>
        </row>
        <row r="17">
          <cell r="E17">
            <v>18802</v>
          </cell>
          <cell r="F17">
            <v>27936</v>
          </cell>
          <cell r="G17">
            <v>25501</v>
          </cell>
          <cell r="H17">
            <v>9535</v>
          </cell>
          <cell r="I17">
            <v>26544</v>
          </cell>
          <cell r="J17">
            <v>17696</v>
          </cell>
          <cell r="K17">
            <v>15192</v>
          </cell>
          <cell r="L17">
            <v>13272</v>
          </cell>
          <cell r="M17">
            <v>13626.15</v>
          </cell>
          <cell r="N17">
            <v>6060</v>
          </cell>
          <cell r="O17">
            <v>5087.6000000000004</v>
          </cell>
          <cell r="P17">
            <v>39816</v>
          </cell>
          <cell r="Q17">
            <v>37604</v>
          </cell>
          <cell r="R17">
            <v>35392</v>
          </cell>
          <cell r="S17">
            <v>9290.4</v>
          </cell>
          <cell r="T17">
            <v>15700</v>
          </cell>
          <cell r="U17">
            <v>7781.25</v>
          </cell>
          <cell r="V17">
            <v>3318</v>
          </cell>
          <cell r="W17">
            <v>16458</v>
          </cell>
        </row>
        <row r="18">
          <cell r="E18">
            <v>7000</v>
          </cell>
          <cell r="F18">
            <v>5800</v>
          </cell>
          <cell r="G18">
            <v>5300</v>
          </cell>
          <cell r="H18">
            <v>6500</v>
          </cell>
          <cell r="I18">
            <v>6500</v>
          </cell>
          <cell r="J18">
            <v>6500</v>
          </cell>
          <cell r="K18">
            <v>8000</v>
          </cell>
          <cell r="L18">
            <v>7000</v>
          </cell>
          <cell r="M18">
            <v>7000</v>
          </cell>
          <cell r="N18">
            <v>6000</v>
          </cell>
          <cell r="O18">
            <v>6500</v>
          </cell>
          <cell r="P18">
            <v>7000</v>
          </cell>
          <cell r="Q18">
            <v>6000</v>
          </cell>
          <cell r="R18">
            <v>6000</v>
          </cell>
          <cell r="S18">
            <v>5300</v>
          </cell>
          <cell r="T18">
            <v>5300</v>
          </cell>
          <cell r="U18">
            <v>6500</v>
          </cell>
          <cell r="V18">
            <v>6000</v>
          </cell>
          <cell r="W18">
            <v>8000</v>
          </cell>
        </row>
        <row r="19">
          <cell r="E19">
            <v>7000</v>
          </cell>
          <cell r="F19">
            <v>5800</v>
          </cell>
          <cell r="G19">
            <v>5300</v>
          </cell>
          <cell r="H19">
            <v>6500</v>
          </cell>
          <cell r="I19">
            <v>6500</v>
          </cell>
          <cell r="J19">
            <v>6500</v>
          </cell>
          <cell r="K19">
            <v>8000</v>
          </cell>
          <cell r="L19">
            <v>7000</v>
          </cell>
          <cell r="M19">
            <v>7000</v>
          </cell>
          <cell r="N19">
            <v>6000</v>
          </cell>
          <cell r="O19">
            <v>6500</v>
          </cell>
          <cell r="P19">
            <v>7000</v>
          </cell>
          <cell r="Q19">
            <v>6000</v>
          </cell>
          <cell r="R19">
            <v>6000</v>
          </cell>
          <cell r="S19">
            <v>5300</v>
          </cell>
          <cell r="T19">
            <v>5300</v>
          </cell>
          <cell r="U19">
            <v>6500</v>
          </cell>
          <cell r="V19">
            <v>6000</v>
          </cell>
          <cell r="W19">
            <v>8000</v>
          </cell>
        </row>
        <row r="20">
          <cell r="E20">
            <v>3500</v>
          </cell>
          <cell r="F20">
            <v>2900</v>
          </cell>
          <cell r="G20">
            <v>2650</v>
          </cell>
          <cell r="H20">
            <v>3250</v>
          </cell>
          <cell r="I20">
            <v>3250</v>
          </cell>
          <cell r="J20">
            <v>3250</v>
          </cell>
          <cell r="K20">
            <v>4200</v>
          </cell>
          <cell r="L20">
            <v>3500</v>
          </cell>
          <cell r="M20">
            <v>3500</v>
          </cell>
          <cell r="N20">
            <v>3000</v>
          </cell>
          <cell r="O20">
            <v>3250</v>
          </cell>
          <cell r="P20">
            <v>3500</v>
          </cell>
          <cell r="Q20">
            <v>2800</v>
          </cell>
          <cell r="R20">
            <v>2800</v>
          </cell>
          <cell r="S20">
            <v>2650</v>
          </cell>
          <cell r="T20">
            <v>2650</v>
          </cell>
          <cell r="U20">
            <v>3250</v>
          </cell>
          <cell r="V20">
            <v>2800</v>
          </cell>
          <cell r="W20">
            <v>4200</v>
          </cell>
        </row>
        <row r="21">
          <cell r="E21">
            <v>3500</v>
          </cell>
          <cell r="F21">
            <v>2900</v>
          </cell>
          <cell r="G21">
            <v>2650</v>
          </cell>
          <cell r="H21">
            <v>3250</v>
          </cell>
          <cell r="I21">
            <v>3250</v>
          </cell>
          <cell r="J21">
            <v>3250</v>
          </cell>
          <cell r="K21">
            <v>4200</v>
          </cell>
          <cell r="L21">
            <v>3500</v>
          </cell>
          <cell r="M21">
            <v>3500</v>
          </cell>
          <cell r="N21">
            <v>3000</v>
          </cell>
          <cell r="O21">
            <v>3250</v>
          </cell>
          <cell r="P21">
            <v>3500</v>
          </cell>
          <cell r="Q21">
            <v>2800</v>
          </cell>
          <cell r="R21">
            <v>2800</v>
          </cell>
          <cell r="S21">
            <v>2650</v>
          </cell>
          <cell r="T21">
            <v>2650</v>
          </cell>
          <cell r="U21">
            <v>3250</v>
          </cell>
          <cell r="V21">
            <v>2800</v>
          </cell>
          <cell r="W21">
            <v>4200</v>
          </cell>
        </row>
        <row r="22">
          <cell r="E22">
            <v>21000</v>
          </cell>
          <cell r="F22">
            <v>17400</v>
          </cell>
          <cell r="G22">
            <v>15900</v>
          </cell>
          <cell r="H22">
            <v>19500</v>
          </cell>
          <cell r="I22">
            <v>19500</v>
          </cell>
          <cell r="J22">
            <v>19500</v>
          </cell>
          <cell r="K22">
            <v>24400</v>
          </cell>
          <cell r="L22">
            <v>21000</v>
          </cell>
          <cell r="M22">
            <v>21000</v>
          </cell>
          <cell r="N22">
            <v>18000</v>
          </cell>
          <cell r="O22">
            <v>19500</v>
          </cell>
          <cell r="P22">
            <v>21000</v>
          </cell>
          <cell r="Q22">
            <v>17600</v>
          </cell>
          <cell r="R22">
            <v>17600</v>
          </cell>
          <cell r="S22">
            <v>15900</v>
          </cell>
          <cell r="T22">
            <v>15900</v>
          </cell>
          <cell r="U22">
            <v>19500</v>
          </cell>
          <cell r="V22">
            <v>17600</v>
          </cell>
          <cell r="W22">
            <v>24400</v>
          </cell>
        </row>
        <row r="23">
          <cell r="E23">
            <v>2625</v>
          </cell>
          <cell r="F23">
            <v>2175</v>
          </cell>
          <cell r="G23">
            <v>1987.5</v>
          </cell>
          <cell r="H23">
            <v>2437.5</v>
          </cell>
          <cell r="I23">
            <v>2437.5</v>
          </cell>
          <cell r="J23">
            <v>2437.5</v>
          </cell>
          <cell r="K23">
            <v>3050</v>
          </cell>
          <cell r="L23">
            <v>2625</v>
          </cell>
          <cell r="M23">
            <v>2625</v>
          </cell>
          <cell r="N23">
            <v>2250</v>
          </cell>
          <cell r="O23">
            <v>2437.5</v>
          </cell>
          <cell r="P23">
            <v>2625</v>
          </cell>
          <cell r="Q23">
            <v>2200</v>
          </cell>
          <cell r="R23">
            <v>2200</v>
          </cell>
          <cell r="S23">
            <v>1987.5</v>
          </cell>
          <cell r="T23">
            <v>1987.5</v>
          </cell>
          <cell r="U23">
            <v>2437.5</v>
          </cell>
          <cell r="V23">
            <v>2200</v>
          </cell>
          <cell r="W23">
            <v>3050</v>
          </cell>
        </row>
        <row r="24">
          <cell r="E24">
            <v>4000</v>
          </cell>
          <cell r="F24">
            <v>2800</v>
          </cell>
          <cell r="G24">
            <v>2800</v>
          </cell>
          <cell r="H24">
            <v>2500</v>
          </cell>
          <cell r="I24">
            <v>2500</v>
          </cell>
          <cell r="J24">
            <v>4000</v>
          </cell>
          <cell r="K24">
            <v>4000</v>
          </cell>
          <cell r="M24">
            <v>4000</v>
          </cell>
          <cell r="N24">
            <v>2500</v>
          </cell>
          <cell r="O24">
            <v>4000</v>
          </cell>
          <cell r="P24">
            <v>4000</v>
          </cell>
          <cell r="Q24">
            <v>3964</v>
          </cell>
          <cell r="R24">
            <v>3964</v>
          </cell>
          <cell r="S24">
            <v>2717</v>
          </cell>
          <cell r="T24">
            <v>2717</v>
          </cell>
          <cell r="U24">
            <v>4000</v>
          </cell>
          <cell r="V24">
            <v>3964</v>
          </cell>
          <cell r="W24">
            <v>4000</v>
          </cell>
        </row>
        <row r="25">
          <cell r="E25">
            <v>4000</v>
          </cell>
          <cell r="F25">
            <v>2800</v>
          </cell>
          <cell r="G25">
            <v>2800</v>
          </cell>
          <cell r="H25">
            <v>2500</v>
          </cell>
          <cell r="I25">
            <v>2500</v>
          </cell>
          <cell r="J25">
            <v>4000</v>
          </cell>
          <cell r="K25">
            <v>4000</v>
          </cell>
          <cell r="M25">
            <v>4000</v>
          </cell>
          <cell r="N25">
            <v>2500</v>
          </cell>
          <cell r="O25">
            <v>4000</v>
          </cell>
          <cell r="P25">
            <v>4000</v>
          </cell>
          <cell r="Q25">
            <v>3964</v>
          </cell>
          <cell r="R25">
            <v>3964</v>
          </cell>
          <cell r="S25">
            <v>2717</v>
          </cell>
          <cell r="T25">
            <v>2717</v>
          </cell>
          <cell r="U25">
            <v>4000</v>
          </cell>
          <cell r="V25">
            <v>3964</v>
          </cell>
          <cell r="W25">
            <v>4000</v>
          </cell>
        </row>
        <row r="26">
          <cell r="E26">
            <v>2000</v>
          </cell>
          <cell r="F26">
            <v>1400</v>
          </cell>
          <cell r="G26">
            <v>1400</v>
          </cell>
          <cell r="H26">
            <v>1750</v>
          </cell>
          <cell r="I26">
            <v>1750</v>
          </cell>
          <cell r="J26">
            <v>2000</v>
          </cell>
          <cell r="K26">
            <v>2000</v>
          </cell>
          <cell r="M26">
            <v>2000</v>
          </cell>
          <cell r="N26">
            <v>1750</v>
          </cell>
          <cell r="O26">
            <v>2000</v>
          </cell>
          <cell r="P26">
            <v>2000</v>
          </cell>
          <cell r="Q26">
            <v>1358.5</v>
          </cell>
          <cell r="R26">
            <v>1358.5</v>
          </cell>
          <cell r="S26">
            <v>1359</v>
          </cell>
          <cell r="T26">
            <v>1359</v>
          </cell>
          <cell r="U26">
            <v>2000</v>
          </cell>
          <cell r="V26">
            <v>1358.5</v>
          </cell>
          <cell r="W26">
            <v>2000</v>
          </cell>
        </row>
        <row r="27">
          <cell r="E27">
            <v>2000</v>
          </cell>
          <cell r="F27">
            <v>1400</v>
          </cell>
          <cell r="G27">
            <v>1400</v>
          </cell>
          <cell r="H27">
            <v>1750</v>
          </cell>
          <cell r="I27">
            <v>1750</v>
          </cell>
          <cell r="J27">
            <v>2000</v>
          </cell>
          <cell r="K27">
            <v>2000</v>
          </cell>
          <cell r="M27">
            <v>2000</v>
          </cell>
          <cell r="N27">
            <v>1750</v>
          </cell>
          <cell r="O27">
            <v>2000</v>
          </cell>
          <cell r="P27">
            <v>2000</v>
          </cell>
          <cell r="Q27">
            <v>1358.5</v>
          </cell>
          <cell r="R27">
            <v>1358.5</v>
          </cell>
          <cell r="S27">
            <v>1359</v>
          </cell>
          <cell r="T27">
            <v>1359</v>
          </cell>
          <cell r="U27">
            <v>2000</v>
          </cell>
          <cell r="V27">
            <v>1358.5</v>
          </cell>
          <cell r="W27">
            <v>2000</v>
          </cell>
        </row>
        <row r="28">
          <cell r="E28">
            <v>12000</v>
          </cell>
          <cell r="F28">
            <v>8400</v>
          </cell>
          <cell r="G28">
            <v>8400</v>
          </cell>
          <cell r="H28">
            <v>8500</v>
          </cell>
          <cell r="I28">
            <v>8500</v>
          </cell>
          <cell r="J28">
            <v>12000</v>
          </cell>
          <cell r="K28">
            <v>12000</v>
          </cell>
          <cell r="M28">
            <v>12000</v>
          </cell>
          <cell r="N28">
            <v>8500</v>
          </cell>
          <cell r="O28">
            <v>12000</v>
          </cell>
          <cell r="P28">
            <v>12000</v>
          </cell>
          <cell r="Q28">
            <v>10645</v>
          </cell>
          <cell r="R28">
            <v>10645</v>
          </cell>
          <cell r="S28">
            <v>8152</v>
          </cell>
          <cell r="T28">
            <v>8152</v>
          </cell>
          <cell r="U28">
            <v>12000</v>
          </cell>
          <cell r="V28">
            <v>10645</v>
          </cell>
          <cell r="W28">
            <v>12000</v>
          </cell>
        </row>
        <row r="29">
          <cell r="E29">
            <v>1500</v>
          </cell>
          <cell r="F29">
            <v>1050</v>
          </cell>
          <cell r="G29">
            <v>1050</v>
          </cell>
          <cell r="H29">
            <v>1062.5</v>
          </cell>
          <cell r="I29">
            <v>1062.5</v>
          </cell>
          <cell r="J29">
            <v>1500</v>
          </cell>
          <cell r="K29">
            <v>1500</v>
          </cell>
          <cell r="M29">
            <v>1500</v>
          </cell>
          <cell r="N29">
            <v>1062.5</v>
          </cell>
          <cell r="O29">
            <v>1500</v>
          </cell>
          <cell r="P29">
            <v>1500</v>
          </cell>
          <cell r="Q29">
            <v>1330.625</v>
          </cell>
          <cell r="R29">
            <v>1330.625</v>
          </cell>
          <cell r="S29">
            <v>1019</v>
          </cell>
          <cell r="T29">
            <v>1019</v>
          </cell>
          <cell r="U29">
            <v>1500</v>
          </cell>
          <cell r="V29">
            <v>1330.625</v>
          </cell>
          <cell r="W29">
            <v>1500</v>
          </cell>
        </row>
        <row r="30">
          <cell r="E30">
            <v>4125</v>
          </cell>
          <cell r="F30">
            <v>3225</v>
          </cell>
          <cell r="G30">
            <v>3037.5</v>
          </cell>
          <cell r="H30">
            <v>3500</v>
          </cell>
          <cell r="I30">
            <v>3500</v>
          </cell>
          <cell r="J30">
            <v>3937.5</v>
          </cell>
          <cell r="K30">
            <v>4550</v>
          </cell>
          <cell r="L30">
            <v>2625</v>
          </cell>
          <cell r="M30">
            <v>4125</v>
          </cell>
          <cell r="N30">
            <v>3312.5</v>
          </cell>
          <cell r="O30">
            <v>3937.5</v>
          </cell>
          <cell r="P30">
            <v>4125</v>
          </cell>
          <cell r="Q30">
            <v>3530.625</v>
          </cell>
          <cell r="R30">
            <v>3530.625</v>
          </cell>
          <cell r="S30">
            <v>3006.5</v>
          </cell>
          <cell r="T30">
            <v>3006.5</v>
          </cell>
          <cell r="U30">
            <v>2437.5</v>
          </cell>
          <cell r="V30">
            <v>3530.625</v>
          </cell>
          <cell r="W30">
            <v>4550</v>
          </cell>
        </row>
        <row r="31">
          <cell r="E31">
            <v>80</v>
          </cell>
          <cell r="F31">
            <v>100</v>
          </cell>
          <cell r="G31">
            <v>45</v>
          </cell>
          <cell r="H31">
            <v>90</v>
          </cell>
          <cell r="I31">
            <v>60</v>
          </cell>
          <cell r="J31">
            <v>120</v>
          </cell>
          <cell r="K31">
            <v>120</v>
          </cell>
          <cell r="L31">
            <v>170</v>
          </cell>
          <cell r="M31">
            <v>90</v>
          </cell>
          <cell r="N31">
            <v>65</v>
          </cell>
          <cell r="O31">
            <v>110</v>
          </cell>
          <cell r="P31">
            <v>50</v>
          </cell>
          <cell r="Q31">
            <v>100</v>
          </cell>
          <cell r="R31">
            <v>115</v>
          </cell>
          <cell r="S31">
            <v>90</v>
          </cell>
          <cell r="T31">
            <v>50</v>
          </cell>
          <cell r="U31">
            <v>100</v>
          </cell>
          <cell r="V31">
            <v>110</v>
          </cell>
          <cell r="W31">
            <v>120</v>
          </cell>
        </row>
        <row r="32">
          <cell r="E32">
            <v>6120</v>
          </cell>
          <cell r="F32">
            <v>7200</v>
          </cell>
          <cell r="G32">
            <v>4815</v>
          </cell>
          <cell r="H32">
            <v>3600</v>
          </cell>
          <cell r="I32">
            <v>6480</v>
          </cell>
          <cell r="J32">
            <v>8640</v>
          </cell>
          <cell r="K32">
            <v>6480</v>
          </cell>
          <cell r="L32">
            <v>9180</v>
          </cell>
          <cell r="M32">
            <v>6108.75</v>
          </cell>
          <cell r="N32">
            <v>1755</v>
          </cell>
          <cell r="O32">
            <v>2277</v>
          </cell>
          <cell r="P32">
            <v>8100</v>
          </cell>
          <cell r="Q32">
            <v>15300</v>
          </cell>
          <cell r="R32">
            <v>16560</v>
          </cell>
          <cell r="S32">
            <v>3402</v>
          </cell>
          <cell r="T32">
            <v>2250</v>
          </cell>
          <cell r="U32">
            <v>2812.5</v>
          </cell>
          <cell r="V32">
            <v>1485</v>
          </cell>
          <cell r="W32">
            <v>7020</v>
          </cell>
        </row>
        <row r="33">
          <cell r="E33">
            <v>5</v>
          </cell>
          <cell r="F33">
            <v>10</v>
          </cell>
          <cell r="G33">
            <v>5</v>
          </cell>
          <cell r="H33">
            <v>3</v>
          </cell>
          <cell r="I33">
            <v>2</v>
          </cell>
          <cell r="J33">
            <v>5</v>
          </cell>
          <cell r="K33">
            <v>4</v>
          </cell>
          <cell r="L33">
            <v>6</v>
          </cell>
          <cell r="M33">
            <v>5</v>
          </cell>
          <cell r="N33">
            <v>4</v>
          </cell>
          <cell r="O33">
            <v>3</v>
          </cell>
          <cell r="P33">
            <v>3</v>
          </cell>
          <cell r="Q33">
            <v>1</v>
          </cell>
          <cell r="R33">
            <v>2</v>
          </cell>
          <cell r="S33">
            <v>4</v>
          </cell>
          <cell r="T33">
            <v>5</v>
          </cell>
          <cell r="U33">
            <v>3</v>
          </cell>
          <cell r="V33">
            <v>2</v>
          </cell>
          <cell r="W33">
            <v>4</v>
          </cell>
        </row>
        <row r="34">
          <cell r="E34">
            <v>3500</v>
          </cell>
          <cell r="F34">
            <v>7000</v>
          </cell>
          <cell r="G34">
            <v>3500</v>
          </cell>
          <cell r="H34">
            <v>2250</v>
          </cell>
          <cell r="I34">
            <v>1500</v>
          </cell>
          <cell r="J34">
            <v>3750</v>
          </cell>
          <cell r="K34">
            <v>3000</v>
          </cell>
          <cell r="L34">
            <v>4500</v>
          </cell>
          <cell r="M34">
            <v>3500</v>
          </cell>
          <cell r="N34">
            <v>3000</v>
          </cell>
          <cell r="O34">
            <v>2250</v>
          </cell>
          <cell r="P34">
            <v>6000</v>
          </cell>
          <cell r="Q34">
            <v>750</v>
          </cell>
          <cell r="R34">
            <v>1500</v>
          </cell>
          <cell r="S34">
            <v>2800</v>
          </cell>
          <cell r="T34">
            <v>3500</v>
          </cell>
          <cell r="U34">
            <v>1800</v>
          </cell>
          <cell r="V34">
            <v>1500</v>
          </cell>
          <cell r="W34">
            <v>3000</v>
          </cell>
        </row>
        <row r="36">
          <cell r="P36">
            <v>250</v>
          </cell>
        </row>
        <row r="37">
          <cell r="E37">
            <v>0.05</v>
          </cell>
          <cell r="F37">
            <v>0.32</v>
          </cell>
          <cell r="G37">
            <v>0.05</v>
          </cell>
          <cell r="H37">
            <v>0.04</v>
          </cell>
          <cell r="I37">
            <v>0.04</v>
          </cell>
          <cell r="J37">
            <v>0.1</v>
          </cell>
          <cell r="K37">
            <v>0.08</v>
          </cell>
          <cell r="L37">
            <v>0.1</v>
          </cell>
          <cell r="M37">
            <v>0.06</v>
          </cell>
          <cell r="N37">
            <v>0.2</v>
          </cell>
          <cell r="O37">
            <v>0.04</v>
          </cell>
          <cell r="P37">
            <v>0.5</v>
          </cell>
          <cell r="Q37">
            <v>0.04</v>
          </cell>
          <cell r="R37">
            <v>0.05</v>
          </cell>
          <cell r="S37">
            <v>0.04</v>
          </cell>
          <cell r="T37">
            <v>0.05</v>
          </cell>
          <cell r="U37">
            <v>0.2</v>
          </cell>
          <cell r="V37">
            <v>0.04</v>
          </cell>
          <cell r="W37">
            <v>0.08</v>
          </cell>
        </row>
        <row r="38">
          <cell r="E38">
            <v>228</v>
          </cell>
          <cell r="F38">
            <v>1459.2</v>
          </cell>
          <cell r="G38">
            <v>228</v>
          </cell>
          <cell r="H38">
            <v>182.4</v>
          </cell>
          <cell r="I38">
            <v>182.4</v>
          </cell>
          <cell r="J38">
            <v>456</v>
          </cell>
          <cell r="K38">
            <v>364.8</v>
          </cell>
          <cell r="L38">
            <v>450</v>
          </cell>
          <cell r="M38">
            <v>273.59999999999997</v>
          </cell>
          <cell r="N38">
            <v>900</v>
          </cell>
          <cell r="O38">
            <v>180</v>
          </cell>
          <cell r="P38">
            <v>2400</v>
          </cell>
          <cell r="Q38">
            <v>180</v>
          </cell>
          <cell r="R38">
            <v>225</v>
          </cell>
          <cell r="S38">
            <v>182.4</v>
          </cell>
          <cell r="T38">
            <v>228</v>
          </cell>
          <cell r="U38">
            <v>900</v>
          </cell>
          <cell r="V38">
            <v>180</v>
          </cell>
          <cell r="W38">
            <v>364.8</v>
          </cell>
        </row>
        <row r="39">
          <cell r="E39">
            <v>0.06</v>
          </cell>
          <cell r="F39">
            <v>0.15</v>
          </cell>
          <cell r="G39">
            <v>0.06</v>
          </cell>
          <cell r="H39">
            <v>0.03</v>
          </cell>
          <cell r="I39">
            <v>0.02</v>
          </cell>
          <cell r="J39">
            <v>0.05</v>
          </cell>
          <cell r="K39">
            <v>0.02</v>
          </cell>
          <cell r="L39">
            <v>0.03</v>
          </cell>
          <cell r="M39">
            <v>0.05</v>
          </cell>
          <cell r="N39">
            <v>0.05</v>
          </cell>
          <cell r="O39">
            <v>0.02</v>
          </cell>
          <cell r="P39">
            <v>0.2</v>
          </cell>
          <cell r="Q39">
            <v>0.02</v>
          </cell>
          <cell r="R39">
            <v>0.02</v>
          </cell>
          <cell r="S39">
            <v>0.05</v>
          </cell>
          <cell r="T39">
            <v>0.06</v>
          </cell>
          <cell r="U39">
            <v>0.02</v>
          </cell>
          <cell r="V39">
            <v>0.02</v>
          </cell>
          <cell r="W39">
            <v>0.02</v>
          </cell>
        </row>
        <row r="40">
          <cell r="E40">
            <v>288</v>
          </cell>
          <cell r="F40">
            <v>720</v>
          </cell>
          <cell r="G40">
            <v>288</v>
          </cell>
          <cell r="H40">
            <v>144</v>
          </cell>
          <cell r="I40">
            <v>96</v>
          </cell>
          <cell r="J40">
            <v>240</v>
          </cell>
          <cell r="K40">
            <v>96</v>
          </cell>
          <cell r="L40">
            <v>144</v>
          </cell>
          <cell r="M40">
            <v>240</v>
          </cell>
          <cell r="N40">
            <v>240</v>
          </cell>
          <cell r="O40">
            <v>96</v>
          </cell>
          <cell r="P40">
            <v>960</v>
          </cell>
          <cell r="Q40">
            <v>96</v>
          </cell>
          <cell r="R40">
            <v>96</v>
          </cell>
          <cell r="S40">
            <v>240</v>
          </cell>
          <cell r="T40">
            <v>288</v>
          </cell>
          <cell r="U40">
            <v>96</v>
          </cell>
          <cell r="V40">
            <v>96</v>
          </cell>
          <cell r="W40">
            <v>96</v>
          </cell>
        </row>
        <row r="41">
          <cell r="E41">
            <v>0.03</v>
          </cell>
          <cell r="F41">
            <v>0.1</v>
          </cell>
          <cell r="G41">
            <v>0.05</v>
          </cell>
          <cell r="H41">
            <v>0.03</v>
          </cell>
          <cell r="I41">
            <v>0.02</v>
          </cell>
          <cell r="J41">
            <v>0.03</v>
          </cell>
          <cell r="K41">
            <v>0.02</v>
          </cell>
          <cell r="L41">
            <v>0.02</v>
          </cell>
          <cell r="M41">
            <v>0.05</v>
          </cell>
          <cell r="N41">
            <v>0.02</v>
          </cell>
          <cell r="O41">
            <v>0.02</v>
          </cell>
          <cell r="P41">
            <v>0.1</v>
          </cell>
          <cell r="Q41">
            <v>0.02</v>
          </cell>
          <cell r="R41">
            <v>0.02</v>
          </cell>
          <cell r="S41">
            <v>0.02</v>
          </cell>
          <cell r="T41">
            <v>0.05</v>
          </cell>
          <cell r="U41">
            <v>0.02</v>
          </cell>
          <cell r="V41">
            <v>0.02</v>
          </cell>
          <cell r="W41">
            <v>0.02</v>
          </cell>
        </row>
        <row r="42">
          <cell r="E42">
            <v>150</v>
          </cell>
          <cell r="F42">
            <v>430</v>
          </cell>
          <cell r="G42">
            <v>215</v>
          </cell>
          <cell r="H42">
            <v>129</v>
          </cell>
          <cell r="I42">
            <v>86</v>
          </cell>
          <cell r="J42">
            <v>129</v>
          </cell>
          <cell r="K42">
            <v>90</v>
          </cell>
          <cell r="L42">
            <v>70</v>
          </cell>
          <cell r="M42">
            <v>215</v>
          </cell>
          <cell r="N42">
            <v>76</v>
          </cell>
          <cell r="O42">
            <v>70</v>
          </cell>
          <cell r="P42">
            <v>400</v>
          </cell>
          <cell r="Q42">
            <v>70</v>
          </cell>
          <cell r="R42">
            <v>70</v>
          </cell>
          <cell r="S42">
            <v>86</v>
          </cell>
          <cell r="T42">
            <v>215</v>
          </cell>
          <cell r="U42">
            <v>70</v>
          </cell>
          <cell r="V42">
            <v>70</v>
          </cell>
          <cell r="W42">
            <v>90</v>
          </cell>
        </row>
        <row r="43">
          <cell r="E43">
            <v>0.05</v>
          </cell>
          <cell r="F43">
            <v>0.16</v>
          </cell>
          <cell r="G43">
            <v>0.05</v>
          </cell>
          <cell r="H43">
            <v>0.06</v>
          </cell>
          <cell r="I43">
            <v>0.04</v>
          </cell>
          <cell r="J43">
            <v>0.04</v>
          </cell>
          <cell r="K43">
            <v>0.04</v>
          </cell>
          <cell r="L43">
            <v>0.05</v>
          </cell>
          <cell r="M43">
            <v>0.04</v>
          </cell>
          <cell r="N43">
            <v>0.05</v>
          </cell>
          <cell r="O43">
            <v>0.04</v>
          </cell>
          <cell r="P43">
            <v>0.06</v>
          </cell>
          <cell r="Q43">
            <v>0.04</v>
          </cell>
          <cell r="R43">
            <v>0.05</v>
          </cell>
          <cell r="S43">
            <v>0.04</v>
          </cell>
          <cell r="T43">
            <v>0.1</v>
          </cell>
          <cell r="U43">
            <v>0.04</v>
          </cell>
          <cell r="V43">
            <v>0.04</v>
          </cell>
          <cell r="W43">
            <v>0.04</v>
          </cell>
        </row>
        <row r="44">
          <cell r="E44">
            <v>26.25</v>
          </cell>
          <cell r="F44">
            <v>84</v>
          </cell>
          <cell r="G44">
            <v>26.25</v>
          </cell>
          <cell r="H44">
            <v>31.5</v>
          </cell>
          <cell r="I44">
            <v>21</v>
          </cell>
          <cell r="J44">
            <v>21</v>
          </cell>
          <cell r="K44">
            <v>20</v>
          </cell>
          <cell r="L44">
            <v>100</v>
          </cell>
          <cell r="M44">
            <v>21</v>
          </cell>
          <cell r="N44">
            <v>100</v>
          </cell>
          <cell r="O44">
            <v>95</v>
          </cell>
          <cell r="P44">
            <v>150</v>
          </cell>
          <cell r="Q44">
            <v>95</v>
          </cell>
          <cell r="R44">
            <v>100</v>
          </cell>
          <cell r="S44">
            <v>21</v>
          </cell>
          <cell r="T44">
            <v>52.5</v>
          </cell>
          <cell r="U44">
            <v>95</v>
          </cell>
          <cell r="V44">
            <v>95</v>
          </cell>
          <cell r="W44">
            <v>20</v>
          </cell>
        </row>
        <row r="45">
          <cell r="H45">
            <v>1000000</v>
          </cell>
          <cell r="J45">
            <v>1500000</v>
          </cell>
          <cell r="K45">
            <v>1200000</v>
          </cell>
          <cell r="L45">
            <v>600000</v>
          </cell>
          <cell r="N45">
            <v>1200000</v>
          </cell>
          <cell r="O45">
            <v>750000</v>
          </cell>
          <cell r="P45">
            <v>7000000</v>
          </cell>
          <cell r="U45">
            <v>750000</v>
          </cell>
          <cell r="V45">
            <v>750000</v>
          </cell>
          <cell r="W45">
            <v>1200000</v>
          </cell>
        </row>
        <row r="46">
          <cell r="H46">
            <v>50000</v>
          </cell>
          <cell r="J46">
            <v>6000</v>
          </cell>
          <cell r="K46">
            <v>2000</v>
          </cell>
          <cell r="L46">
            <v>1200</v>
          </cell>
          <cell r="N46">
            <v>1000</v>
          </cell>
          <cell r="O46">
            <v>600</v>
          </cell>
          <cell r="P46">
            <v>2000</v>
          </cell>
          <cell r="Q46">
            <v>600</v>
          </cell>
          <cell r="R46">
            <v>600</v>
          </cell>
          <cell r="U46">
            <v>600</v>
          </cell>
          <cell r="V46">
            <v>600</v>
          </cell>
          <cell r="W46">
            <v>2000</v>
          </cell>
        </row>
        <row r="47">
          <cell r="H47">
            <v>20</v>
          </cell>
          <cell r="J47">
            <v>250</v>
          </cell>
          <cell r="K47">
            <v>600</v>
          </cell>
          <cell r="L47">
            <v>500</v>
          </cell>
          <cell r="N47">
            <v>1200</v>
          </cell>
          <cell r="O47">
            <v>1250</v>
          </cell>
          <cell r="P47">
            <v>3500</v>
          </cell>
          <cell r="Q47">
            <v>0</v>
          </cell>
          <cell r="R47">
            <v>0</v>
          </cell>
          <cell r="U47">
            <v>1250</v>
          </cell>
          <cell r="V47">
            <v>1250</v>
          </cell>
          <cell r="W47">
            <v>600</v>
          </cell>
        </row>
        <row r="48">
          <cell r="E48">
            <v>50</v>
          </cell>
          <cell r="F48">
            <v>70</v>
          </cell>
          <cell r="G48">
            <v>20</v>
          </cell>
          <cell r="H48">
            <v>75</v>
          </cell>
          <cell r="I48">
            <v>40</v>
          </cell>
          <cell r="J48">
            <v>50</v>
          </cell>
          <cell r="K48">
            <v>40</v>
          </cell>
          <cell r="L48">
            <v>40</v>
          </cell>
          <cell r="M48">
            <v>50</v>
          </cell>
          <cell r="N48">
            <v>40</v>
          </cell>
          <cell r="O48">
            <v>70</v>
          </cell>
          <cell r="P48">
            <v>90</v>
          </cell>
          <cell r="Q48">
            <v>70</v>
          </cell>
          <cell r="R48">
            <v>70</v>
          </cell>
          <cell r="S48">
            <v>40</v>
          </cell>
          <cell r="T48">
            <v>20</v>
          </cell>
          <cell r="U48">
            <v>70</v>
          </cell>
          <cell r="V48">
            <v>70</v>
          </cell>
          <cell r="W48">
            <v>40</v>
          </cell>
        </row>
        <row r="49">
          <cell r="E49">
            <v>2062.5</v>
          </cell>
          <cell r="F49">
            <v>2257.5</v>
          </cell>
          <cell r="G49">
            <v>607.5</v>
          </cell>
          <cell r="H49">
            <v>2625</v>
          </cell>
          <cell r="I49">
            <v>1400</v>
          </cell>
          <cell r="J49">
            <v>1968.75</v>
          </cell>
          <cell r="K49">
            <v>1820</v>
          </cell>
          <cell r="L49">
            <v>1050</v>
          </cell>
          <cell r="M49">
            <v>2062.5</v>
          </cell>
          <cell r="N49">
            <v>1325</v>
          </cell>
          <cell r="O49">
            <v>2756.25</v>
          </cell>
          <cell r="P49">
            <v>3712.5</v>
          </cell>
          <cell r="Q49">
            <v>2471.4375</v>
          </cell>
          <cell r="R49">
            <v>2471.4375</v>
          </cell>
          <cell r="S49">
            <v>1202.5999999999999</v>
          </cell>
          <cell r="T49">
            <v>601.29999999999995</v>
          </cell>
          <cell r="U49">
            <v>1706.25</v>
          </cell>
          <cell r="V49">
            <v>2471.4375</v>
          </cell>
          <cell r="W49">
            <v>1820</v>
          </cell>
        </row>
        <row r="50">
          <cell r="E50">
            <v>12374.75</v>
          </cell>
          <cell r="F50">
            <v>19150.7</v>
          </cell>
          <cell r="G50">
            <v>9679.75</v>
          </cell>
          <cell r="H50">
            <v>8981.9</v>
          </cell>
          <cell r="I50">
            <v>9765.4</v>
          </cell>
          <cell r="J50">
            <v>15454.75</v>
          </cell>
          <cell r="K50">
            <v>12470.8</v>
          </cell>
          <cell r="L50">
            <v>15994</v>
          </cell>
          <cell r="M50">
            <v>12420.85</v>
          </cell>
          <cell r="N50">
            <v>8596</v>
          </cell>
          <cell r="O50">
            <v>8974.25</v>
          </cell>
          <cell r="P50">
            <v>25222.5</v>
          </cell>
          <cell r="Q50">
            <v>18962.4375</v>
          </cell>
          <cell r="R50">
            <v>21022.4375</v>
          </cell>
          <cell r="S50">
            <v>7934</v>
          </cell>
          <cell r="T50">
            <v>7134.8</v>
          </cell>
          <cell r="U50">
            <v>8729.75</v>
          </cell>
          <cell r="V50">
            <v>7147.4375</v>
          </cell>
          <cell r="W50">
            <v>13010.8</v>
          </cell>
        </row>
        <row r="51">
          <cell r="E51">
            <v>35301.75</v>
          </cell>
          <cell r="F51">
            <v>50311.7</v>
          </cell>
          <cell r="G51">
            <v>38218.25</v>
          </cell>
          <cell r="H51">
            <v>22016.9</v>
          </cell>
          <cell r="I51">
            <v>39809.4</v>
          </cell>
          <cell r="J51">
            <v>37088.25</v>
          </cell>
          <cell r="K51">
            <v>32212.799999999999</v>
          </cell>
          <cell r="L51">
            <v>31891</v>
          </cell>
          <cell r="M51">
            <v>30172</v>
          </cell>
          <cell r="N51">
            <v>17968.5</v>
          </cell>
          <cell r="O51">
            <v>17999.349999999999</v>
          </cell>
          <cell r="P51">
            <v>69163.5</v>
          </cell>
          <cell r="Q51">
            <v>60097.0625</v>
          </cell>
          <cell r="R51">
            <v>59945.0625</v>
          </cell>
          <cell r="S51">
            <v>20230.900000000001</v>
          </cell>
          <cell r="T51">
            <v>25841.3</v>
          </cell>
          <cell r="U51">
            <v>18948.5</v>
          </cell>
          <cell r="V51">
            <v>13996.0625</v>
          </cell>
          <cell r="W51">
            <v>34018.800000000003</v>
          </cell>
        </row>
        <row r="52">
          <cell r="E52">
            <v>35000</v>
          </cell>
          <cell r="F52">
            <v>45000</v>
          </cell>
          <cell r="G52">
            <v>38000</v>
          </cell>
          <cell r="H52">
            <v>22000</v>
          </cell>
          <cell r="I52">
            <v>40000</v>
          </cell>
          <cell r="J52">
            <v>37000</v>
          </cell>
          <cell r="K52">
            <v>32000</v>
          </cell>
          <cell r="L52">
            <v>32000</v>
          </cell>
          <cell r="M52">
            <v>30000</v>
          </cell>
          <cell r="N52">
            <v>18000</v>
          </cell>
          <cell r="O52">
            <v>18000</v>
          </cell>
          <cell r="P52">
            <v>69000</v>
          </cell>
          <cell r="Q52">
            <v>60000</v>
          </cell>
          <cell r="R52">
            <v>60000</v>
          </cell>
          <cell r="S52">
            <v>20000</v>
          </cell>
          <cell r="T52">
            <v>26000</v>
          </cell>
          <cell r="U52">
            <v>19000</v>
          </cell>
          <cell r="V52">
            <v>15000</v>
          </cell>
          <cell r="W52">
            <v>34000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4A"/>
      <sheetName val="Hoja1"/>
    </sheetNames>
    <sheetDataSet>
      <sheetData sheetId="0" refreshError="1">
        <row r="2">
          <cell r="E2">
            <v>1</v>
          </cell>
          <cell r="F2">
            <v>2</v>
          </cell>
          <cell r="G2">
            <v>3</v>
          </cell>
          <cell r="H2">
            <v>4</v>
          </cell>
          <cell r="I2">
            <v>5</v>
          </cell>
          <cell r="J2">
            <v>6</v>
          </cell>
          <cell r="K2">
            <v>7</v>
          </cell>
          <cell r="L2">
            <v>8</v>
          </cell>
          <cell r="M2">
            <v>9</v>
          </cell>
          <cell r="N2">
            <v>10</v>
          </cell>
          <cell r="O2">
            <v>11</v>
          </cell>
          <cell r="P2">
            <v>12</v>
          </cell>
          <cell r="Q2">
            <v>13</v>
          </cell>
          <cell r="R2">
            <v>14</v>
          </cell>
        </row>
        <row r="3">
          <cell r="E3" t="str">
            <v>BULLD D6D</v>
          </cell>
          <cell r="F3" t="str">
            <v>BULLD. D8H</v>
          </cell>
          <cell r="G3" t="str">
            <v>EXC. E200</v>
          </cell>
          <cell r="H3" t="str">
            <v>EXCAVADORA</v>
          </cell>
          <cell r="I3" t="str">
            <v>FINISHER</v>
          </cell>
          <cell r="J3" t="str">
            <v>MOTONI/DORA</v>
          </cell>
          <cell r="K3" t="str">
            <v>COMPACTADOR</v>
          </cell>
          <cell r="L3" t="str">
            <v>VOLQUETAS</v>
          </cell>
          <cell r="M3" t="str">
            <v>CARGADOR 926</v>
          </cell>
          <cell r="N3" t="str">
            <v>CARROTANQUE</v>
          </cell>
          <cell r="O3" t="str">
            <v>CARROTANQUE</v>
          </cell>
          <cell r="P3" t="str">
            <v>VOLQUETA</v>
          </cell>
          <cell r="Q3" t="str">
            <v xml:space="preserve">TRITURADORA </v>
          </cell>
          <cell r="R3" t="str">
            <v>PLANTA MEZC.</v>
          </cell>
          <cell r="S3" t="str">
            <v>BULLD. D4H</v>
          </cell>
          <cell r="T3" t="str">
            <v>EXCAVADORA</v>
          </cell>
          <cell r="U3" t="str">
            <v>COMPRESOR</v>
          </cell>
          <cell r="V3" t="str">
            <v>TRACTOR</v>
          </cell>
          <cell r="W3" t="str">
            <v>COMPACTADOR</v>
          </cell>
        </row>
        <row r="4">
          <cell r="E4" t="str">
            <v>Caterpillar</v>
          </cell>
          <cell r="F4" t="str">
            <v>Caterpillar</v>
          </cell>
          <cell r="G4" t="str">
            <v>Caterpillar</v>
          </cell>
          <cell r="H4" t="str">
            <v>CAT 426</v>
          </cell>
          <cell r="I4" t="str">
            <v>Barber Green</v>
          </cell>
          <cell r="J4" t="str">
            <v>Huber</v>
          </cell>
          <cell r="K4" t="str">
            <v>Ingersoll</v>
          </cell>
          <cell r="M4" t="str">
            <v>Caterpillar</v>
          </cell>
          <cell r="N4" t="str">
            <v>2000 GLNS</v>
          </cell>
          <cell r="O4" t="str">
            <v>IMPRIMADOR</v>
          </cell>
          <cell r="P4" t="str">
            <v>Dumper</v>
          </cell>
          <cell r="Q4" t="str">
            <v>Y CLASIFIC.</v>
          </cell>
          <cell r="R4" t="str">
            <v>ASFALTICA</v>
          </cell>
          <cell r="S4" t="str">
            <v>Caterpillar</v>
          </cell>
          <cell r="T4" t="str">
            <v>Hitachi UH81</v>
          </cell>
          <cell r="U4" t="str">
            <v>Ingersoll</v>
          </cell>
          <cell r="V4" t="str">
            <v>Ford</v>
          </cell>
          <cell r="W4" t="str">
            <v>DYNAPAC</v>
          </cell>
        </row>
        <row r="5">
          <cell r="E5" t="str">
            <v>140 HP</v>
          </cell>
          <cell r="F5" t="str">
            <v>270 HP</v>
          </cell>
          <cell r="G5" t="str">
            <v>150 HP</v>
          </cell>
          <cell r="H5" t="str">
            <v>62 HP</v>
          </cell>
          <cell r="I5" t="str">
            <v>70 HP</v>
          </cell>
          <cell r="J5" t="str">
            <v>130 HP</v>
          </cell>
          <cell r="K5" t="str">
            <v>94 HP</v>
          </cell>
          <cell r="L5" t="str">
            <v>170 HP</v>
          </cell>
          <cell r="M5" t="str">
            <v>105 HP</v>
          </cell>
          <cell r="N5" t="str">
            <v>170 HP</v>
          </cell>
          <cell r="S5" t="str">
            <v>94 HP</v>
          </cell>
          <cell r="T5" t="str">
            <v>140 HP</v>
          </cell>
          <cell r="U5" t="str">
            <v>54 HP</v>
          </cell>
          <cell r="V5" t="str">
            <v>60 HP</v>
          </cell>
          <cell r="W5" t="str">
            <v>77 HP</v>
          </cell>
        </row>
        <row r="6">
          <cell r="E6">
            <v>5</v>
          </cell>
          <cell r="F6">
            <v>5</v>
          </cell>
          <cell r="G6">
            <v>5</v>
          </cell>
          <cell r="H6">
            <v>5</v>
          </cell>
          <cell r="I6">
            <v>5</v>
          </cell>
          <cell r="J6">
            <v>5</v>
          </cell>
          <cell r="K6">
            <v>5</v>
          </cell>
          <cell r="L6">
            <v>5</v>
          </cell>
          <cell r="M6">
            <v>10</v>
          </cell>
          <cell r="N6">
            <v>5</v>
          </cell>
          <cell r="O6">
            <v>5</v>
          </cell>
          <cell r="P6">
            <v>5</v>
          </cell>
          <cell r="Q6">
            <v>5</v>
          </cell>
          <cell r="R6">
            <v>5</v>
          </cell>
          <cell r="S6">
            <v>5</v>
          </cell>
          <cell r="T6">
            <v>5</v>
          </cell>
          <cell r="U6">
            <v>4</v>
          </cell>
          <cell r="V6">
            <v>5</v>
          </cell>
          <cell r="W6">
            <v>5</v>
          </cell>
        </row>
        <row r="7">
          <cell r="E7">
            <v>10000</v>
          </cell>
          <cell r="F7">
            <v>10000</v>
          </cell>
          <cell r="G7">
            <v>10000</v>
          </cell>
          <cell r="H7">
            <v>10000</v>
          </cell>
          <cell r="I7">
            <v>10000</v>
          </cell>
          <cell r="J7">
            <v>10000</v>
          </cell>
          <cell r="K7">
            <v>10000</v>
          </cell>
          <cell r="L7">
            <v>10000</v>
          </cell>
          <cell r="M7">
            <v>8000</v>
          </cell>
          <cell r="N7">
            <v>10000</v>
          </cell>
          <cell r="O7">
            <v>10000</v>
          </cell>
          <cell r="P7">
            <v>10000</v>
          </cell>
          <cell r="Q7">
            <v>10000</v>
          </cell>
          <cell r="R7">
            <v>10000</v>
          </cell>
          <cell r="S7">
            <v>10000</v>
          </cell>
          <cell r="T7">
            <v>10000</v>
          </cell>
          <cell r="U7">
            <v>8000</v>
          </cell>
          <cell r="V7">
            <v>10000</v>
          </cell>
          <cell r="W7">
            <v>10000</v>
          </cell>
        </row>
        <row r="8">
          <cell r="E8">
            <v>85000000</v>
          </cell>
          <cell r="F8">
            <v>80000000</v>
          </cell>
          <cell r="G8">
            <v>115000000</v>
          </cell>
          <cell r="H8">
            <v>43000000</v>
          </cell>
          <cell r="I8">
            <v>120000000</v>
          </cell>
          <cell r="J8">
            <v>80000000</v>
          </cell>
          <cell r="K8">
            <v>60000000</v>
          </cell>
          <cell r="L8">
            <v>60000000</v>
          </cell>
          <cell r="M8">
            <v>57000000</v>
          </cell>
          <cell r="N8">
            <v>30000000</v>
          </cell>
          <cell r="O8">
            <v>23000000</v>
          </cell>
          <cell r="P8">
            <v>180000000</v>
          </cell>
          <cell r="Q8">
            <v>170000000</v>
          </cell>
          <cell r="R8">
            <v>160000000</v>
          </cell>
          <cell r="S8">
            <v>42000000</v>
          </cell>
          <cell r="T8">
            <v>50000000</v>
          </cell>
          <cell r="U8">
            <v>25000000</v>
          </cell>
          <cell r="V8">
            <v>15000000</v>
          </cell>
          <cell r="W8">
            <v>65000000</v>
          </cell>
        </row>
        <row r="9">
          <cell r="E9">
            <v>10</v>
          </cell>
          <cell r="F9">
            <v>10</v>
          </cell>
          <cell r="G9">
            <v>10</v>
          </cell>
          <cell r="H9">
            <v>10</v>
          </cell>
          <cell r="I9">
            <v>10</v>
          </cell>
          <cell r="J9">
            <v>10</v>
          </cell>
          <cell r="K9">
            <v>10</v>
          </cell>
          <cell r="L9">
            <v>10</v>
          </cell>
          <cell r="M9">
            <v>10</v>
          </cell>
          <cell r="N9">
            <v>10</v>
          </cell>
          <cell r="O9">
            <v>10</v>
          </cell>
          <cell r="P9">
            <v>10</v>
          </cell>
          <cell r="Q9">
            <v>10</v>
          </cell>
          <cell r="R9">
            <v>10</v>
          </cell>
          <cell r="S9">
            <v>10</v>
          </cell>
          <cell r="T9">
            <v>10</v>
          </cell>
          <cell r="U9">
            <v>10</v>
          </cell>
          <cell r="V9">
            <v>10</v>
          </cell>
          <cell r="W9">
            <v>10</v>
          </cell>
        </row>
        <row r="10">
          <cell r="E10">
            <v>8500000</v>
          </cell>
          <cell r="F10">
            <v>8000000</v>
          </cell>
          <cell r="G10">
            <v>8000000</v>
          </cell>
          <cell r="H10">
            <v>3000000</v>
          </cell>
          <cell r="I10">
            <v>12000000</v>
          </cell>
          <cell r="J10">
            <v>8000000</v>
          </cell>
          <cell r="K10">
            <v>6000000</v>
          </cell>
          <cell r="L10">
            <v>6000000</v>
          </cell>
          <cell r="M10">
            <v>2700000</v>
          </cell>
          <cell r="N10">
            <v>3000000</v>
          </cell>
          <cell r="O10">
            <v>2300000</v>
          </cell>
          <cell r="P10">
            <v>18000000</v>
          </cell>
          <cell r="Q10">
            <v>17000000</v>
          </cell>
          <cell r="R10">
            <v>16000000</v>
          </cell>
          <cell r="S10">
            <v>4200000</v>
          </cell>
          <cell r="T10">
            <v>5000000</v>
          </cell>
          <cell r="U10">
            <v>2500000</v>
          </cell>
          <cell r="V10">
            <v>1500000</v>
          </cell>
          <cell r="W10">
            <v>6500000</v>
          </cell>
        </row>
        <row r="11">
          <cell r="E11">
            <v>27200</v>
          </cell>
          <cell r="F11">
            <v>25600</v>
          </cell>
          <cell r="G11">
            <v>36100</v>
          </cell>
          <cell r="H11">
            <v>13500</v>
          </cell>
          <cell r="I11">
            <v>38400</v>
          </cell>
          <cell r="J11">
            <v>25600</v>
          </cell>
          <cell r="K11">
            <v>19200</v>
          </cell>
          <cell r="L11">
            <v>19200</v>
          </cell>
          <cell r="M11">
            <v>16282.5</v>
          </cell>
          <cell r="N11">
            <v>9600</v>
          </cell>
          <cell r="O11">
            <v>7360</v>
          </cell>
          <cell r="P11">
            <v>57600</v>
          </cell>
          <cell r="Q11">
            <v>54400</v>
          </cell>
          <cell r="R11">
            <v>51200</v>
          </cell>
          <cell r="S11">
            <v>13440</v>
          </cell>
          <cell r="T11">
            <v>16000</v>
          </cell>
          <cell r="U11">
            <v>8281.25</v>
          </cell>
          <cell r="V11">
            <v>4800</v>
          </cell>
          <cell r="W11">
            <v>20800</v>
          </cell>
        </row>
        <row r="13">
          <cell r="E13">
            <v>76500000</v>
          </cell>
          <cell r="F13">
            <v>72000000</v>
          </cell>
          <cell r="G13">
            <v>107000000</v>
          </cell>
          <cell r="H13">
            <v>40000000</v>
          </cell>
          <cell r="I13">
            <v>108000000</v>
          </cell>
          <cell r="J13">
            <v>72000000</v>
          </cell>
          <cell r="K13">
            <v>54000000</v>
          </cell>
          <cell r="L13">
            <v>54000000</v>
          </cell>
          <cell r="M13">
            <v>54300000</v>
          </cell>
          <cell r="N13">
            <v>27000000</v>
          </cell>
          <cell r="O13">
            <v>20700000</v>
          </cell>
          <cell r="P13">
            <v>162000000</v>
          </cell>
          <cell r="Q13">
            <v>153000000</v>
          </cell>
          <cell r="R13">
            <v>144000000</v>
          </cell>
          <cell r="S13">
            <v>37800000</v>
          </cell>
          <cell r="T13">
            <v>45000000</v>
          </cell>
          <cell r="U13">
            <v>22500000</v>
          </cell>
          <cell r="V13">
            <v>13500000</v>
          </cell>
          <cell r="W13">
            <v>58500000</v>
          </cell>
        </row>
        <row r="14">
          <cell r="E14">
            <v>7650</v>
          </cell>
          <cell r="F14">
            <v>7200</v>
          </cell>
          <cell r="G14">
            <v>10700</v>
          </cell>
          <cell r="H14">
            <v>4000</v>
          </cell>
          <cell r="I14">
            <v>10800</v>
          </cell>
          <cell r="J14">
            <v>7200</v>
          </cell>
          <cell r="K14">
            <v>5400</v>
          </cell>
          <cell r="L14">
            <v>5400</v>
          </cell>
          <cell r="M14">
            <v>6787.5</v>
          </cell>
          <cell r="N14">
            <v>2700</v>
          </cell>
          <cell r="O14">
            <v>2070</v>
          </cell>
          <cell r="P14">
            <v>16200</v>
          </cell>
          <cell r="Q14">
            <v>15300</v>
          </cell>
          <cell r="R14">
            <v>14400</v>
          </cell>
          <cell r="S14">
            <v>3780</v>
          </cell>
          <cell r="T14">
            <v>4500</v>
          </cell>
          <cell r="U14">
            <v>2812.5</v>
          </cell>
          <cell r="V14">
            <v>1350</v>
          </cell>
          <cell r="W14">
            <v>5850</v>
          </cell>
        </row>
        <row r="15">
          <cell r="E15">
            <v>41</v>
          </cell>
          <cell r="F15">
            <v>81</v>
          </cell>
          <cell r="G15">
            <v>41</v>
          </cell>
          <cell r="H15">
            <v>41</v>
          </cell>
          <cell r="I15">
            <v>41</v>
          </cell>
          <cell r="J15">
            <v>41</v>
          </cell>
          <cell r="K15">
            <v>51</v>
          </cell>
          <cell r="L15">
            <v>41</v>
          </cell>
          <cell r="M15">
            <v>42</v>
          </cell>
          <cell r="N15">
            <v>35</v>
          </cell>
          <cell r="O15">
            <v>41</v>
          </cell>
          <cell r="P15">
            <v>41</v>
          </cell>
          <cell r="Q15">
            <v>41</v>
          </cell>
          <cell r="R15">
            <v>41</v>
          </cell>
          <cell r="S15">
            <v>41</v>
          </cell>
          <cell r="T15">
            <v>70</v>
          </cell>
          <cell r="U15">
            <v>60</v>
          </cell>
          <cell r="V15">
            <v>41</v>
          </cell>
          <cell r="W15">
            <v>51</v>
          </cell>
        </row>
        <row r="16">
          <cell r="E16">
            <v>11152</v>
          </cell>
          <cell r="F16">
            <v>20736</v>
          </cell>
          <cell r="G16">
            <v>14801</v>
          </cell>
          <cell r="H16">
            <v>5535</v>
          </cell>
          <cell r="I16">
            <v>15744</v>
          </cell>
          <cell r="J16">
            <v>10496</v>
          </cell>
          <cell r="K16">
            <v>9792</v>
          </cell>
          <cell r="L16">
            <v>7872</v>
          </cell>
          <cell r="M16">
            <v>6838.65</v>
          </cell>
          <cell r="N16">
            <v>3360</v>
          </cell>
          <cell r="O16">
            <v>3017.6</v>
          </cell>
          <cell r="P16">
            <v>23616</v>
          </cell>
          <cell r="Q16">
            <v>22304</v>
          </cell>
          <cell r="R16">
            <v>20992</v>
          </cell>
          <cell r="S16">
            <v>5510.4</v>
          </cell>
          <cell r="T16">
            <v>11200</v>
          </cell>
          <cell r="U16">
            <v>4968.75</v>
          </cell>
          <cell r="V16">
            <v>1968</v>
          </cell>
          <cell r="W16">
            <v>10608</v>
          </cell>
        </row>
        <row r="17">
          <cell r="E17">
            <v>18802</v>
          </cell>
          <cell r="F17">
            <v>27936</v>
          </cell>
          <cell r="G17">
            <v>25501</v>
          </cell>
          <cell r="H17">
            <v>9535</v>
          </cell>
          <cell r="I17">
            <v>26544</v>
          </cell>
          <cell r="J17">
            <v>17696</v>
          </cell>
          <cell r="K17">
            <v>15192</v>
          </cell>
          <cell r="L17">
            <v>13272</v>
          </cell>
          <cell r="M17">
            <v>13626.15</v>
          </cell>
          <cell r="N17">
            <v>6060</v>
          </cell>
          <cell r="O17">
            <v>5087.6000000000004</v>
          </cell>
          <cell r="P17">
            <v>39816</v>
          </cell>
          <cell r="Q17">
            <v>37604</v>
          </cell>
          <cell r="R17">
            <v>35392</v>
          </cell>
          <cell r="S17">
            <v>9290.4</v>
          </cell>
          <cell r="T17">
            <v>15700</v>
          </cell>
          <cell r="U17">
            <v>7781.25</v>
          </cell>
          <cell r="V17">
            <v>3318</v>
          </cell>
          <cell r="W17">
            <v>16458</v>
          </cell>
        </row>
        <row r="18">
          <cell r="E18">
            <v>7000</v>
          </cell>
          <cell r="F18">
            <v>5800</v>
          </cell>
          <cell r="G18">
            <v>5300</v>
          </cell>
          <cell r="H18">
            <v>6500</v>
          </cell>
          <cell r="I18">
            <v>6500</v>
          </cell>
          <cell r="J18">
            <v>6500</v>
          </cell>
          <cell r="K18">
            <v>8000</v>
          </cell>
          <cell r="L18">
            <v>7000</v>
          </cell>
          <cell r="M18">
            <v>7000</v>
          </cell>
          <cell r="N18">
            <v>6000</v>
          </cell>
          <cell r="O18">
            <v>6500</v>
          </cell>
          <cell r="P18">
            <v>7000</v>
          </cell>
          <cell r="Q18">
            <v>6000</v>
          </cell>
          <cell r="R18">
            <v>6000</v>
          </cell>
          <cell r="S18">
            <v>5300</v>
          </cell>
          <cell r="T18">
            <v>5300</v>
          </cell>
          <cell r="U18">
            <v>6500</v>
          </cell>
          <cell r="V18">
            <v>6000</v>
          </cell>
          <cell r="W18">
            <v>8000</v>
          </cell>
        </row>
        <row r="19">
          <cell r="E19">
            <v>7000</v>
          </cell>
          <cell r="F19">
            <v>5800</v>
          </cell>
          <cell r="G19">
            <v>5300</v>
          </cell>
          <cell r="H19">
            <v>6500</v>
          </cell>
          <cell r="I19">
            <v>6500</v>
          </cell>
          <cell r="J19">
            <v>6500</v>
          </cell>
          <cell r="K19">
            <v>8000</v>
          </cell>
          <cell r="L19">
            <v>7000</v>
          </cell>
          <cell r="M19">
            <v>7000</v>
          </cell>
          <cell r="N19">
            <v>6000</v>
          </cell>
          <cell r="O19">
            <v>6500</v>
          </cell>
          <cell r="P19">
            <v>7000</v>
          </cell>
          <cell r="Q19">
            <v>6000</v>
          </cell>
          <cell r="R19">
            <v>6000</v>
          </cell>
          <cell r="S19">
            <v>5300</v>
          </cell>
          <cell r="T19">
            <v>5300</v>
          </cell>
          <cell r="U19">
            <v>6500</v>
          </cell>
          <cell r="V19">
            <v>6000</v>
          </cell>
          <cell r="W19">
            <v>8000</v>
          </cell>
        </row>
        <row r="20">
          <cell r="E20">
            <v>3500</v>
          </cell>
          <cell r="F20">
            <v>2900</v>
          </cell>
          <cell r="G20">
            <v>2650</v>
          </cell>
          <cell r="H20">
            <v>3250</v>
          </cell>
          <cell r="I20">
            <v>3250</v>
          </cell>
          <cell r="J20">
            <v>3250</v>
          </cell>
          <cell r="K20">
            <v>4200</v>
          </cell>
          <cell r="L20">
            <v>3500</v>
          </cell>
          <cell r="M20">
            <v>3500</v>
          </cell>
          <cell r="N20">
            <v>3000</v>
          </cell>
          <cell r="O20">
            <v>3250</v>
          </cell>
          <cell r="P20">
            <v>3500</v>
          </cell>
          <cell r="Q20">
            <v>2800</v>
          </cell>
          <cell r="R20">
            <v>2800</v>
          </cell>
          <cell r="S20">
            <v>2650</v>
          </cell>
          <cell r="T20">
            <v>2650</v>
          </cell>
          <cell r="U20">
            <v>3250</v>
          </cell>
          <cell r="V20">
            <v>2800</v>
          </cell>
          <cell r="W20">
            <v>4200</v>
          </cell>
        </row>
        <row r="21">
          <cell r="E21">
            <v>3500</v>
          </cell>
          <cell r="F21">
            <v>2900</v>
          </cell>
          <cell r="G21">
            <v>2650</v>
          </cell>
          <cell r="H21">
            <v>3250</v>
          </cell>
          <cell r="I21">
            <v>3250</v>
          </cell>
          <cell r="J21">
            <v>3250</v>
          </cell>
          <cell r="K21">
            <v>4200</v>
          </cell>
          <cell r="L21">
            <v>3500</v>
          </cell>
          <cell r="M21">
            <v>3500</v>
          </cell>
          <cell r="N21">
            <v>3000</v>
          </cell>
          <cell r="O21">
            <v>3250</v>
          </cell>
          <cell r="P21">
            <v>3500</v>
          </cell>
          <cell r="Q21">
            <v>2800</v>
          </cell>
          <cell r="R21">
            <v>2800</v>
          </cell>
          <cell r="S21">
            <v>2650</v>
          </cell>
          <cell r="T21">
            <v>2650</v>
          </cell>
          <cell r="U21">
            <v>3250</v>
          </cell>
          <cell r="V21">
            <v>2800</v>
          </cell>
          <cell r="W21">
            <v>4200</v>
          </cell>
        </row>
        <row r="22">
          <cell r="E22">
            <v>21000</v>
          </cell>
          <cell r="F22">
            <v>17400</v>
          </cell>
          <cell r="G22">
            <v>15900</v>
          </cell>
          <cell r="H22">
            <v>19500</v>
          </cell>
          <cell r="I22">
            <v>19500</v>
          </cell>
          <cell r="J22">
            <v>19500</v>
          </cell>
          <cell r="K22">
            <v>24400</v>
          </cell>
          <cell r="L22">
            <v>21000</v>
          </cell>
          <cell r="M22">
            <v>21000</v>
          </cell>
          <cell r="N22">
            <v>18000</v>
          </cell>
          <cell r="O22">
            <v>19500</v>
          </cell>
          <cell r="P22">
            <v>21000</v>
          </cell>
          <cell r="Q22">
            <v>17600</v>
          </cell>
          <cell r="R22">
            <v>17600</v>
          </cell>
          <cell r="S22">
            <v>15900</v>
          </cell>
          <cell r="T22">
            <v>15900</v>
          </cell>
          <cell r="U22">
            <v>19500</v>
          </cell>
          <cell r="V22">
            <v>17600</v>
          </cell>
          <cell r="W22">
            <v>24400</v>
          </cell>
        </row>
        <row r="23">
          <cell r="E23">
            <v>2625</v>
          </cell>
          <cell r="F23">
            <v>2175</v>
          </cell>
          <cell r="G23">
            <v>1987.5</v>
          </cell>
          <cell r="H23">
            <v>2437.5</v>
          </cell>
          <cell r="I23">
            <v>2437.5</v>
          </cell>
          <cell r="J23">
            <v>2437.5</v>
          </cell>
          <cell r="K23">
            <v>3050</v>
          </cell>
          <cell r="L23">
            <v>2625</v>
          </cell>
          <cell r="M23">
            <v>2625</v>
          </cell>
          <cell r="N23">
            <v>2250</v>
          </cell>
          <cell r="O23">
            <v>2437.5</v>
          </cell>
          <cell r="P23">
            <v>2625</v>
          </cell>
          <cell r="Q23">
            <v>2200</v>
          </cell>
          <cell r="R23">
            <v>2200</v>
          </cell>
          <cell r="S23">
            <v>1987.5</v>
          </cell>
          <cell r="T23">
            <v>1987.5</v>
          </cell>
          <cell r="U23">
            <v>2437.5</v>
          </cell>
          <cell r="V23">
            <v>2200</v>
          </cell>
          <cell r="W23">
            <v>3050</v>
          </cell>
        </row>
        <row r="24">
          <cell r="E24">
            <v>4000</v>
          </cell>
          <cell r="F24">
            <v>2800</v>
          </cell>
          <cell r="G24">
            <v>2800</v>
          </cell>
          <cell r="H24">
            <v>2500</v>
          </cell>
          <cell r="I24">
            <v>2500</v>
          </cell>
          <cell r="J24">
            <v>4000</v>
          </cell>
          <cell r="K24">
            <v>4000</v>
          </cell>
          <cell r="M24">
            <v>4000</v>
          </cell>
          <cell r="N24">
            <v>2500</v>
          </cell>
          <cell r="O24">
            <v>4000</v>
          </cell>
          <cell r="P24">
            <v>4000</v>
          </cell>
          <cell r="Q24">
            <v>3964</v>
          </cell>
          <cell r="R24">
            <v>3964</v>
          </cell>
          <cell r="S24">
            <v>2717</v>
          </cell>
          <cell r="T24">
            <v>2717</v>
          </cell>
          <cell r="U24">
            <v>4000</v>
          </cell>
          <cell r="V24">
            <v>3964</v>
          </cell>
          <cell r="W24">
            <v>4000</v>
          </cell>
        </row>
        <row r="25">
          <cell r="E25">
            <v>4000</v>
          </cell>
          <cell r="F25">
            <v>2800</v>
          </cell>
          <cell r="G25">
            <v>2800</v>
          </cell>
          <cell r="H25">
            <v>2500</v>
          </cell>
          <cell r="I25">
            <v>2500</v>
          </cell>
          <cell r="J25">
            <v>4000</v>
          </cell>
          <cell r="K25">
            <v>4000</v>
          </cell>
          <cell r="M25">
            <v>4000</v>
          </cell>
          <cell r="N25">
            <v>2500</v>
          </cell>
          <cell r="O25">
            <v>4000</v>
          </cell>
          <cell r="P25">
            <v>4000</v>
          </cell>
          <cell r="Q25">
            <v>3964</v>
          </cell>
          <cell r="R25">
            <v>3964</v>
          </cell>
          <cell r="S25">
            <v>2717</v>
          </cell>
          <cell r="T25">
            <v>2717</v>
          </cell>
          <cell r="U25">
            <v>4000</v>
          </cell>
          <cell r="V25">
            <v>3964</v>
          </cell>
          <cell r="W25">
            <v>4000</v>
          </cell>
        </row>
        <row r="26">
          <cell r="E26">
            <v>2000</v>
          </cell>
          <cell r="F26">
            <v>1400</v>
          </cell>
          <cell r="G26">
            <v>1400</v>
          </cell>
          <cell r="H26">
            <v>1750</v>
          </cell>
          <cell r="I26">
            <v>1750</v>
          </cell>
          <cell r="J26">
            <v>2000</v>
          </cell>
          <cell r="K26">
            <v>2000</v>
          </cell>
          <cell r="M26">
            <v>2000</v>
          </cell>
          <cell r="N26">
            <v>1750</v>
          </cell>
          <cell r="O26">
            <v>2000</v>
          </cell>
          <cell r="P26">
            <v>2000</v>
          </cell>
          <cell r="Q26">
            <v>1358.5</v>
          </cell>
          <cell r="R26">
            <v>1358.5</v>
          </cell>
          <cell r="S26">
            <v>1359</v>
          </cell>
          <cell r="T26">
            <v>1359</v>
          </cell>
          <cell r="U26">
            <v>2000</v>
          </cell>
          <cell r="V26">
            <v>1358.5</v>
          </cell>
          <cell r="W26">
            <v>2000</v>
          </cell>
        </row>
        <row r="27">
          <cell r="E27">
            <v>2000</v>
          </cell>
          <cell r="F27">
            <v>1400</v>
          </cell>
          <cell r="G27">
            <v>1400</v>
          </cell>
          <cell r="H27">
            <v>1750</v>
          </cell>
          <cell r="I27">
            <v>1750</v>
          </cell>
          <cell r="J27">
            <v>2000</v>
          </cell>
          <cell r="K27">
            <v>2000</v>
          </cell>
          <cell r="M27">
            <v>2000</v>
          </cell>
          <cell r="N27">
            <v>1750</v>
          </cell>
          <cell r="O27">
            <v>2000</v>
          </cell>
          <cell r="P27">
            <v>2000</v>
          </cell>
          <cell r="Q27">
            <v>1358.5</v>
          </cell>
          <cell r="R27">
            <v>1358.5</v>
          </cell>
          <cell r="S27">
            <v>1359</v>
          </cell>
          <cell r="T27">
            <v>1359</v>
          </cell>
          <cell r="U27">
            <v>2000</v>
          </cell>
          <cell r="V27">
            <v>1358.5</v>
          </cell>
          <cell r="W27">
            <v>2000</v>
          </cell>
        </row>
        <row r="28">
          <cell r="E28">
            <v>12000</v>
          </cell>
          <cell r="F28">
            <v>8400</v>
          </cell>
          <cell r="G28">
            <v>8400</v>
          </cell>
          <cell r="H28">
            <v>8500</v>
          </cell>
          <cell r="I28">
            <v>8500</v>
          </cell>
          <cell r="J28">
            <v>12000</v>
          </cell>
          <cell r="K28">
            <v>12000</v>
          </cell>
          <cell r="M28">
            <v>12000</v>
          </cell>
          <cell r="N28">
            <v>8500</v>
          </cell>
          <cell r="O28">
            <v>12000</v>
          </cell>
          <cell r="P28">
            <v>12000</v>
          </cell>
          <cell r="Q28">
            <v>10645</v>
          </cell>
          <cell r="R28">
            <v>10645</v>
          </cell>
          <cell r="S28">
            <v>8152</v>
          </cell>
          <cell r="T28">
            <v>8152</v>
          </cell>
          <cell r="U28">
            <v>12000</v>
          </cell>
          <cell r="V28">
            <v>10645</v>
          </cell>
          <cell r="W28">
            <v>12000</v>
          </cell>
        </row>
        <row r="29">
          <cell r="E29">
            <v>1500</v>
          </cell>
          <cell r="F29">
            <v>1050</v>
          </cell>
          <cell r="G29">
            <v>1050</v>
          </cell>
          <cell r="H29">
            <v>1062.5</v>
          </cell>
          <cell r="I29">
            <v>1062.5</v>
          </cell>
          <cell r="J29">
            <v>1500</v>
          </cell>
          <cell r="K29">
            <v>1500</v>
          </cell>
          <cell r="M29">
            <v>1500</v>
          </cell>
          <cell r="N29">
            <v>1062.5</v>
          </cell>
          <cell r="O29">
            <v>1500</v>
          </cell>
          <cell r="P29">
            <v>1500</v>
          </cell>
          <cell r="Q29">
            <v>1330.625</v>
          </cell>
          <cell r="R29">
            <v>1330.625</v>
          </cell>
          <cell r="S29">
            <v>1019</v>
          </cell>
          <cell r="T29">
            <v>1019</v>
          </cell>
          <cell r="U29">
            <v>1500</v>
          </cell>
          <cell r="V29">
            <v>1330.625</v>
          </cell>
          <cell r="W29">
            <v>1500</v>
          </cell>
        </row>
        <row r="30">
          <cell r="E30">
            <v>4125</v>
          </cell>
          <cell r="F30">
            <v>3225</v>
          </cell>
          <cell r="G30">
            <v>3037.5</v>
          </cell>
          <cell r="H30">
            <v>3500</v>
          </cell>
          <cell r="I30">
            <v>3500</v>
          </cell>
          <cell r="J30">
            <v>3937.5</v>
          </cell>
          <cell r="K30">
            <v>4550</v>
          </cell>
          <cell r="L30">
            <v>2625</v>
          </cell>
          <cell r="M30">
            <v>4125</v>
          </cell>
          <cell r="N30">
            <v>3312.5</v>
          </cell>
          <cell r="O30">
            <v>3937.5</v>
          </cell>
          <cell r="P30">
            <v>4125</v>
          </cell>
          <cell r="Q30">
            <v>3530.625</v>
          </cell>
          <cell r="R30">
            <v>3530.625</v>
          </cell>
          <cell r="S30">
            <v>3006.5</v>
          </cell>
          <cell r="T30">
            <v>3006.5</v>
          </cell>
          <cell r="U30">
            <v>2437.5</v>
          </cell>
          <cell r="V30">
            <v>3530.625</v>
          </cell>
          <cell r="W30">
            <v>4550</v>
          </cell>
        </row>
        <row r="31">
          <cell r="E31">
            <v>80</v>
          </cell>
          <cell r="F31">
            <v>100</v>
          </cell>
          <cell r="G31">
            <v>45</v>
          </cell>
          <cell r="H31">
            <v>90</v>
          </cell>
          <cell r="I31">
            <v>60</v>
          </cell>
          <cell r="J31">
            <v>120</v>
          </cell>
          <cell r="K31">
            <v>120</v>
          </cell>
          <cell r="L31">
            <v>170</v>
          </cell>
          <cell r="M31">
            <v>90</v>
          </cell>
          <cell r="N31">
            <v>65</v>
          </cell>
          <cell r="O31">
            <v>110</v>
          </cell>
          <cell r="P31">
            <v>50</v>
          </cell>
          <cell r="Q31">
            <v>100</v>
          </cell>
          <cell r="R31">
            <v>115</v>
          </cell>
          <cell r="S31">
            <v>90</v>
          </cell>
          <cell r="T31">
            <v>50</v>
          </cell>
          <cell r="U31">
            <v>100</v>
          </cell>
          <cell r="V31">
            <v>110</v>
          </cell>
          <cell r="W31">
            <v>120</v>
          </cell>
        </row>
        <row r="32">
          <cell r="E32">
            <v>6120</v>
          </cell>
          <cell r="F32">
            <v>7200</v>
          </cell>
          <cell r="G32">
            <v>4815</v>
          </cell>
          <cell r="H32">
            <v>3600</v>
          </cell>
          <cell r="I32">
            <v>6480</v>
          </cell>
          <cell r="J32">
            <v>8640</v>
          </cell>
          <cell r="K32">
            <v>6480</v>
          </cell>
          <cell r="L32">
            <v>9180</v>
          </cell>
          <cell r="M32">
            <v>6108.75</v>
          </cell>
          <cell r="N32">
            <v>1755</v>
          </cell>
          <cell r="O32">
            <v>2277</v>
          </cell>
          <cell r="P32">
            <v>8100</v>
          </cell>
          <cell r="Q32">
            <v>15300</v>
          </cell>
          <cell r="R32">
            <v>16560</v>
          </cell>
          <cell r="S32">
            <v>3402</v>
          </cell>
          <cell r="T32">
            <v>2250</v>
          </cell>
          <cell r="U32">
            <v>2812.5</v>
          </cell>
          <cell r="V32">
            <v>1485</v>
          </cell>
          <cell r="W32">
            <v>7020</v>
          </cell>
        </row>
        <row r="33">
          <cell r="E33">
            <v>5</v>
          </cell>
          <cell r="F33">
            <v>10</v>
          </cell>
          <cell r="G33">
            <v>5</v>
          </cell>
          <cell r="H33">
            <v>3</v>
          </cell>
          <cell r="I33">
            <v>2</v>
          </cell>
          <cell r="J33">
            <v>5</v>
          </cell>
          <cell r="K33">
            <v>4</v>
          </cell>
          <cell r="L33">
            <v>6</v>
          </cell>
          <cell r="M33">
            <v>5</v>
          </cell>
          <cell r="N33">
            <v>4</v>
          </cell>
          <cell r="O33">
            <v>3</v>
          </cell>
          <cell r="P33">
            <v>3</v>
          </cell>
          <cell r="Q33">
            <v>1</v>
          </cell>
          <cell r="R33">
            <v>2</v>
          </cell>
          <cell r="S33">
            <v>4</v>
          </cell>
          <cell r="T33">
            <v>5</v>
          </cell>
          <cell r="U33">
            <v>3</v>
          </cell>
          <cell r="V33">
            <v>2</v>
          </cell>
          <cell r="W33">
            <v>4</v>
          </cell>
        </row>
        <row r="34">
          <cell r="E34">
            <v>3500</v>
          </cell>
          <cell r="F34">
            <v>7000</v>
          </cell>
          <cell r="G34">
            <v>3500</v>
          </cell>
          <cell r="H34">
            <v>2250</v>
          </cell>
          <cell r="I34">
            <v>1500</v>
          </cell>
          <cell r="J34">
            <v>3750</v>
          </cell>
          <cell r="K34">
            <v>3000</v>
          </cell>
          <cell r="L34">
            <v>4500</v>
          </cell>
          <cell r="M34">
            <v>3500</v>
          </cell>
          <cell r="N34">
            <v>3000</v>
          </cell>
          <cell r="O34">
            <v>2250</v>
          </cell>
          <cell r="P34">
            <v>6000</v>
          </cell>
          <cell r="Q34">
            <v>750</v>
          </cell>
          <cell r="R34">
            <v>1500</v>
          </cell>
          <cell r="S34">
            <v>2800</v>
          </cell>
          <cell r="T34">
            <v>3500</v>
          </cell>
          <cell r="U34">
            <v>1800</v>
          </cell>
          <cell r="V34">
            <v>1500</v>
          </cell>
          <cell r="W34">
            <v>3000</v>
          </cell>
        </row>
        <row r="36">
          <cell r="P36">
            <v>250</v>
          </cell>
        </row>
        <row r="37">
          <cell r="E37">
            <v>0.05</v>
          </cell>
          <cell r="F37">
            <v>0.32</v>
          </cell>
          <cell r="G37">
            <v>0.05</v>
          </cell>
          <cell r="H37">
            <v>0.04</v>
          </cell>
          <cell r="I37">
            <v>0.04</v>
          </cell>
          <cell r="J37">
            <v>0.1</v>
          </cell>
          <cell r="K37">
            <v>0.08</v>
          </cell>
          <cell r="L37">
            <v>0.1</v>
          </cell>
          <cell r="M37">
            <v>0.06</v>
          </cell>
          <cell r="N37">
            <v>0.2</v>
          </cell>
          <cell r="O37">
            <v>0.04</v>
          </cell>
          <cell r="P37">
            <v>0.5</v>
          </cell>
          <cell r="Q37">
            <v>0.04</v>
          </cell>
          <cell r="R37">
            <v>0.05</v>
          </cell>
          <cell r="S37">
            <v>0.04</v>
          </cell>
          <cell r="T37">
            <v>0.05</v>
          </cell>
          <cell r="U37">
            <v>0.2</v>
          </cell>
          <cell r="V37">
            <v>0.04</v>
          </cell>
          <cell r="W37">
            <v>0.08</v>
          </cell>
        </row>
        <row r="38">
          <cell r="E38">
            <v>228</v>
          </cell>
          <cell r="F38">
            <v>1459.2</v>
          </cell>
          <cell r="G38">
            <v>228</v>
          </cell>
          <cell r="H38">
            <v>182.4</v>
          </cell>
          <cell r="I38">
            <v>182.4</v>
          </cell>
          <cell r="J38">
            <v>456</v>
          </cell>
          <cell r="K38">
            <v>364.8</v>
          </cell>
          <cell r="L38">
            <v>450</v>
          </cell>
          <cell r="M38">
            <v>273.59999999999997</v>
          </cell>
          <cell r="N38">
            <v>900</v>
          </cell>
          <cell r="O38">
            <v>180</v>
          </cell>
          <cell r="P38">
            <v>2400</v>
          </cell>
          <cell r="Q38">
            <v>180</v>
          </cell>
          <cell r="R38">
            <v>225</v>
          </cell>
          <cell r="S38">
            <v>182.4</v>
          </cell>
          <cell r="T38">
            <v>228</v>
          </cell>
          <cell r="U38">
            <v>900</v>
          </cell>
          <cell r="V38">
            <v>180</v>
          </cell>
          <cell r="W38">
            <v>364.8</v>
          </cell>
        </row>
        <row r="39">
          <cell r="E39">
            <v>0.06</v>
          </cell>
          <cell r="F39">
            <v>0.15</v>
          </cell>
          <cell r="G39">
            <v>0.06</v>
          </cell>
          <cell r="H39">
            <v>0.03</v>
          </cell>
          <cell r="I39">
            <v>0.02</v>
          </cell>
          <cell r="J39">
            <v>0.05</v>
          </cell>
          <cell r="K39">
            <v>0.02</v>
          </cell>
          <cell r="L39">
            <v>0.03</v>
          </cell>
          <cell r="M39">
            <v>0.05</v>
          </cell>
          <cell r="N39">
            <v>0.05</v>
          </cell>
          <cell r="O39">
            <v>0.02</v>
          </cell>
          <cell r="P39">
            <v>0.2</v>
          </cell>
          <cell r="Q39">
            <v>0.02</v>
          </cell>
          <cell r="R39">
            <v>0.02</v>
          </cell>
          <cell r="S39">
            <v>0.05</v>
          </cell>
          <cell r="T39">
            <v>0.06</v>
          </cell>
          <cell r="U39">
            <v>0.02</v>
          </cell>
          <cell r="V39">
            <v>0.02</v>
          </cell>
          <cell r="W39">
            <v>0.02</v>
          </cell>
        </row>
        <row r="40">
          <cell r="E40">
            <v>288</v>
          </cell>
          <cell r="F40">
            <v>720</v>
          </cell>
          <cell r="G40">
            <v>288</v>
          </cell>
          <cell r="H40">
            <v>144</v>
          </cell>
          <cell r="I40">
            <v>96</v>
          </cell>
          <cell r="J40">
            <v>240</v>
          </cell>
          <cell r="K40">
            <v>96</v>
          </cell>
          <cell r="L40">
            <v>144</v>
          </cell>
          <cell r="M40">
            <v>240</v>
          </cell>
          <cell r="N40">
            <v>240</v>
          </cell>
          <cell r="O40">
            <v>96</v>
          </cell>
          <cell r="P40">
            <v>960</v>
          </cell>
          <cell r="Q40">
            <v>96</v>
          </cell>
          <cell r="R40">
            <v>96</v>
          </cell>
          <cell r="S40">
            <v>240</v>
          </cell>
          <cell r="T40">
            <v>288</v>
          </cell>
          <cell r="U40">
            <v>96</v>
          </cell>
          <cell r="V40">
            <v>96</v>
          </cell>
          <cell r="W40">
            <v>96</v>
          </cell>
        </row>
        <row r="41">
          <cell r="E41">
            <v>0.03</v>
          </cell>
          <cell r="F41">
            <v>0.1</v>
          </cell>
          <cell r="G41">
            <v>0.05</v>
          </cell>
          <cell r="H41">
            <v>0.03</v>
          </cell>
          <cell r="I41">
            <v>0.02</v>
          </cell>
          <cell r="J41">
            <v>0.03</v>
          </cell>
          <cell r="K41">
            <v>0.02</v>
          </cell>
          <cell r="L41">
            <v>0.02</v>
          </cell>
          <cell r="M41">
            <v>0.05</v>
          </cell>
          <cell r="N41">
            <v>0.02</v>
          </cell>
          <cell r="O41">
            <v>0.02</v>
          </cell>
          <cell r="P41">
            <v>0.1</v>
          </cell>
          <cell r="Q41">
            <v>0.02</v>
          </cell>
          <cell r="R41">
            <v>0.02</v>
          </cell>
          <cell r="S41">
            <v>0.02</v>
          </cell>
          <cell r="T41">
            <v>0.05</v>
          </cell>
          <cell r="U41">
            <v>0.02</v>
          </cell>
          <cell r="V41">
            <v>0.02</v>
          </cell>
          <cell r="W41">
            <v>0.02</v>
          </cell>
        </row>
        <row r="42">
          <cell r="E42">
            <v>150</v>
          </cell>
          <cell r="F42">
            <v>430</v>
          </cell>
          <cell r="G42">
            <v>215</v>
          </cell>
          <cell r="H42">
            <v>129</v>
          </cell>
          <cell r="I42">
            <v>86</v>
          </cell>
          <cell r="J42">
            <v>129</v>
          </cell>
          <cell r="K42">
            <v>90</v>
          </cell>
          <cell r="L42">
            <v>70</v>
          </cell>
          <cell r="M42">
            <v>215</v>
          </cell>
          <cell r="N42">
            <v>76</v>
          </cell>
          <cell r="O42">
            <v>70</v>
          </cell>
          <cell r="P42">
            <v>400</v>
          </cell>
          <cell r="Q42">
            <v>70</v>
          </cell>
          <cell r="R42">
            <v>70</v>
          </cell>
          <cell r="S42">
            <v>86</v>
          </cell>
          <cell r="T42">
            <v>215</v>
          </cell>
          <cell r="U42">
            <v>70</v>
          </cell>
          <cell r="V42">
            <v>70</v>
          </cell>
          <cell r="W42">
            <v>90</v>
          </cell>
        </row>
        <row r="43">
          <cell r="E43">
            <v>0.05</v>
          </cell>
          <cell r="F43">
            <v>0.16</v>
          </cell>
          <cell r="G43">
            <v>0.05</v>
          </cell>
          <cell r="H43">
            <v>0.06</v>
          </cell>
          <cell r="I43">
            <v>0.04</v>
          </cell>
          <cell r="J43">
            <v>0.04</v>
          </cell>
          <cell r="K43">
            <v>0.04</v>
          </cell>
          <cell r="L43">
            <v>0.05</v>
          </cell>
          <cell r="M43">
            <v>0.04</v>
          </cell>
          <cell r="N43">
            <v>0.05</v>
          </cell>
          <cell r="O43">
            <v>0.04</v>
          </cell>
          <cell r="P43">
            <v>0.06</v>
          </cell>
          <cell r="Q43">
            <v>0.04</v>
          </cell>
          <cell r="R43">
            <v>0.05</v>
          </cell>
          <cell r="S43">
            <v>0.04</v>
          </cell>
          <cell r="T43">
            <v>0.1</v>
          </cell>
          <cell r="U43">
            <v>0.04</v>
          </cell>
          <cell r="V43">
            <v>0.04</v>
          </cell>
          <cell r="W43">
            <v>0.04</v>
          </cell>
        </row>
        <row r="44">
          <cell r="E44">
            <v>26.25</v>
          </cell>
          <cell r="F44">
            <v>84</v>
          </cell>
          <cell r="G44">
            <v>26.25</v>
          </cell>
          <cell r="H44">
            <v>31.5</v>
          </cell>
          <cell r="I44">
            <v>21</v>
          </cell>
          <cell r="J44">
            <v>21</v>
          </cell>
          <cell r="K44">
            <v>20</v>
          </cell>
          <cell r="L44">
            <v>100</v>
          </cell>
          <cell r="M44">
            <v>21</v>
          </cell>
          <cell r="N44">
            <v>100</v>
          </cell>
          <cell r="O44">
            <v>95</v>
          </cell>
          <cell r="P44">
            <v>150</v>
          </cell>
          <cell r="Q44">
            <v>95</v>
          </cell>
          <cell r="R44">
            <v>100</v>
          </cell>
          <cell r="S44">
            <v>21</v>
          </cell>
          <cell r="T44">
            <v>52.5</v>
          </cell>
          <cell r="U44">
            <v>95</v>
          </cell>
          <cell r="V44">
            <v>95</v>
          </cell>
          <cell r="W44">
            <v>20</v>
          </cell>
        </row>
        <row r="45">
          <cell r="H45">
            <v>1000000</v>
          </cell>
          <cell r="J45">
            <v>1500000</v>
          </cell>
          <cell r="K45">
            <v>1200000</v>
          </cell>
          <cell r="L45">
            <v>600000</v>
          </cell>
          <cell r="N45">
            <v>1200000</v>
          </cell>
          <cell r="O45">
            <v>750000</v>
          </cell>
          <cell r="P45">
            <v>7000000</v>
          </cell>
          <cell r="U45">
            <v>750000</v>
          </cell>
          <cell r="V45">
            <v>750000</v>
          </cell>
          <cell r="W45">
            <v>1200000</v>
          </cell>
        </row>
        <row r="46">
          <cell r="H46">
            <v>50000</v>
          </cell>
          <cell r="J46">
            <v>6000</v>
          </cell>
          <cell r="K46">
            <v>2000</v>
          </cell>
          <cell r="L46">
            <v>1200</v>
          </cell>
          <cell r="N46">
            <v>1000</v>
          </cell>
          <cell r="O46">
            <v>600</v>
          </cell>
          <cell r="P46">
            <v>2000</v>
          </cell>
          <cell r="Q46">
            <v>600</v>
          </cell>
          <cell r="R46">
            <v>600</v>
          </cell>
          <cell r="U46">
            <v>600</v>
          </cell>
          <cell r="V46">
            <v>600</v>
          </cell>
          <cell r="W46">
            <v>2000</v>
          </cell>
        </row>
        <row r="47">
          <cell r="H47">
            <v>20</v>
          </cell>
          <cell r="J47">
            <v>250</v>
          </cell>
          <cell r="K47">
            <v>600</v>
          </cell>
          <cell r="L47">
            <v>500</v>
          </cell>
          <cell r="N47">
            <v>1200</v>
          </cell>
          <cell r="O47">
            <v>1250</v>
          </cell>
          <cell r="P47">
            <v>3500</v>
          </cell>
          <cell r="Q47">
            <v>0</v>
          </cell>
          <cell r="R47">
            <v>0</v>
          </cell>
          <cell r="U47">
            <v>1250</v>
          </cell>
          <cell r="V47">
            <v>1250</v>
          </cell>
          <cell r="W47">
            <v>600</v>
          </cell>
        </row>
        <row r="48">
          <cell r="E48">
            <v>50</v>
          </cell>
          <cell r="F48">
            <v>70</v>
          </cell>
          <cell r="G48">
            <v>20</v>
          </cell>
          <cell r="H48">
            <v>75</v>
          </cell>
          <cell r="I48">
            <v>40</v>
          </cell>
          <cell r="J48">
            <v>50</v>
          </cell>
          <cell r="K48">
            <v>40</v>
          </cell>
          <cell r="L48">
            <v>40</v>
          </cell>
          <cell r="M48">
            <v>50</v>
          </cell>
          <cell r="N48">
            <v>40</v>
          </cell>
          <cell r="O48">
            <v>70</v>
          </cell>
          <cell r="P48">
            <v>90</v>
          </cell>
          <cell r="Q48">
            <v>70</v>
          </cell>
          <cell r="R48">
            <v>70</v>
          </cell>
          <cell r="S48">
            <v>40</v>
          </cell>
          <cell r="T48">
            <v>20</v>
          </cell>
          <cell r="U48">
            <v>70</v>
          </cell>
          <cell r="V48">
            <v>70</v>
          </cell>
          <cell r="W48">
            <v>40</v>
          </cell>
        </row>
        <row r="49">
          <cell r="E49">
            <v>2062.5</v>
          </cell>
          <cell r="F49">
            <v>2257.5</v>
          </cell>
          <cell r="G49">
            <v>607.5</v>
          </cell>
          <cell r="H49">
            <v>2625</v>
          </cell>
          <cell r="I49">
            <v>1400</v>
          </cell>
          <cell r="J49">
            <v>1968.75</v>
          </cell>
          <cell r="K49">
            <v>1820</v>
          </cell>
          <cell r="L49">
            <v>1050</v>
          </cell>
          <cell r="M49">
            <v>2062.5</v>
          </cell>
          <cell r="N49">
            <v>1325</v>
          </cell>
          <cell r="O49">
            <v>2756.25</v>
          </cell>
          <cell r="P49">
            <v>3712.5</v>
          </cell>
          <cell r="Q49">
            <v>2471.4375</v>
          </cell>
          <cell r="R49">
            <v>2471.4375</v>
          </cell>
          <cell r="S49">
            <v>1202.5999999999999</v>
          </cell>
          <cell r="T49">
            <v>601.29999999999995</v>
          </cell>
          <cell r="U49">
            <v>1706.25</v>
          </cell>
          <cell r="V49">
            <v>2471.4375</v>
          </cell>
          <cell r="W49">
            <v>1820</v>
          </cell>
        </row>
        <row r="50">
          <cell r="E50">
            <v>12374.75</v>
          </cell>
          <cell r="F50">
            <v>19150.7</v>
          </cell>
          <cell r="G50">
            <v>9679.75</v>
          </cell>
          <cell r="H50">
            <v>8981.9</v>
          </cell>
          <cell r="I50">
            <v>9765.4</v>
          </cell>
          <cell r="J50">
            <v>15454.75</v>
          </cell>
          <cell r="K50">
            <v>12470.8</v>
          </cell>
          <cell r="L50">
            <v>15994</v>
          </cell>
          <cell r="M50">
            <v>12420.85</v>
          </cell>
          <cell r="N50">
            <v>8596</v>
          </cell>
          <cell r="O50">
            <v>8974.25</v>
          </cell>
          <cell r="P50">
            <v>25222.5</v>
          </cell>
          <cell r="Q50">
            <v>18962.4375</v>
          </cell>
          <cell r="R50">
            <v>21022.4375</v>
          </cell>
          <cell r="S50">
            <v>7934</v>
          </cell>
          <cell r="T50">
            <v>7134.8</v>
          </cell>
          <cell r="U50">
            <v>8729.75</v>
          </cell>
          <cell r="V50">
            <v>7147.4375</v>
          </cell>
          <cell r="W50">
            <v>13010.8</v>
          </cell>
        </row>
        <row r="51">
          <cell r="E51">
            <v>35301.75</v>
          </cell>
          <cell r="F51">
            <v>50311.7</v>
          </cell>
          <cell r="G51">
            <v>38218.25</v>
          </cell>
          <cell r="H51">
            <v>22016.9</v>
          </cell>
          <cell r="I51">
            <v>39809.4</v>
          </cell>
          <cell r="J51">
            <v>37088.25</v>
          </cell>
          <cell r="K51">
            <v>32212.799999999999</v>
          </cell>
          <cell r="L51">
            <v>31891</v>
          </cell>
          <cell r="M51">
            <v>30172</v>
          </cell>
          <cell r="N51">
            <v>17968.5</v>
          </cell>
          <cell r="O51">
            <v>17999.349999999999</v>
          </cell>
          <cell r="P51">
            <v>69163.5</v>
          </cell>
          <cell r="Q51">
            <v>60097.0625</v>
          </cell>
          <cell r="R51">
            <v>59945.0625</v>
          </cell>
          <cell r="S51">
            <v>20230.900000000001</v>
          </cell>
          <cell r="T51">
            <v>25841.3</v>
          </cell>
          <cell r="U51">
            <v>18948.5</v>
          </cell>
          <cell r="V51">
            <v>13996.0625</v>
          </cell>
          <cell r="W51">
            <v>34018.800000000003</v>
          </cell>
        </row>
        <row r="52">
          <cell r="E52">
            <v>35000</v>
          </cell>
          <cell r="F52">
            <v>45000</v>
          </cell>
          <cell r="G52">
            <v>38000</v>
          </cell>
          <cell r="H52">
            <v>22000</v>
          </cell>
          <cell r="I52">
            <v>40000</v>
          </cell>
          <cell r="J52">
            <v>37000</v>
          </cell>
          <cell r="K52">
            <v>32000</v>
          </cell>
          <cell r="L52">
            <v>32000</v>
          </cell>
          <cell r="M52">
            <v>30000</v>
          </cell>
          <cell r="N52">
            <v>18000</v>
          </cell>
          <cell r="O52">
            <v>18000</v>
          </cell>
          <cell r="P52">
            <v>69000</v>
          </cell>
          <cell r="Q52">
            <v>60000</v>
          </cell>
          <cell r="R52">
            <v>60000</v>
          </cell>
          <cell r="S52">
            <v>20000</v>
          </cell>
          <cell r="T52">
            <v>26000</v>
          </cell>
          <cell r="U52">
            <v>19000</v>
          </cell>
          <cell r="V52">
            <v>15000</v>
          </cell>
          <cell r="W52">
            <v>34000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4A"/>
      <sheetName val="Hoja1"/>
    </sheetNames>
    <sheetDataSet>
      <sheetData sheetId="0" refreshError="1">
        <row r="2">
          <cell r="E2">
            <v>1</v>
          </cell>
          <cell r="F2">
            <v>2</v>
          </cell>
          <cell r="G2">
            <v>3</v>
          </cell>
          <cell r="H2">
            <v>4</v>
          </cell>
          <cell r="I2">
            <v>5</v>
          </cell>
          <cell r="J2">
            <v>6</v>
          </cell>
          <cell r="K2">
            <v>7</v>
          </cell>
          <cell r="L2">
            <v>8</v>
          </cell>
          <cell r="M2">
            <v>9</v>
          </cell>
          <cell r="N2">
            <v>10</v>
          </cell>
          <cell r="O2">
            <v>11</v>
          </cell>
          <cell r="P2">
            <v>12</v>
          </cell>
          <cell r="Q2">
            <v>13</v>
          </cell>
          <cell r="R2">
            <v>14</v>
          </cell>
        </row>
        <row r="3">
          <cell r="E3" t="str">
            <v>BULLD D6D</v>
          </cell>
          <cell r="F3" t="str">
            <v>BULLD. D8H</v>
          </cell>
          <cell r="G3" t="str">
            <v>EXC. E200</v>
          </cell>
          <cell r="H3" t="str">
            <v>EXCAVADORA</v>
          </cell>
          <cell r="I3" t="str">
            <v>FINISHER</v>
          </cell>
          <cell r="J3" t="str">
            <v>MOTONI/DORA</v>
          </cell>
          <cell r="K3" t="str">
            <v>COMPACTADOR</v>
          </cell>
          <cell r="L3" t="str">
            <v>VOLQUETAS</v>
          </cell>
          <cell r="M3" t="str">
            <v>CARGADOR 926</v>
          </cell>
          <cell r="N3" t="str">
            <v>CARROTANQUE</v>
          </cell>
          <cell r="O3" t="str">
            <v>CARROTANQUE</v>
          </cell>
          <cell r="P3" t="str">
            <v>VOLQUETA</v>
          </cell>
          <cell r="Q3" t="str">
            <v xml:space="preserve">TRITURADORA </v>
          </cell>
          <cell r="R3" t="str">
            <v>PLANTA MEZC.</v>
          </cell>
          <cell r="S3" t="str">
            <v>BULLD. D4H</v>
          </cell>
          <cell r="T3" t="str">
            <v>EXCAVADORA</v>
          </cell>
          <cell r="U3" t="str">
            <v>COMPRESOR</v>
          </cell>
          <cell r="V3" t="str">
            <v>TRACTOR</v>
          </cell>
          <cell r="W3" t="str">
            <v>COMPACTADOR</v>
          </cell>
        </row>
        <row r="4">
          <cell r="E4" t="str">
            <v>Caterpillar</v>
          </cell>
          <cell r="F4" t="str">
            <v>Caterpillar</v>
          </cell>
          <cell r="G4" t="str">
            <v>Caterpillar</v>
          </cell>
          <cell r="H4" t="str">
            <v>CAT 426</v>
          </cell>
          <cell r="I4" t="str">
            <v>Barber Green</v>
          </cell>
          <cell r="J4" t="str">
            <v>Huber</v>
          </cell>
          <cell r="K4" t="str">
            <v>Ingersoll</v>
          </cell>
          <cell r="M4" t="str">
            <v>Caterpillar</v>
          </cell>
          <cell r="N4" t="str">
            <v>2000 GLNS</v>
          </cell>
          <cell r="O4" t="str">
            <v>IMPRIMADOR</v>
          </cell>
          <cell r="P4" t="str">
            <v>Dumper</v>
          </cell>
          <cell r="Q4" t="str">
            <v>Y CLASIFIC.</v>
          </cell>
          <cell r="R4" t="str">
            <v>ASFALTICA</v>
          </cell>
          <cell r="S4" t="str">
            <v>Caterpillar</v>
          </cell>
          <cell r="T4" t="str">
            <v>Hitachi UH81</v>
          </cell>
          <cell r="U4" t="str">
            <v>Ingersoll</v>
          </cell>
          <cell r="V4" t="str">
            <v>Ford</v>
          </cell>
          <cell r="W4" t="str">
            <v>DYNAPAC</v>
          </cell>
        </row>
        <row r="5">
          <cell r="E5" t="str">
            <v>140 HP</v>
          </cell>
          <cell r="F5" t="str">
            <v>270 HP</v>
          </cell>
          <cell r="G5" t="str">
            <v>150 HP</v>
          </cell>
          <cell r="H5" t="str">
            <v>62 HP</v>
          </cell>
          <cell r="I5" t="str">
            <v>70 HP</v>
          </cell>
          <cell r="J5" t="str">
            <v>130 HP</v>
          </cell>
          <cell r="K5" t="str">
            <v>94 HP</v>
          </cell>
          <cell r="L5" t="str">
            <v>170 HP</v>
          </cell>
          <cell r="M5" t="str">
            <v>105 HP</v>
          </cell>
          <cell r="N5" t="str">
            <v>170 HP</v>
          </cell>
          <cell r="S5" t="str">
            <v>94 HP</v>
          </cell>
          <cell r="T5" t="str">
            <v>140 HP</v>
          </cell>
          <cell r="U5" t="str">
            <v>54 HP</v>
          </cell>
          <cell r="V5" t="str">
            <v>60 HP</v>
          </cell>
          <cell r="W5" t="str">
            <v>77 HP</v>
          </cell>
        </row>
        <row r="6">
          <cell r="E6">
            <v>5</v>
          </cell>
          <cell r="F6">
            <v>5</v>
          </cell>
          <cell r="G6">
            <v>5</v>
          </cell>
          <cell r="H6">
            <v>5</v>
          </cell>
          <cell r="I6">
            <v>5</v>
          </cell>
          <cell r="J6">
            <v>5</v>
          </cell>
          <cell r="K6">
            <v>5</v>
          </cell>
          <cell r="L6">
            <v>5</v>
          </cell>
          <cell r="M6">
            <v>10</v>
          </cell>
          <cell r="N6">
            <v>5</v>
          </cell>
          <cell r="O6">
            <v>5</v>
          </cell>
          <cell r="P6">
            <v>5</v>
          </cell>
          <cell r="Q6">
            <v>5</v>
          </cell>
          <cell r="R6">
            <v>5</v>
          </cell>
          <cell r="S6">
            <v>5</v>
          </cell>
          <cell r="T6">
            <v>5</v>
          </cell>
          <cell r="U6">
            <v>4</v>
          </cell>
          <cell r="V6">
            <v>5</v>
          </cell>
          <cell r="W6">
            <v>5</v>
          </cell>
        </row>
        <row r="7">
          <cell r="E7">
            <v>10000</v>
          </cell>
          <cell r="F7">
            <v>10000</v>
          </cell>
          <cell r="G7">
            <v>10000</v>
          </cell>
          <cell r="H7">
            <v>10000</v>
          </cell>
          <cell r="I7">
            <v>10000</v>
          </cell>
          <cell r="J7">
            <v>10000</v>
          </cell>
          <cell r="K7">
            <v>10000</v>
          </cell>
          <cell r="L7">
            <v>10000</v>
          </cell>
          <cell r="M7">
            <v>8000</v>
          </cell>
          <cell r="N7">
            <v>10000</v>
          </cell>
          <cell r="O7">
            <v>10000</v>
          </cell>
          <cell r="P7">
            <v>10000</v>
          </cell>
          <cell r="Q7">
            <v>10000</v>
          </cell>
          <cell r="R7">
            <v>10000</v>
          </cell>
          <cell r="S7">
            <v>10000</v>
          </cell>
          <cell r="T7">
            <v>10000</v>
          </cell>
          <cell r="U7">
            <v>8000</v>
          </cell>
          <cell r="V7">
            <v>10000</v>
          </cell>
          <cell r="W7">
            <v>10000</v>
          </cell>
        </row>
        <row r="8">
          <cell r="E8">
            <v>85000000</v>
          </cell>
          <cell r="F8">
            <v>80000000</v>
          </cell>
          <cell r="G8">
            <v>115000000</v>
          </cell>
          <cell r="H8">
            <v>43000000</v>
          </cell>
          <cell r="I8">
            <v>120000000</v>
          </cell>
          <cell r="J8">
            <v>80000000</v>
          </cell>
          <cell r="K8">
            <v>60000000</v>
          </cell>
          <cell r="L8">
            <v>60000000</v>
          </cell>
          <cell r="M8">
            <v>57000000</v>
          </cell>
          <cell r="N8">
            <v>30000000</v>
          </cell>
          <cell r="O8">
            <v>23000000</v>
          </cell>
          <cell r="P8">
            <v>180000000</v>
          </cell>
          <cell r="Q8">
            <v>170000000</v>
          </cell>
          <cell r="R8">
            <v>160000000</v>
          </cell>
          <cell r="S8">
            <v>42000000</v>
          </cell>
          <cell r="T8">
            <v>50000000</v>
          </cell>
          <cell r="U8">
            <v>25000000</v>
          </cell>
          <cell r="V8">
            <v>15000000</v>
          </cell>
          <cell r="W8">
            <v>65000000</v>
          </cell>
        </row>
        <row r="9">
          <cell r="E9">
            <v>10</v>
          </cell>
          <cell r="F9">
            <v>10</v>
          </cell>
          <cell r="G9">
            <v>10</v>
          </cell>
          <cell r="H9">
            <v>10</v>
          </cell>
          <cell r="I9">
            <v>10</v>
          </cell>
          <cell r="J9">
            <v>10</v>
          </cell>
          <cell r="K9">
            <v>10</v>
          </cell>
          <cell r="L9">
            <v>10</v>
          </cell>
          <cell r="M9">
            <v>10</v>
          </cell>
          <cell r="N9">
            <v>10</v>
          </cell>
          <cell r="O9">
            <v>10</v>
          </cell>
          <cell r="P9">
            <v>10</v>
          </cell>
          <cell r="Q9">
            <v>10</v>
          </cell>
          <cell r="R9">
            <v>10</v>
          </cell>
          <cell r="S9">
            <v>10</v>
          </cell>
          <cell r="T9">
            <v>10</v>
          </cell>
          <cell r="U9">
            <v>10</v>
          </cell>
          <cell r="V9">
            <v>10</v>
          </cell>
          <cell r="W9">
            <v>10</v>
          </cell>
        </row>
        <row r="10">
          <cell r="E10">
            <v>8500000</v>
          </cell>
          <cell r="F10">
            <v>8000000</v>
          </cell>
          <cell r="G10">
            <v>8000000</v>
          </cell>
          <cell r="H10">
            <v>3000000</v>
          </cell>
          <cell r="I10">
            <v>12000000</v>
          </cell>
          <cell r="J10">
            <v>8000000</v>
          </cell>
          <cell r="K10">
            <v>6000000</v>
          </cell>
          <cell r="L10">
            <v>6000000</v>
          </cell>
          <cell r="M10">
            <v>2700000</v>
          </cell>
          <cell r="N10">
            <v>3000000</v>
          </cell>
          <cell r="O10">
            <v>2300000</v>
          </cell>
          <cell r="P10">
            <v>18000000</v>
          </cell>
          <cell r="Q10">
            <v>17000000</v>
          </cell>
          <cell r="R10">
            <v>16000000</v>
          </cell>
          <cell r="S10">
            <v>4200000</v>
          </cell>
          <cell r="T10">
            <v>5000000</v>
          </cell>
          <cell r="U10">
            <v>2500000</v>
          </cell>
          <cell r="V10">
            <v>1500000</v>
          </cell>
          <cell r="W10">
            <v>6500000</v>
          </cell>
        </row>
        <row r="11">
          <cell r="E11">
            <v>27200</v>
          </cell>
          <cell r="F11">
            <v>25600</v>
          </cell>
          <cell r="G11">
            <v>36100</v>
          </cell>
          <cell r="H11">
            <v>13500</v>
          </cell>
          <cell r="I11">
            <v>38400</v>
          </cell>
          <cell r="J11">
            <v>25600</v>
          </cell>
          <cell r="K11">
            <v>19200</v>
          </cell>
          <cell r="L11">
            <v>19200</v>
          </cell>
          <cell r="M11">
            <v>16282.5</v>
          </cell>
          <cell r="N11">
            <v>9600</v>
          </cell>
          <cell r="O11">
            <v>7360</v>
          </cell>
          <cell r="P11">
            <v>57600</v>
          </cell>
          <cell r="Q11">
            <v>54400</v>
          </cell>
          <cell r="R11">
            <v>51200</v>
          </cell>
          <cell r="S11">
            <v>13440</v>
          </cell>
          <cell r="T11">
            <v>16000</v>
          </cell>
          <cell r="U11">
            <v>8281.25</v>
          </cell>
          <cell r="V11">
            <v>4800</v>
          </cell>
          <cell r="W11">
            <v>20800</v>
          </cell>
        </row>
        <row r="13">
          <cell r="E13">
            <v>76500000</v>
          </cell>
          <cell r="F13">
            <v>72000000</v>
          </cell>
          <cell r="G13">
            <v>107000000</v>
          </cell>
          <cell r="H13">
            <v>40000000</v>
          </cell>
          <cell r="I13">
            <v>108000000</v>
          </cell>
          <cell r="J13">
            <v>72000000</v>
          </cell>
          <cell r="K13">
            <v>54000000</v>
          </cell>
          <cell r="L13">
            <v>54000000</v>
          </cell>
          <cell r="M13">
            <v>54300000</v>
          </cell>
          <cell r="N13">
            <v>27000000</v>
          </cell>
          <cell r="O13">
            <v>20700000</v>
          </cell>
          <cell r="P13">
            <v>162000000</v>
          </cell>
          <cell r="Q13">
            <v>153000000</v>
          </cell>
          <cell r="R13">
            <v>144000000</v>
          </cell>
          <cell r="S13">
            <v>37800000</v>
          </cell>
          <cell r="T13">
            <v>45000000</v>
          </cell>
          <cell r="U13">
            <v>22500000</v>
          </cell>
          <cell r="V13">
            <v>13500000</v>
          </cell>
          <cell r="W13">
            <v>58500000</v>
          </cell>
        </row>
        <row r="14">
          <cell r="E14">
            <v>7650</v>
          </cell>
          <cell r="F14">
            <v>7200</v>
          </cell>
          <cell r="G14">
            <v>10700</v>
          </cell>
          <cell r="H14">
            <v>4000</v>
          </cell>
          <cell r="I14">
            <v>10800</v>
          </cell>
          <cell r="J14">
            <v>7200</v>
          </cell>
          <cell r="K14">
            <v>5400</v>
          </cell>
          <cell r="L14">
            <v>5400</v>
          </cell>
          <cell r="M14">
            <v>6787.5</v>
          </cell>
          <cell r="N14">
            <v>2700</v>
          </cell>
          <cell r="O14">
            <v>2070</v>
          </cell>
          <cell r="P14">
            <v>16200</v>
          </cell>
          <cell r="Q14">
            <v>15300</v>
          </cell>
          <cell r="R14">
            <v>14400</v>
          </cell>
          <cell r="S14">
            <v>3780</v>
          </cell>
          <cell r="T14">
            <v>4500</v>
          </cell>
          <cell r="U14">
            <v>2812.5</v>
          </cell>
          <cell r="V14">
            <v>1350</v>
          </cell>
          <cell r="W14">
            <v>5850</v>
          </cell>
        </row>
        <row r="15">
          <cell r="E15">
            <v>41</v>
          </cell>
          <cell r="F15">
            <v>81</v>
          </cell>
          <cell r="G15">
            <v>41</v>
          </cell>
          <cell r="H15">
            <v>41</v>
          </cell>
          <cell r="I15">
            <v>41</v>
          </cell>
          <cell r="J15">
            <v>41</v>
          </cell>
          <cell r="K15">
            <v>51</v>
          </cell>
          <cell r="L15">
            <v>41</v>
          </cell>
          <cell r="M15">
            <v>42</v>
          </cell>
          <cell r="N15">
            <v>35</v>
          </cell>
          <cell r="O15">
            <v>41</v>
          </cell>
          <cell r="P15">
            <v>41</v>
          </cell>
          <cell r="Q15">
            <v>41</v>
          </cell>
          <cell r="R15">
            <v>41</v>
          </cell>
          <cell r="S15">
            <v>41</v>
          </cell>
          <cell r="T15">
            <v>70</v>
          </cell>
          <cell r="U15">
            <v>60</v>
          </cell>
          <cell r="V15">
            <v>41</v>
          </cell>
          <cell r="W15">
            <v>51</v>
          </cell>
        </row>
        <row r="16">
          <cell r="E16">
            <v>11152</v>
          </cell>
          <cell r="F16">
            <v>20736</v>
          </cell>
          <cell r="G16">
            <v>14801</v>
          </cell>
          <cell r="H16">
            <v>5535</v>
          </cell>
          <cell r="I16">
            <v>15744</v>
          </cell>
          <cell r="J16">
            <v>10496</v>
          </cell>
          <cell r="K16">
            <v>9792</v>
          </cell>
          <cell r="L16">
            <v>7872</v>
          </cell>
          <cell r="M16">
            <v>6838.65</v>
          </cell>
          <cell r="N16">
            <v>3360</v>
          </cell>
          <cell r="O16">
            <v>3017.6</v>
          </cell>
          <cell r="P16">
            <v>23616</v>
          </cell>
          <cell r="Q16">
            <v>22304</v>
          </cell>
          <cell r="R16">
            <v>20992</v>
          </cell>
          <cell r="S16">
            <v>5510.4</v>
          </cell>
          <cell r="T16">
            <v>11200</v>
          </cell>
          <cell r="U16">
            <v>4968.75</v>
          </cell>
          <cell r="V16">
            <v>1968</v>
          </cell>
          <cell r="W16">
            <v>10608</v>
          </cell>
        </row>
        <row r="17">
          <cell r="E17">
            <v>18802</v>
          </cell>
          <cell r="F17">
            <v>27936</v>
          </cell>
          <cell r="G17">
            <v>25501</v>
          </cell>
          <cell r="H17">
            <v>9535</v>
          </cell>
          <cell r="I17">
            <v>26544</v>
          </cell>
          <cell r="J17">
            <v>17696</v>
          </cell>
          <cell r="K17">
            <v>15192</v>
          </cell>
          <cell r="L17">
            <v>13272</v>
          </cell>
          <cell r="M17">
            <v>13626.15</v>
          </cell>
          <cell r="N17">
            <v>6060</v>
          </cell>
          <cell r="O17">
            <v>5087.6000000000004</v>
          </cell>
          <cell r="P17">
            <v>39816</v>
          </cell>
          <cell r="Q17">
            <v>37604</v>
          </cell>
          <cell r="R17">
            <v>35392</v>
          </cell>
          <cell r="S17">
            <v>9290.4</v>
          </cell>
          <cell r="T17">
            <v>15700</v>
          </cell>
          <cell r="U17">
            <v>7781.25</v>
          </cell>
          <cell r="V17">
            <v>3318</v>
          </cell>
          <cell r="W17">
            <v>16458</v>
          </cell>
        </row>
        <row r="18">
          <cell r="E18">
            <v>7000</v>
          </cell>
          <cell r="F18">
            <v>5800</v>
          </cell>
          <cell r="G18">
            <v>5300</v>
          </cell>
          <cell r="H18">
            <v>6500</v>
          </cell>
          <cell r="I18">
            <v>6500</v>
          </cell>
          <cell r="J18">
            <v>6500</v>
          </cell>
          <cell r="K18">
            <v>8000</v>
          </cell>
          <cell r="L18">
            <v>7000</v>
          </cell>
          <cell r="M18">
            <v>7000</v>
          </cell>
          <cell r="N18">
            <v>6000</v>
          </cell>
          <cell r="O18">
            <v>6500</v>
          </cell>
          <cell r="P18">
            <v>7000</v>
          </cell>
          <cell r="Q18">
            <v>6000</v>
          </cell>
          <cell r="R18">
            <v>6000</v>
          </cell>
          <cell r="S18">
            <v>5300</v>
          </cell>
          <cell r="T18">
            <v>5300</v>
          </cell>
          <cell r="U18">
            <v>6500</v>
          </cell>
          <cell r="V18">
            <v>6000</v>
          </cell>
          <cell r="W18">
            <v>8000</v>
          </cell>
        </row>
        <row r="19">
          <cell r="E19">
            <v>7000</v>
          </cell>
          <cell r="F19">
            <v>5800</v>
          </cell>
          <cell r="G19">
            <v>5300</v>
          </cell>
          <cell r="H19">
            <v>6500</v>
          </cell>
          <cell r="I19">
            <v>6500</v>
          </cell>
          <cell r="J19">
            <v>6500</v>
          </cell>
          <cell r="K19">
            <v>8000</v>
          </cell>
          <cell r="L19">
            <v>7000</v>
          </cell>
          <cell r="M19">
            <v>7000</v>
          </cell>
          <cell r="N19">
            <v>6000</v>
          </cell>
          <cell r="O19">
            <v>6500</v>
          </cell>
          <cell r="P19">
            <v>7000</v>
          </cell>
          <cell r="Q19">
            <v>6000</v>
          </cell>
          <cell r="R19">
            <v>6000</v>
          </cell>
          <cell r="S19">
            <v>5300</v>
          </cell>
          <cell r="T19">
            <v>5300</v>
          </cell>
          <cell r="U19">
            <v>6500</v>
          </cell>
          <cell r="V19">
            <v>6000</v>
          </cell>
          <cell r="W19">
            <v>8000</v>
          </cell>
        </row>
        <row r="20">
          <cell r="E20">
            <v>3500</v>
          </cell>
          <cell r="F20">
            <v>2900</v>
          </cell>
          <cell r="G20">
            <v>2650</v>
          </cell>
          <cell r="H20">
            <v>3250</v>
          </cell>
          <cell r="I20">
            <v>3250</v>
          </cell>
          <cell r="J20">
            <v>3250</v>
          </cell>
          <cell r="K20">
            <v>4200</v>
          </cell>
          <cell r="L20">
            <v>3500</v>
          </cell>
          <cell r="M20">
            <v>3500</v>
          </cell>
          <cell r="N20">
            <v>3000</v>
          </cell>
          <cell r="O20">
            <v>3250</v>
          </cell>
          <cell r="P20">
            <v>3500</v>
          </cell>
          <cell r="Q20">
            <v>2800</v>
          </cell>
          <cell r="R20">
            <v>2800</v>
          </cell>
          <cell r="S20">
            <v>2650</v>
          </cell>
          <cell r="T20">
            <v>2650</v>
          </cell>
          <cell r="U20">
            <v>3250</v>
          </cell>
          <cell r="V20">
            <v>2800</v>
          </cell>
          <cell r="W20">
            <v>4200</v>
          </cell>
        </row>
        <row r="21">
          <cell r="E21">
            <v>3500</v>
          </cell>
          <cell r="F21">
            <v>2900</v>
          </cell>
          <cell r="G21">
            <v>2650</v>
          </cell>
          <cell r="H21">
            <v>3250</v>
          </cell>
          <cell r="I21">
            <v>3250</v>
          </cell>
          <cell r="J21">
            <v>3250</v>
          </cell>
          <cell r="K21">
            <v>4200</v>
          </cell>
          <cell r="L21">
            <v>3500</v>
          </cell>
          <cell r="M21">
            <v>3500</v>
          </cell>
          <cell r="N21">
            <v>3000</v>
          </cell>
          <cell r="O21">
            <v>3250</v>
          </cell>
          <cell r="P21">
            <v>3500</v>
          </cell>
          <cell r="Q21">
            <v>2800</v>
          </cell>
          <cell r="R21">
            <v>2800</v>
          </cell>
          <cell r="S21">
            <v>2650</v>
          </cell>
          <cell r="T21">
            <v>2650</v>
          </cell>
          <cell r="U21">
            <v>3250</v>
          </cell>
          <cell r="V21">
            <v>2800</v>
          </cell>
          <cell r="W21">
            <v>4200</v>
          </cell>
        </row>
        <row r="22">
          <cell r="E22">
            <v>21000</v>
          </cell>
          <cell r="F22">
            <v>17400</v>
          </cell>
          <cell r="G22">
            <v>15900</v>
          </cell>
          <cell r="H22">
            <v>19500</v>
          </cell>
          <cell r="I22">
            <v>19500</v>
          </cell>
          <cell r="J22">
            <v>19500</v>
          </cell>
          <cell r="K22">
            <v>24400</v>
          </cell>
          <cell r="L22">
            <v>21000</v>
          </cell>
          <cell r="M22">
            <v>21000</v>
          </cell>
          <cell r="N22">
            <v>18000</v>
          </cell>
          <cell r="O22">
            <v>19500</v>
          </cell>
          <cell r="P22">
            <v>21000</v>
          </cell>
          <cell r="Q22">
            <v>17600</v>
          </cell>
          <cell r="R22">
            <v>17600</v>
          </cell>
          <cell r="S22">
            <v>15900</v>
          </cell>
          <cell r="T22">
            <v>15900</v>
          </cell>
          <cell r="U22">
            <v>19500</v>
          </cell>
          <cell r="V22">
            <v>17600</v>
          </cell>
          <cell r="W22">
            <v>24400</v>
          </cell>
        </row>
        <row r="23">
          <cell r="E23">
            <v>2625</v>
          </cell>
          <cell r="F23">
            <v>2175</v>
          </cell>
          <cell r="G23">
            <v>1987.5</v>
          </cell>
          <cell r="H23">
            <v>2437.5</v>
          </cell>
          <cell r="I23">
            <v>2437.5</v>
          </cell>
          <cell r="J23">
            <v>2437.5</v>
          </cell>
          <cell r="K23">
            <v>3050</v>
          </cell>
          <cell r="L23">
            <v>2625</v>
          </cell>
          <cell r="M23">
            <v>2625</v>
          </cell>
          <cell r="N23">
            <v>2250</v>
          </cell>
          <cell r="O23">
            <v>2437.5</v>
          </cell>
          <cell r="P23">
            <v>2625</v>
          </cell>
          <cell r="Q23">
            <v>2200</v>
          </cell>
          <cell r="R23">
            <v>2200</v>
          </cell>
          <cell r="S23">
            <v>1987.5</v>
          </cell>
          <cell r="T23">
            <v>1987.5</v>
          </cell>
          <cell r="U23">
            <v>2437.5</v>
          </cell>
          <cell r="V23">
            <v>2200</v>
          </cell>
          <cell r="W23">
            <v>3050</v>
          </cell>
        </row>
        <row r="24">
          <cell r="E24">
            <v>4000</v>
          </cell>
          <cell r="F24">
            <v>2800</v>
          </cell>
          <cell r="G24">
            <v>2800</v>
          </cell>
          <cell r="H24">
            <v>2500</v>
          </cell>
          <cell r="I24">
            <v>2500</v>
          </cell>
          <cell r="J24">
            <v>4000</v>
          </cell>
          <cell r="K24">
            <v>4000</v>
          </cell>
          <cell r="M24">
            <v>4000</v>
          </cell>
          <cell r="N24">
            <v>2500</v>
          </cell>
          <cell r="O24">
            <v>4000</v>
          </cell>
          <cell r="P24">
            <v>4000</v>
          </cell>
          <cell r="Q24">
            <v>3964</v>
          </cell>
          <cell r="R24">
            <v>3964</v>
          </cell>
          <cell r="S24">
            <v>2717</v>
          </cell>
          <cell r="T24">
            <v>2717</v>
          </cell>
          <cell r="U24">
            <v>4000</v>
          </cell>
          <cell r="V24">
            <v>3964</v>
          </cell>
          <cell r="W24">
            <v>4000</v>
          </cell>
        </row>
        <row r="25">
          <cell r="E25">
            <v>4000</v>
          </cell>
          <cell r="F25">
            <v>2800</v>
          </cell>
          <cell r="G25">
            <v>2800</v>
          </cell>
          <cell r="H25">
            <v>2500</v>
          </cell>
          <cell r="I25">
            <v>2500</v>
          </cell>
          <cell r="J25">
            <v>4000</v>
          </cell>
          <cell r="K25">
            <v>4000</v>
          </cell>
          <cell r="M25">
            <v>4000</v>
          </cell>
          <cell r="N25">
            <v>2500</v>
          </cell>
          <cell r="O25">
            <v>4000</v>
          </cell>
          <cell r="P25">
            <v>4000</v>
          </cell>
          <cell r="Q25">
            <v>3964</v>
          </cell>
          <cell r="R25">
            <v>3964</v>
          </cell>
          <cell r="S25">
            <v>2717</v>
          </cell>
          <cell r="T25">
            <v>2717</v>
          </cell>
          <cell r="U25">
            <v>4000</v>
          </cell>
          <cell r="V25">
            <v>3964</v>
          </cell>
          <cell r="W25">
            <v>4000</v>
          </cell>
        </row>
        <row r="26">
          <cell r="E26">
            <v>2000</v>
          </cell>
          <cell r="F26">
            <v>1400</v>
          </cell>
          <cell r="G26">
            <v>1400</v>
          </cell>
          <cell r="H26">
            <v>1750</v>
          </cell>
          <cell r="I26">
            <v>1750</v>
          </cell>
          <cell r="J26">
            <v>2000</v>
          </cell>
          <cell r="K26">
            <v>2000</v>
          </cell>
          <cell r="M26">
            <v>2000</v>
          </cell>
          <cell r="N26">
            <v>1750</v>
          </cell>
          <cell r="O26">
            <v>2000</v>
          </cell>
          <cell r="P26">
            <v>2000</v>
          </cell>
          <cell r="Q26">
            <v>1358.5</v>
          </cell>
          <cell r="R26">
            <v>1358.5</v>
          </cell>
          <cell r="S26">
            <v>1359</v>
          </cell>
          <cell r="T26">
            <v>1359</v>
          </cell>
          <cell r="U26">
            <v>2000</v>
          </cell>
          <cell r="V26">
            <v>1358.5</v>
          </cell>
          <cell r="W26">
            <v>2000</v>
          </cell>
        </row>
        <row r="27">
          <cell r="E27">
            <v>2000</v>
          </cell>
          <cell r="F27">
            <v>1400</v>
          </cell>
          <cell r="G27">
            <v>1400</v>
          </cell>
          <cell r="H27">
            <v>1750</v>
          </cell>
          <cell r="I27">
            <v>1750</v>
          </cell>
          <cell r="J27">
            <v>2000</v>
          </cell>
          <cell r="K27">
            <v>2000</v>
          </cell>
          <cell r="M27">
            <v>2000</v>
          </cell>
          <cell r="N27">
            <v>1750</v>
          </cell>
          <cell r="O27">
            <v>2000</v>
          </cell>
          <cell r="P27">
            <v>2000</v>
          </cell>
          <cell r="Q27">
            <v>1358.5</v>
          </cell>
          <cell r="R27">
            <v>1358.5</v>
          </cell>
          <cell r="S27">
            <v>1359</v>
          </cell>
          <cell r="T27">
            <v>1359</v>
          </cell>
          <cell r="U27">
            <v>2000</v>
          </cell>
          <cell r="V27">
            <v>1358.5</v>
          </cell>
          <cell r="W27">
            <v>2000</v>
          </cell>
        </row>
        <row r="28">
          <cell r="E28">
            <v>12000</v>
          </cell>
          <cell r="F28">
            <v>8400</v>
          </cell>
          <cell r="G28">
            <v>8400</v>
          </cell>
          <cell r="H28">
            <v>8500</v>
          </cell>
          <cell r="I28">
            <v>8500</v>
          </cell>
          <cell r="J28">
            <v>12000</v>
          </cell>
          <cell r="K28">
            <v>12000</v>
          </cell>
          <cell r="M28">
            <v>12000</v>
          </cell>
          <cell r="N28">
            <v>8500</v>
          </cell>
          <cell r="O28">
            <v>12000</v>
          </cell>
          <cell r="P28">
            <v>12000</v>
          </cell>
          <cell r="Q28">
            <v>10645</v>
          </cell>
          <cell r="R28">
            <v>10645</v>
          </cell>
          <cell r="S28">
            <v>8152</v>
          </cell>
          <cell r="T28">
            <v>8152</v>
          </cell>
          <cell r="U28">
            <v>12000</v>
          </cell>
          <cell r="V28">
            <v>10645</v>
          </cell>
          <cell r="W28">
            <v>12000</v>
          </cell>
        </row>
        <row r="29">
          <cell r="E29">
            <v>1500</v>
          </cell>
          <cell r="F29">
            <v>1050</v>
          </cell>
          <cell r="G29">
            <v>1050</v>
          </cell>
          <cell r="H29">
            <v>1062.5</v>
          </cell>
          <cell r="I29">
            <v>1062.5</v>
          </cell>
          <cell r="J29">
            <v>1500</v>
          </cell>
          <cell r="K29">
            <v>1500</v>
          </cell>
          <cell r="M29">
            <v>1500</v>
          </cell>
          <cell r="N29">
            <v>1062.5</v>
          </cell>
          <cell r="O29">
            <v>1500</v>
          </cell>
          <cell r="P29">
            <v>1500</v>
          </cell>
          <cell r="Q29">
            <v>1330.625</v>
          </cell>
          <cell r="R29">
            <v>1330.625</v>
          </cell>
          <cell r="S29">
            <v>1019</v>
          </cell>
          <cell r="T29">
            <v>1019</v>
          </cell>
          <cell r="U29">
            <v>1500</v>
          </cell>
          <cell r="V29">
            <v>1330.625</v>
          </cell>
          <cell r="W29">
            <v>1500</v>
          </cell>
        </row>
        <row r="30">
          <cell r="E30">
            <v>4125</v>
          </cell>
          <cell r="F30">
            <v>3225</v>
          </cell>
          <cell r="G30">
            <v>3037.5</v>
          </cell>
          <cell r="H30">
            <v>3500</v>
          </cell>
          <cell r="I30">
            <v>3500</v>
          </cell>
          <cell r="J30">
            <v>3937.5</v>
          </cell>
          <cell r="K30">
            <v>4550</v>
          </cell>
          <cell r="L30">
            <v>2625</v>
          </cell>
          <cell r="M30">
            <v>4125</v>
          </cell>
          <cell r="N30">
            <v>3312.5</v>
          </cell>
          <cell r="O30">
            <v>3937.5</v>
          </cell>
          <cell r="P30">
            <v>4125</v>
          </cell>
          <cell r="Q30">
            <v>3530.625</v>
          </cell>
          <cell r="R30">
            <v>3530.625</v>
          </cell>
          <cell r="S30">
            <v>3006.5</v>
          </cell>
          <cell r="T30">
            <v>3006.5</v>
          </cell>
          <cell r="U30">
            <v>2437.5</v>
          </cell>
          <cell r="V30">
            <v>3530.625</v>
          </cell>
          <cell r="W30">
            <v>4550</v>
          </cell>
        </row>
        <row r="31">
          <cell r="E31">
            <v>80</v>
          </cell>
          <cell r="F31">
            <v>100</v>
          </cell>
          <cell r="G31">
            <v>45</v>
          </cell>
          <cell r="H31">
            <v>90</v>
          </cell>
          <cell r="I31">
            <v>60</v>
          </cell>
          <cell r="J31">
            <v>120</v>
          </cell>
          <cell r="K31">
            <v>120</v>
          </cell>
          <cell r="L31">
            <v>170</v>
          </cell>
          <cell r="M31">
            <v>90</v>
          </cell>
          <cell r="N31">
            <v>65</v>
          </cell>
          <cell r="O31">
            <v>110</v>
          </cell>
          <cell r="P31">
            <v>50</v>
          </cell>
          <cell r="Q31">
            <v>100</v>
          </cell>
          <cell r="R31">
            <v>115</v>
          </cell>
          <cell r="S31">
            <v>90</v>
          </cell>
          <cell r="T31">
            <v>50</v>
          </cell>
          <cell r="U31">
            <v>100</v>
          </cell>
          <cell r="V31">
            <v>110</v>
          </cell>
          <cell r="W31">
            <v>120</v>
          </cell>
        </row>
        <row r="32">
          <cell r="E32">
            <v>6120</v>
          </cell>
          <cell r="F32">
            <v>7200</v>
          </cell>
          <cell r="G32">
            <v>4815</v>
          </cell>
          <cell r="H32">
            <v>3600</v>
          </cell>
          <cell r="I32">
            <v>6480</v>
          </cell>
          <cell r="J32">
            <v>8640</v>
          </cell>
          <cell r="K32">
            <v>6480</v>
          </cell>
          <cell r="L32">
            <v>9180</v>
          </cell>
          <cell r="M32">
            <v>6108.75</v>
          </cell>
          <cell r="N32">
            <v>1755</v>
          </cell>
          <cell r="O32">
            <v>2277</v>
          </cell>
          <cell r="P32">
            <v>8100</v>
          </cell>
          <cell r="Q32">
            <v>15300</v>
          </cell>
          <cell r="R32">
            <v>16560</v>
          </cell>
          <cell r="S32">
            <v>3402</v>
          </cell>
          <cell r="T32">
            <v>2250</v>
          </cell>
          <cell r="U32">
            <v>2812.5</v>
          </cell>
          <cell r="V32">
            <v>1485</v>
          </cell>
          <cell r="W32">
            <v>7020</v>
          </cell>
        </row>
        <row r="33">
          <cell r="E33">
            <v>5</v>
          </cell>
          <cell r="F33">
            <v>10</v>
          </cell>
          <cell r="G33">
            <v>5</v>
          </cell>
          <cell r="H33">
            <v>3</v>
          </cell>
          <cell r="I33">
            <v>2</v>
          </cell>
          <cell r="J33">
            <v>5</v>
          </cell>
          <cell r="K33">
            <v>4</v>
          </cell>
          <cell r="L33">
            <v>6</v>
          </cell>
          <cell r="M33">
            <v>5</v>
          </cell>
          <cell r="N33">
            <v>4</v>
          </cell>
          <cell r="O33">
            <v>3</v>
          </cell>
          <cell r="P33">
            <v>3</v>
          </cell>
          <cell r="Q33">
            <v>1</v>
          </cell>
          <cell r="R33">
            <v>2</v>
          </cell>
          <cell r="S33">
            <v>4</v>
          </cell>
          <cell r="T33">
            <v>5</v>
          </cell>
          <cell r="U33">
            <v>3</v>
          </cell>
          <cell r="V33">
            <v>2</v>
          </cell>
          <cell r="W33">
            <v>4</v>
          </cell>
        </row>
        <row r="34">
          <cell r="E34">
            <v>3500</v>
          </cell>
          <cell r="F34">
            <v>7000</v>
          </cell>
          <cell r="G34">
            <v>3500</v>
          </cell>
          <cell r="H34">
            <v>2250</v>
          </cell>
          <cell r="I34">
            <v>1500</v>
          </cell>
          <cell r="J34">
            <v>3750</v>
          </cell>
          <cell r="K34">
            <v>3000</v>
          </cell>
          <cell r="L34">
            <v>4500</v>
          </cell>
          <cell r="M34">
            <v>3500</v>
          </cell>
          <cell r="N34">
            <v>3000</v>
          </cell>
          <cell r="O34">
            <v>2250</v>
          </cell>
          <cell r="P34">
            <v>6000</v>
          </cell>
          <cell r="Q34">
            <v>750</v>
          </cell>
          <cell r="R34">
            <v>1500</v>
          </cell>
          <cell r="S34">
            <v>2800</v>
          </cell>
          <cell r="T34">
            <v>3500</v>
          </cell>
          <cell r="U34">
            <v>1800</v>
          </cell>
          <cell r="V34">
            <v>1500</v>
          </cell>
          <cell r="W34">
            <v>3000</v>
          </cell>
        </row>
        <row r="36">
          <cell r="P36">
            <v>250</v>
          </cell>
        </row>
        <row r="37">
          <cell r="E37">
            <v>0.05</v>
          </cell>
          <cell r="F37">
            <v>0.32</v>
          </cell>
          <cell r="G37">
            <v>0.05</v>
          </cell>
          <cell r="H37">
            <v>0.04</v>
          </cell>
          <cell r="I37">
            <v>0.04</v>
          </cell>
          <cell r="J37">
            <v>0.1</v>
          </cell>
          <cell r="K37">
            <v>0.08</v>
          </cell>
          <cell r="L37">
            <v>0.1</v>
          </cell>
          <cell r="M37">
            <v>0.06</v>
          </cell>
          <cell r="N37">
            <v>0.2</v>
          </cell>
          <cell r="O37">
            <v>0.04</v>
          </cell>
          <cell r="P37">
            <v>0.5</v>
          </cell>
          <cell r="Q37">
            <v>0.04</v>
          </cell>
          <cell r="R37">
            <v>0.05</v>
          </cell>
          <cell r="S37">
            <v>0.04</v>
          </cell>
          <cell r="T37">
            <v>0.05</v>
          </cell>
          <cell r="U37">
            <v>0.2</v>
          </cell>
          <cell r="V37">
            <v>0.04</v>
          </cell>
          <cell r="W37">
            <v>0.08</v>
          </cell>
        </row>
        <row r="38">
          <cell r="E38">
            <v>228</v>
          </cell>
          <cell r="F38">
            <v>1459.2</v>
          </cell>
          <cell r="G38">
            <v>228</v>
          </cell>
          <cell r="H38">
            <v>182.4</v>
          </cell>
          <cell r="I38">
            <v>182.4</v>
          </cell>
          <cell r="J38">
            <v>456</v>
          </cell>
          <cell r="K38">
            <v>364.8</v>
          </cell>
          <cell r="L38">
            <v>450</v>
          </cell>
          <cell r="M38">
            <v>273.59999999999997</v>
          </cell>
          <cell r="N38">
            <v>900</v>
          </cell>
          <cell r="O38">
            <v>180</v>
          </cell>
          <cell r="P38">
            <v>2400</v>
          </cell>
          <cell r="Q38">
            <v>180</v>
          </cell>
          <cell r="R38">
            <v>225</v>
          </cell>
          <cell r="S38">
            <v>182.4</v>
          </cell>
          <cell r="T38">
            <v>228</v>
          </cell>
          <cell r="U38">
            <v>900</v>
          </cell>
          <cell r="V38">
            <v>180</v>
          </cell>
          <cell r="W38">
            <v>364.8</v>
          </cell>
        </row>
        <row r="39">
          <cell r="E39">
            <v>0.06</v>
          </cell>
          <cell r="F39">
            <v>0.15</v>
          </cell>
          <cell r="G39">
            <v>0.06</v>
          </cell>
          <cell r="H39">
            <v>0.03</v>
          </cell>
          <cell r="I39">
            <v>0.02</v>
          </cell>
          <cell r="J39">
            <v>0.05</v>
          </cell>
          <cell r="K39">
            <v>0.02</v>
          </cell>
          <cell r="L39">
            <v>0.03</v>
          </cell>
          <cell r="M39">
            <v>0.05</v>
          </cell>
          <cell r="N39">
            <v>0.05</v>
          </cell>
          <cell r="O39">
            <v>0.02</v>
          </cell>
          <cell r="P39">
            <v>0.2</v>
          </cell>
          <cell r="Q39">
            <v>0.02</v>
          </cell>
          <cell r="R39">
            <v>0.02</v>
          </cell>
          <cell r="S39">
            <v>0.05</v>
          </cell>
          <cell r="T39">
            <v>0.06</v>
          </cell>
          <cell r="U39">
            <v>0.02</v>
          </cell>
          <cell r="V39">
            <v>0.02</v>
          </cell>
          <cell r="W39">
            <v>0.02</v>
          </cell>
        </row>
        <row r="40">
          <cell r="E40">
            <v>288</v>
          </cell>
          <cell r="F40">
            <v>720</v>
          </cell>
          <cell r="G40">
            <v>288</v>
          </cell>
          <cell r="H40">
            <v>144</v>
          </cell>
          <cell r="I40">
            <v>96</v>
          </cell>
          <cell r="J40">
            <v>240</v>
          </cell>
          <cell r="K40">
            <v>96</v>
          </cell>
          <cell r="L40">
            <v>144</v>
          </cell>
          <cell r="M40">
            <v>240</v>
          </cell>
          <cell r="N40">
            <v>240</v>
          </cell>
          <cell r="O40">
            <v>96</v>
          </cell>
          <cell r="P40">
            <v>960</v>
          </cell>
          <cell r="Q40">
            <v>96</v>
          </cell>
          <cell r="R40">
            <v>96</v>
          </cell>
          <cell r="S40">
            <v>240</v>
          </cell>
          <cell r="T40">
            <v>288</v>
          </cell>
          <cell r="U40">
            <v>96</v>
          </cell>
          <cell r="V40">
            <v>96</v>
          </cell>
          <cell r="W40">
            <v>96</v>
          </cell>
        </row>
        <row r="41">
          <cell r="E41">
            <v>0.03</v>
          </cell>
          <cell r="F41">
            <v>0.1</v>
          </cell>
          <cell r="G41">
            <v>0.05</v>
          </cell>
          <cell r="H41">
            <v>0.03</v>
          </cell>
          <cell r="I41">
            <v>0.02</v>
          </cell>
          <cell r="J41">
            <v>0.03</v>
          </cell>
          <cell r="K41">
            <v>0.02</v>
          </cell>
          <cell r="L41">
            <v>0.02</v>
          </cell>
          <cell r="M41">
            <v>0.05</v>
          </cell>
          <cell r="N41">
            <v>0.02</v>
          </cell>
          <cell r="O41">
            <v>0.02</v>
          </cell>
          <cell r="P41">
            <v>0.1</v>
          </cell>
          <cell r="Q41">
            <v>0.02</v>
          </cell>
          <cell r="R41">
            <v>0.02</v>
          </cell>
          <cell r="S41">
            <v>0.02</v>
          </cell>
          <cell r="T41">
            <v>0.05</v>
          </cell>
          <cell r="U41">
            <v>0.02</v>
          </cell>
          <cell r="V41">
            <v>0.02</v>
          </cell>
          <cell r="W41">
            <v>0.02</v>
          </cell>
        </row>
        <row r="42">
          <cell r="E42">
            <v>150</v>
          </cell>
          <cell r="F42">
            <v>430</v>
          </cell>
          <cell r="G42">
            <v>215</v>
          </cell>
          <cell r="H42">
            <v>129</v>
          </cell>
          <cell r="I42">
            <v>86</v>
          </cell>
          <cell r="J42">
            <v>129</v>
          </cell>
          <cell r="K42">
            <v>90</v>
          </cell>
          <cell r="L42">
            <v>70</v>
          </cell>
          <cell r="M42">
            <v>215</v>
          </cell>
          <cell r="N42">
            <v>76</v>
          </cell>
          <cell r="O42">
            <v>70</v>
          </cell>
          <cell r="P42">
            <v>400</v>
          </cell>
          <cell r="Q42">
            <v>70</v>
          </cell>
          <cell r="R42">
            <v>70</v>
          </cell>
          <cell r="S42">
            <v>86</v>
          </cell>
          <cell r="T42">
            <v>215</v>
          </cell>
          <cell r="U42">
            <v>70</v>
          </cell>
          <cell r="V42">
            <v>70</v>
          </cell>
          <cell r="W42">
            <v>90</v>
          </cell>
        </row>
        <row r="43">
          <cell r="E43">
            <v>0.05</v>
          </cell>
          <cell r="F43">
            <v>0.16</v>
          </cell>
          <cell r="G43">
            <v>0.05</v>
          </cell>
          <cell r="H43">
            <v>0.06</v>
          </cell>
          <cell r="I43">
            <v>0.04</v>
          </cell>
          <cell r="J43">
            <v>0.04</v>
          </cell>
          <cell r="K43">
            <v>0.04</v>
          </cell>
          <cell r="L43">
            <v>0.05</v>
          </cell>
          <cell r="M43">
            <v>0.04</v>
          </cell>
          <cell r="N43">
            <v>0.05</v>
          </cell>
          <cell r="O43">
            <v>0.04</v>
          </cell>
          <cell r="P43">
            <v>0.06</v>
          </cell>
          <cell r="Q43">
            <v>0.04</v>
          </cell>
          <cell r="R43">
            <v>0.05</v>
          </cell>
          <cell r="S43">
            <v>0.04</v>
          </cell>
          <cell r="T43">
            <v>0.1</v>
          </cell>
          <cell r="U43">
            <v>0.04</v>
          </cell>
          <cell r="V43">
            <v>0.04</v>
          </cell>
          <cell r="W43">
            <v>0.04</v>
          </cell>
        </row>
        <row r="44">
          <cell r="E44">
            <v>26.25</v>
          </cell>
          <cell r="F44">
            <v>84</v>
          </cell>
          <cell r="G44">
            <v>26.25</v>
          </cell>
          <cell r="H44">
            <v>31.5</v>
          </cell>
          <cell r="I44">
            <v>21</v>
          </cell>
          <cell r="J44">
            <v>21</v>
          </cell>
          <cell r="K44">
            <v>20</v>
          </cell>
          <cell r="L44">
            <v>100</v>
          </cell>
          <cell r="M44">
            <v>21</v>
          </cell>
          <cell r="N44">
            <v>100</v>
          </cell>
          <cell r="O44">
            <v>95</v>
          </cell>
          <cell r="P44">
            <v>150</v>
          </cell>
          <cell r="Q44">
            <v>95</v>
          </cell>
          <cell r="R44">
            <v>100</v>
          </cell>
          <cell r="S44">
            <v>21</v>
          </cell>
          <cell r="T44">
            <v>52.5</v>
          </cell>
          <cell r="U44">
            <v>95</v>
          </cell>
          <cell r="V44">
            <v>95</v>
          </cell>
          <cell r="W44">
            <v>20</v>
          </cell>
        </row>
        <row r="45">
          <cell r="H45">
            <v>1000000</v>
          </cell>
          <cell r="J45">
            <v>1500000</v>
          </cell>
          <cell r="K45">
            <v>1200000</v>
          </cell>
          <cell r="L45">
            <v>600000</v>
          </cell>
          <cell r="N45">
            <v>1200000</v>
          </cell>
          <cell r="O45">
            <v>750000</v>
          </cell>
          <cell r="P45">
            <v>7000000</v>
          </cell>
          <cell r="U45">
            <v>750000</v>
          </cell>
          <cell r="V45">
            <v>750000</v>
          </cell>
          <cell r="W45">
            <v>1200000</v>
          </cell>
        </row>
        <row r="46">
          <cell r="H46">
            <v>50000</v>
          </cell>
          <cell r="J46">
            <v>6000</v>
          </cell>
          <cell r="K46">
            <v>2000</v>
          </cell>
          <cell r="L46">
            <v>1200</v>
          </cell>
          <cell r="N46">
            <v>1000</v>
          </cell>
          <cell r="O46">
            <v>600</v>
          </cell>
          <cell r="P46">
            <v>2000</v>
          </cell>
          <cell r="Q46">
            <v>600</v>
          </cell>
          <cell r="R46">
            <v>600</v>
          </cell>
          <cell r="U46">
            <v>600</v>
          </cell>
          <cell r="V46">
            <v>600</v>
          </cell>
          <cell r="W46">
            <v>2000</v>
          </cell>
        </row>
        <row r="47">
          <cell r="H47">
            <v>20</v>
          </cell>
          <cell r="J47">
            <v>250</v>
          </cell>
          <cell r="K47">
            <v>600</v>
          </cell>
          <cell r="L47">
            <v>500</v>
          </cell>
          <cell r="N47">
            <v>1200</v>
          </cell>
          <cell r="O47">
            <v>1250</v>
          </cell>
          <cell r="P47">
            <v>3500</v>
          </cell>
          <cell r="Q47">
            <v>0</v>
          </cell>
          <cell r="R47">
            <v>0</v>
          </cell>
          <cell r="U47">
            <v>1250</v>
          </cell>
          <cell r="V47">
            <v>1250</v>
          </cell>
          <cell r="W47">
            <v>600</v>
          </cell>
        </row>
        <row r="48">
          <cell r="E48">
            <v>50</v>
          </cell>
          <cell r="F48">
            <v>70</v>
          </cell>
          <cell r="G48">
            <v>20</v>
          </cell>
          <cell r="H48">
            <v>75</v>
          </cell>
          <cell r="I48">
            <v>40</v>
          </cell>
          <cell r="J48">
            <v>50</v>
          </cell>
          <cell r="K48">
            <v>40</v>
          </cell>
          <cell r="L48">
            <v>40</v>
          </cell>
          <cell r="M48">
            <v>50</v>
          </cell>
          <cell r="N48">
            <v>40</v>
          </cell>
          <cell r="O48">
            <v>70</v>
          </cell>
          <cell r="P48">
            <v>90</v>
          </cell>
          <cell r="Q48">
            <v>70</v>
          </cell>
          <cell r="R48">
            <v>70</v>
          </cell>
          <cell r="S48">
            <v>40</v>
          </cell>
          <cell r="T48">
            <v>20</v>
          </cell>
          <cell r="U48">
            <v>70</v>
          </cell>
          <cell r="V48">
            <v>70</v>
          </cell>
          <cell r="W48">
            <v>40</v>
          </cell>
        </row>
        <row r="49">
          <cell r="E49">
            <v>2062.5</v>
          </cell>
          <cell r="F49">
            <v>2257.5</v>
          </cell>
          <cell r="G49">
            <v>607.5</v>
          </cell>
          <cell r="H49">
            <v>2625</v>
          </cell>
          <cell r="I49">
            <v>1400</v>
          </cell>
          <cell r="J49">
            <v>1968.75</v>
          </cell>
          <cell r="K49">
            <v>1820</v>
          </cell>
          <cell r="L49">
            <v>1050</v>
          </cell>
          <cell r="M49">
            <v>2062.5</v>
          </cell>
          <cell r="N49">
            <v>1325</v>
          </cell>
          <cell r="O49">
            <v>2756.25</v>
          </cell>
          <cell r="P49">
            <v>3712.5</v>
          </cell>
          <cell r="Q49">
            <v>2471.4375</v>
          </cell>
          <cell r="R49">
            <v>2471.4375</v>
          </cell>
          <cell r="S49">
            <v>1202.5999999999999</v>
          </cell>
          <cell r="T49">
            <v>601.29999999999995</v>
          </cell>
          <cell r="U49">
            <v>1706.25</v>
          </cell>
          <cell r="V49">
            <v>2471.4375</v>
          </cell>
          <cell r="W49">
            <v>1820</v>
          </cell>
        </row>
        <row r="50">
          <cell r="E50">
            <v>12374.75</v>
          </cell>
          <cell r="F50">
            <v>19150.7</v>
          </cell>
          <cell r="G50">
            <v>9679.75</v>
          </cell>
          <cell r="H50">
            <v>8981.9</v>
          </cell>
          <cell r="I50">
            <v>9765.4</v>
          </cell>
          <cell r="J50">
            <v>15454.75</v>
          </cell>
          <cell r="K50">
            <v>12470.8</v>
          </cell>
          <cell r="L50">
            <v>15994</v>
          </cell>
          <cell r="M50">
            <v>12420.85</v>
          </cell>
          <cell r="N50">
            <v>8596</v>
          </cell>
          <cell r="O50">
            <v>8974.25</v>
          </cell>
          <cell r="P50">
            <v>25222.5</v>
          </cell>
          <cell r="Q50">
            <v>18962.4375</v>
          </cell>
          <cell r="R50">
            <v>21022.4375</v>
          </cell>
          <cell r="S50">
            <v>7934</v>
          </cell>
          <cell r="T50">
            <v>7134.8</v>
          </cell>
          <cell r="U50">
            <v>8729.75</v>
          </cell>
          <cell r="V50">
            <v>7147.4375</v>
          </cell>
          <cell r="W50">
            <v>13010.8</v>
          </cell>
        </row>
        <row r="51">
          <cell r="E51">
            <v>35301.75</v>
          </cell>
          <cell r="F51">
            <v>50311.7</v>
          </cell>
          <cell r="G51">
            <v>38218.25</v>
          </cell>
          <cell r="H51">
            <v>22016.9</v>
          </cell>
          <cell r="I51">
            <v>39809.4</v>
          </cell>
          <cell r="J51">
            <v>37088.25</v>
          </cell>
          <cell r="K51">
            <v>32212.799999999999</v>
          </cell>
          <cell r="L51">
            <v>31891</v>
          </cell>
          <cell r="M51">
            <v>30172</v>
          </cell>
          <cell r="N51">
            <v>17968.5</v>
          </cell>
          <cell r="O51">
            <v>17999.349999999999</v>
          </cell>
          <cell r="P51">
            <v>69163.5</v>
          </cell>
          <cell r="Q51">
            <v>60097.0625</v>
          </cell>
          <cell r="R51">
            <v>59945.0625</v>
          </cell>
          <cell r="S51">
            <v>20230.900000000001</v>
          </cell>
          <cell r="T51">
            <v>25841.3</v>
          </cell>
          <cell r="U51">
            <v>18948.5</v>
          </cell>
          <cell r="V51">
            <v>13996.0625</v>
          </cell>
          <cell r="W51">
            <v>34018.800000000003</v>
          </cell>
        </row>
        <row r="52">
          <cell r="E52">
            <v>35000</v>
          </cell>
          <cell r="F52">
            <v>45000</v>
          </cell>
          <cell r="G52">
            <v>38000</v>
          </cell>
          <cell r="H52">
            <v>22000</v>
          </cell>
          <cell r="I52">
            <v>40000</v>
          </cell>
          <cell r="J52">
            <v>37000</v>
          </cell>
          <cell r="K52">
            <v>32000</v>
          </cell>
          <cell r="L52">
            <v>32000</v>
          </cell>
          <cell r="M52">
            <v>30000</v>
          </cell>
          <cell r="N52">
            <v>18000</v>
          </cell>
          <cell r="O52">
            <v>18000</v>
          </cell>
          <cell r="P52">
            <v>69000</v>
          </cell>
          <cell r="Q52">
            <v>60000</v>
          </cell>
          <cell r="R52">
            <v>60000</v>
          </cell>
          <cell r="S52">
            <v>20000</v>
          </cell>
          <cell r="T52">
            <v>26000</v>
          </cell>
          <cell r="U52">
            <v>19000</v>
          </cell>
          <cell r="V52">
            <v>15000</v>
          </cell>
          <cell r="W52">
            <v>34000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Gerencias"/>
      <sheetName val="P"/>
      <sheetName val="P S"/>
      <sheetName val="C.C."/>
      <sheetName val="Fuentes"/>
      <sheetName val="Programas"/>
      <sheetName val="BVTL"/>
      <sheetName val="PBQ"/>
      <sheetName val="Rub Inv"/>
      <sheetName val="3"/>
      <sheetName val="Proy Empr"/>
      <sheetName val="S.H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H35"/>
  <sheetViews>
    <sheetView topLeftCell="A19" zoomScaleNormal="100" workbookViewId="0">
      <selection activeCell="B10" sqref="B10"/>
    </sheetView>
  </sheetViews>
  <sheetFormatPr baseColWidth="10" defaultColWidth="12" defaultRowHeight="11.25"/>
  <cols>
    <col min="2" max="2" width="62.33203125" customWidth="1"/>
    <col min="3" max="3" width="23.33203125" customWidth="1"/>
    <col min="4" max="5" width="20.5" customWidth="1"/>
    <col min="6" max="6" width="21.6640625" customWidth="1"/>
    <col min="7" max="7" width="22.5" customWidth="1"/>
    <col min="8" max="8" width="16.33203125" customWidth="1"/>
    <col min="9" max="9" width="18.33203125" customWidth="1"/>
  </cols>
  <sheetData>
    <row r="2" spans="2:7" ht="15.75">
      <c r="B2" s="115" t="s">
        <v>488</v>
      </c>
      <c r="C2" s="116"/>
      <c r="D2" s="116"/>
      <c r="E2" s="116"/>
    </row>
    <row r="3" spans="2:7" ht="15.75">
      <c r="B3" s="115"/>
      <c r="C3" s="116"/>
      <c r="D3" s="116"/>
      <c r="E3" s="116"/>
    </row>
    <row r="6" spans="2:7" ht="12">
      <c r="B6" s="509" t="s">
        <v>487</v>
      </c>
      <c r="C6" s="509"/>
      <c r="D6" s="509"/>
      <c r="E6" s="509"/>
      <c r="F6" s="509"/>
      <c r="G6" s="509"/>
    </row>
    <row r="7" spans="2:7" ht="24">
      <c r="B7" s="117" t="s">
        <v>498</v>
      </c>
      <c r="C7" s="118" t="s">
        <v>491</v>
      </c>
      <c r="D7" s="118" t="s">
        <v>496</v>
      </c>
      <c r="E7" s="118" t="s">
        <v>497</v>
      </c>
      <c r="F7" s="118" t="s">
        <v>494</v>
      </c>
      <c r="G7" s="118" t="s">
        <v>243</v>
      </c>
    </row>
    <row r="8" spans="2:7" ht="24">
      <c r="B8" s="122" t="s">
        <v>489</v>
      </c>
      <c r="C8" s="123">
        <f>+'PPTO REDES ACUEDUCTO'!F179</f>
        <v>0</v>
      </c>
      <c r="D8" s="123" t="e">
        <f>+'PPTO REDES ACUEDUCTO'!#REF!</f>
        <v>#REF!</v>
      </c>
      <c r="E8" s="123"/>
      <c r="F8" s="124">
        <f>+'PPTO REDES ACUEDUCTO'!F182</f>
        <v>0</v>
      </c>
      <c r="G8" s="125" t="e">
        <f>SUM(C8:F8)</f>
        <v>#REF!</v>
      </c>
    </row>
    <row r="9" spans="2:7" ht="36">
      <c r="B9" s="131" t="s">
        <v>490</v>
      </c>
      <c r="C9" s="139">
        <f>+'PPTO REDES ACUEDUCTO'!F186</f>
        <v>0</v>
      </c>
      <c r="D9" s="139"/>
      <c r="E9" s="139">
        <f>+'PPTO REDES ACUEDUCTO'!F187</f>
        <v>0</v>
      </c>
      <c r="F9" s="140"/>
      <c r="G9" s="141">
        <f>SUM(C9:F9)</f>
        <v>0</v>
      </c>
    </row>
    <row r="10" spans="2:7" ht="18" customHeight="1">
      <c r="B10" s="126" t="s">
        <v>499</v>
      </c>
      <c r="C10" s="127" t="e">
        <f>+'PPTO PASOS ESPCECIALES'!#REF!</f>
        <v>#REF!</v>
      </c>
      <c r="D10" s="127" t="e">
        <f>+C10*0.19</f>
        <v>#REF!</v>
      </c>
      <c r="E10" s="127"/>
      <c r="F10" s="128" t="e">
        <f>+C10*0.05</f>
        <v>#REF!</v>
      </c>
      <c r="G10" s="141" t="e">
        <f>SUM(C10:F10)</f>
        <v>#REF!</v>
      </c>
    </row>
    <row r="11" spans="2:7" ht="21.4" customHeight="1">
      <c r="B11" s="142" t="s">
        <v>495</v>
      </c>
      <c r="C11" s="143" t="e">
        <f>SUM(C8:C10)</f>
        <v>#REF!</v>
      </c>
      <c r="D11" s="143" t="e">
        <f t="shared" ref="D11:G11" si="0">SUM(D8:D10)</f>
        <v>#REF!</v>
      </c>
      <c r="E11" s="143">
        <f t="shared" si="0"/>
        <v>0</v>
      </c>
      <c r="F11" s="143" t="e">
        <f t="shared" si="0"/>
        <v>#REF!</v>
      </c>
      <c r="G11" s="143" t="e">
        <f t="shared" si="0"/>
        <v>#REF!</v>
      </c>
    </row>
    <row r="12" spans="2:7" ht="24">
      <c r="B12" s="122" t="s">
        <v>492</v>
      </c>
      <c r="C12" s="129" t="e">
        <f>+#REF!</f>
        <v>#REF!</v>
      </c>
      <c r="D12" s="130" t="e">
        <f>+#REF!</f>
        <v>#REF!</v>
      </c>
      <c r="E12" s="130"/>
      <c r="F12" s="130" t="e">
        <f>+#REF!</f>
        <v>#REF!</v>
      </c>
      <c r="G12" s="125" t="e">
        <f>SUM(C12:F12)</f>
        <v>#REF!</v>
      </c>
    </row>
    <row r="13" spans="2:7" ht="24">
      <c r="B13" s="131" t="s">
        <v>493</v>
      </c>
      <c r="C13" s="132" t="e">
        <f>+#REF!</f>
        <v>#REF!</v>
      </c>
      <c r="D13" s="133"/>
      <c r="E13" s="133" t="e">
        <f>+#REF!</f>
        <v>#REF!</v>
      </c>
      <c r="F13" s="133"/>
      <c r="G13" s="141" t="e">
        <f>SUM(C13:F13)</f>
        <v>#REF!</v>
      </c>
    </row>
    <row r="14" spans="2:7" ht="21" customHeight="1">
      <c r="B14" s="126" t="s">
        <v>501</v>
      </c>
      <c r="C14" s="127" t="e">
        <f>+#REF!</f>
        <v>#REF!</v>
      </c>
      <c r="D14" s="127" t="e">
        <f>+C14*0.19</f>
        <v>#REF!</v>
      </c>
      <c r="E14" s="127"/>
      <c r="F14" s="128" t="e">
        <f>+C14*0.05</f>
        <v>#REF!</v>
      </c>
      <c r="G14" s="141" t="e">
        <f>SUM(C14:F14)</f>
        <v>#REF!</v>
      </c>
    </row>
    <row r="15" spans="2:7" ht="22.15" customHeight="1">
      <c r="B15" s="142" t="s">
        <v>500</v>
      </c>
      <c r="C15" s="143" t="e">
        <f>SUM(C12:C14)</f>
        <v>#REF!</v>
      </c>
      <c r="D15" s="143" t="e">
        <f t="shared" ref="D15" si="1">SUM(D12:D14)</f>
        <v>#REF!</v>
      </c>
      <c r="E15" s="143" t="e">
        <f t="shared" ref="E15" si="2">SUM(E12:E14)</f>
        <v>#REF!</v>
      </c>
      <c r="F15" s="143" t="e">
        <f t="shared" ref="F15" si="3">SUM(F12:F14)</f>
        <v>#REF!</v>
      </c>
      <c r="G15" s="143" t="e">
        <f t="shared" ref="G15" si="4">SUM(G12:G14)</f>
        <v>#REF!</v>
      </c>
    </row>
    <row r="16" spans="2:7" ht="36">
      <c r="B16" s="131" t="s">
        <v>502</v>
      </c>
      <c r="C16" s="132" t="e">
        <f>+' PPTO OBRAS ELÉCTRICAS BT Y MT'!#REF!+#REF!</f>
        <v>#REF!</v>
      </c>
      <c r="D16" s="133" t="e">
        <f>+C16*0.19</f>
        <v>#REF!</v>
      </c>
      <c r="E16" s="133"/>
      <c r="F16" s="133" t="e">
        <f>+C16*0.05</f>
        <v>#REF!</v>
      </c>
      <c r="G16" s="125" t="e">
        <f>SUM(C16:F16)</f>
        <v>#REF!</v>
      </c>
    </row>
    <row r="17" spans="2:8" ht="36">
      <c r="B17" s="131" t="s">
        <v>503</v>
      </c>
      <c r="C17" s="132" t="e">
        <f>+' PPTO OBRAS ELÉCTRICAS BT Y MT'!#REF!+#REF!</f>
        <v>#REF!</v>
      </c>
      <c r="D17" s="133"/>
      <c r="E17" s="133" t="e">
        <f>+C17*0.1</f>
        <v>#REF!</v>
      </c>
      <c r="F17" s="133"/>
      <c r="G17" s="134" t="e">
        <f>SUM(C17:F17)</f>
        <v>#REF!</v>
      </c>
    </row>
    <row r="18" spans="2:8" ht="27" customHeight="1">
      <c r="B18" s="142" t="s">
        <v>505</v>
      </c>
      <c r="C18" s="143" t="e">
        <f>+C16+C17</f>
        <v>#REF!</v>
      </c>
      <c r="D18" s="143" t="e">
        <f t="shared" ref="D18:G18" si="5">+D16+D17</f>
        <v>#REF!</v>
      </c>
      <c r="E18" s="143" t="e">
        <f t="shared" si="5"/>
        <v>#REF!</v>
      </c>
      <c r="F18" s="143" t="e">
        <f t="shared" si="5"/>
        <v>#REF!</v>
      </c>
      <c r="G18" s="143" t="e">
        <f t="shared" si="5"/>
        <v>#REF!</v>
      </c>
    </row>
    <row r="19" spans="2:8" ht="12">
      <c r="B19" s="135"/>
      <c r="C19" s="136"/>
      <c r="D19" s="137"/>
      <c r="E19" s="137"/>
      <c r="F19" s="137"/>
      <c r="G19" s="138"/>
    </row>
    <row r="20" spans="2:8" ht="20.65" customHeight="1">
      <c r="B20" s="144" t="s">
        <v>504</v>
      </c>
      <c r="C20" s="120" t="e">
        <f>+C11+C15+C18</f>
        <v>#REF!</v>
      </c>
      <c r="D20" s="120" t="e">
        <f t="shared" ref="D20:G20" si="6">+D11+D15+D18</f>
        <v>#REF!</v>
      </c>
      <c r="E20" s="120" t="e">
        <f t="shared" si="6"/>
        <v>#REF!</v>
      </c>
      <c r="F20" s="120" t="e">
        <f t="shared" si="6"/>
        <v>#REF!</v>
      </c>
      <c r="G20" s="120" t="e">
        <f t="shared" si="6"/>
        <v>#REF!</v>
      </c>
    </row>
    <row r="21" spans="2:8">
      <c r="F21" s="113"/>
    </row>
    <row r="22" spans="2:8">
      <c r="F22" s="113"/>
    </row>
    <row r="23" spans="2:8" ht="25.5">
      <c r="B23" s="114" t="s">
        <v>506</v>
      </c>
      <c r="C23" s="121" t="e">
        <f>+G11</f>
        <v>#REF!</v>
      </c>
      <c r="F23" s="113"/>
    </row>
    <row r="24" spans="2:8" ht="25.5">
      <c r="B24" s="114" t="s">
        <v>507</v>
      </c>
      <c r="C24" s="121" t="e">
        <f>+G15</f>
        <v>#REF!</v>
      </c>
      <c r="F24" s="113"/>
    </row>
    <row r="25" spans="2:8" ht="25.5">
      <c r="B25" s="114" t="s">
        <v>505</v>
      </c>
      <c r="C25" s="121" t="e">
        <f>+G18</f>
        <v>#REF!</v>
      </c>
      <c r="F25" s="113"/>
      <c r="H25" s="73"/>
    </row>
    <row r="26" spans="2:8" ht="12.75">
      <c r="B26" s="114"/>
      <c r="C26" s="121"/>
      <c r="F26" s="113"/>
      <c r="H26" s="73"/>
    </row>
    <row r="27" spans="2:8" ht="12.75">
      <c r="B27" s="114"/>
      <c r="C27" s="121"/>
      <c r="F27" s="113"/>
      <c r="H27" s="73"/>
    </row>
    <row r="28" spans="2:8" ht="19.899999999999999" customHeight="1">
      <c r="B28" s="144" t="s">
        <v>504</v>
      </c>
      <c r="C28" s="121" t="e">
        <f>SUM(C23:C27)</f>
        <v>#REF!</v>
      </c>
      <c r="E28" s="113"/>
      <c r="H28" s="73"/>
    </row>
    <row r="30" spans="2:8" ht="26.65" customHeight="1">
      <c r="B30" s="119" t="s">
        <v>508</v>
      </c>
      <c r="C30" s="121">
        <v>15624969536</v>
      </c>
    </row>
    <row r="32" spans="2:8" ht="12.75">
      <c r="C32" s="215" t="e">
        <f>+C30-C28</f>
        <v>#REF!</v>
      </c>
    </row>
    <row r="34" spans="3:3" ht="12.75">
      <c r="C34" s="215">
        <v>-54808312.694501877</v>
      </c>
    </row>
    <row r="35" spans="3:3" ht="12.75">
      <c r="C35" s="215"/>
    </row>
  </sheetData>
  <mergeCells count="1">
    <mergeCell ref="B6:G6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P101"/>
  <sheetViews>
    <sheetView topLeftCell="A73" zoomScaleNormal="100" workbookViewId="0">
      <selection activeCell="F31" sqref="F31"/>
    </sheetView>
  </sheetViews>
  <sheetFormatPr baseColWidth="10" defaultColWidth="12" defaultRowHeight="12"/>
  <cols>
    <col min="1" max="1" width="1.83203125" style="422" customWidth="1"/>
    <col min="2" max="6" width="12" style="422"/>
    <col min="7" max="7" width="16" style="422" bestFit="1" customWidth="1"/>
    <col min="8" max="8" width="12" style="422"/>
    <col min="9" max="9" width="6.6640625" style="422" customWidth="1"/>
    <col min="10" max="10" width="9.83203125" style="422" customWidth="1"/>
    <col min="11" max="11" width="10" style="422" customWidth="1"/>
    <col min="12" max="12" width="30.33203125" style="422" bestFit="1" customWidth="1"/>
    <col min="13" max="13" width="13" style="422" customWidth="1"/>
    <col min="14" max="16384" width="12" style="422"/>
  </cols>
  <sheetData>
    <row r="2" spans="2:16">
      <c r="B2" s="571" t="s">
        <v>1465</v>
      </c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</row>
    <row r="4" spans="2:16" ht="15" customHeight="1">
      <c r="B4" s="423" t="s">
        <v>1466</v>
      </c>
      <c r="L4" s="571" t="s">
        <v>1467</v>
      </c>
      <c r="M4" s="571"/>
      <c r="N4" s="571"/>
      <c r="O4" s="571"/>
      <c r="P4" s="571"/>
    </row>
    <row r="6" spans="2:16" ht="24" customHeight="1">
      <c r="F6" s="571" t="s">
        <v>1468</v>
      </c>
      <c r="G6" s="571"/>
      <c r="H6" s="571"/>
      <c r="I6" s="571"/>
      <c r="L6" s="572" t="s">
        <v>1469</v>
      </c>
      <c r="M6" s="573"/>
      <c r="N6" s="573"/>
      <c r="O6" s="573"/>
      <c r="P6" s="574"/>
    </row>
    <row r="7" spans="2:16">
      <c r="L7" s="424" t="s">
        <v>1470</v>
      </c>
      <c r="M7" s="424" t="s">
        <v>274</v>
      </c>
      <c r="N7" s="424" t="s">
        <v>273</v>
      </c>
      <c r="O7" s="424" t="s">
        <v>300</v>
      </c>
      <c r="P7" s="424" t="s">
        <v>301</v>
      </c>
    </row>
    <row r="8" spans="2:16">
      <c r="F8" s="425" t="s">
        <v>1471</v>
      </c>
      <c r="G8" s="425" t="s">
        <v>1472</v>
      </c>
      <c r="H8" s="426">
        <f>0.8*0.5*0.18</f>
        <v>7.1999999999999995E-2</v>
      </c>
      <c r="I8" s="427" t="s">
        <v>1473</v>
      </c>
      <c r="L8" s="428" t="s">
        <v>1474</v>
      </c>
      <c r="M8" s="429" t="s">
        <v>1475</v>
      </c>
      <c r="N8" s="429" t="s">
        <v>1475</v>
      </c>
      <c r="O8" s="429" t="s">
        <v>1475</v>
      </c>
      <c r="P8" s="429" t="s">
        <v>1475</v>
      </c>
    </row>
    <row r="9" spans="2:16">
      <c r="F9" s="425" t="s">
        <v>1476</v>
      </c>
      <c r="G9" s="425" t="s">
        <v>1477</v>
      </c>
      <c r="H9" s="426">
        <f>0.8*0.5*0.15</f>
        <v>0.06</v>
      </c>
      <c r="I9" s="427" t="s">
        <v>1473</v>
      </c>
      <c r="L9" s="428" t="s">
        <v>1478</v>
      </c>
      <c r="M9" s="429" t="s">
        <v>1475</v>
      </c>
      <c r="N9" s="429" t="s">
        <v>1475</v>
      </c>
      <c r="O9" s="429" t="s">
        <v>1479</v>
      </c>
      <c r="P9" s="429" t="s">
        <v>1479</v>
      </c>
    </row>
    <row r="10" spans="2:16">
      <c r="F10" s="425" t="s">
        <v>1480</v>
      </c>
      <c r="G10" s="425" t="s">
        <v>1481</v>
      </c>
      <c r="H10" s="426">
        <f>1.2*0.15*0.8*2</f>
        <v>0.28799999999999998</v>
      </c>
      <c r="I10" s="427" t="s">
        <v>1473</v>
      </c>
      <c r="L10" s="428" t="s">
        <v>1482</v>
      </c>
      <c r="M10" s="429" t="s">
        <v>1475</v>
      </c>
      <c r="N10" s="429" t="s">
        <v>1475</v>
      </c>
      <c r="O10" s="429" t="s">
        <v>1483</v>
      </c>
      <c r="P10" s="429" t="s">
        <v>1483</v>
      </c>
    </row>
    <row r="11" spans="2:16">
      <c r="F11" s="425" t="s">
        <v>1480</v>
      </c>
      <c r="G11" s="425" t="s">
        <v>1484</v>
      </c>
      <c r="H11" s="426">
        <f>1.2*0.15*0.5*2</f>
        <v>0.18</v>
      </c>
      <c r="I11" s="427" t="s">
        <v>1473</v>
      </c>
      <c r="L11" s="428" t="s">
        <v>1485</v>
      </c>
      <c r="M11" s="429" t="s">
        <v>1475</v>
      </c>
      <c r="N11" s="429" t="s">
        <v>1479</v>
      </c>
      <c r="O11" s="429" t="s">
        <v>1486</v>
      </c>
      <c r="P11" s="429" t="s">
        <v>1486</v>
      </c>
    </row>
    <row r="12" spans="2:16">
      <c r="G12" s="430" t="s">
        <v>243</v>
      </c>
      <c r="H12" s="431">
        <f>SUM(H8:H11)</f>
        <v>0.6</v>
      </c>
      <c r="I12" s="432" t="s">
        <v>1473</v>
      </c>
      <c r="L12" s="428" t="s">
        <v>1487</v>
      </c>
      <c r="M12" s="429" t="s">
        <v>1475</v>
      </c>
      <c r="N12" s="429" t="s">
        <v>1479</v>
      </c>
      <c r="O12" s="429" t="s">
        <v>1483</v>
      </c>
      <c r="P12" s="429" t="s">
        <v>1486</v>
      </c>
    </row>
    <row r="13" spans="2:16">
      <c r="L13" s="428" t="s">
        <v>1488</v>
      </c>
      <c r="M13" s="429" t="s">
        <v>1475</v>
      </c>
      <c r="N13" s="429" t="s">
        <v>1475</v>
      </c>
      <c r="O13" s="429" t="s">
        <v>1475</v>
      </c>
      <c r="P13" s="429" t="s">
        <v>1475</v>
      </c>
    </row>
    <row r="14" spans="2:16">
      <c r="L14" s="428" t="s">
        <v>1489</v>
      </c>
      <c r="M14" s="429" t="s">
        <v>1475</v>
      </c>
      <c r="N14" s="429" t="s">
        <v>1475</v>
      </c>
      <c r="O14" s="429" t="s">
        <v>1475</v>
      </c>
      <c r="P14" s="429" t="s">
        <v>1475</v>
      </c>
    </row>
    <row r="15" spans="2:16">
      <c r="L15" s="428" t="s">
        <v>1490</v>
      </c>
      <c r="M15" s="429" t="s">
        <v>1475</v>
      </c>
      <c r="N15" s="429" t="s">
        <v>1475</v>
      </c>
      <c r="O15" s="429" t="s">
        <v>1479</v>
      </c>
      <c r="P15" s="429" t="s">
        <v>1483</v>
      </c>
    </row>
    <row r="16" spans="2:16">
      <c r="L16" s="428" t="s">
        <v>1491</v>
      </c>
      <c r="M16" s="429" t="s">
        <v>1475</v>
      </c>
      <c r="N16" s="429" t="s">
        <v>1479</v>
      </c>
      <c r="O16" s="429" t="s">
        <v>1486</v>
      </c>
      <c r="P16" s="429" t="s">
        <v>1486</v>
      </c>
    </row>
    <row r="17" spans="2:16">
      <c r="L17" s="433"/>
      <c r="M17" s="434"/>
      <c r="N17" s="434"/>
      <c r="O17" s="434"/>
      <c r="P17" s="434"/>
    </row>
    <row r="18" spans="2:16">
      <c r="L18" s="435"/>
      <c r="M18" s="435"/>
      <c r="N18" s="435"/>
      <c r="O18" s="435"/>
      <c r="P18" s="435"/>
    </row>
    <row r="19" spans="2:16" ht="12" customHeight="1">
      <c r="L19" s="572" t="s">
        <v>1492</v>
      </c>
      <c r="M19" s="573"/>
      <c r="N19" s="573"/>
      <c r="O19" s="574"/>
      <c r="P19" s="435"/>
    </row>
    <row r="20" spans="2:16">
      <c r="L20" s="424" t="s">
        <v>1493</v>
      </c>
      <c r="M20" s="424" t="s">
        <v>1479</v>
      </c>
      <c r="N20" s="424" t="s">
        <v>1494</v>
      </c>
      <c r="O20" s="424" t="s">
        <v>1495</v>
      </c>
      <c r="P20" s="424" t="s">
        <v>1496</v>
      </c>
    </row>
    <row r="21" spans="2:16">
      <c r="L21" s="429" t="s">
        <v>1475</v>
      </c>
      <c r="M21" s="436">
        <v>0.6</v>
      </c>
      <c r="N21" s="436">
        <v>0.3</v>
      </c>
      <c r="O21" s="436">
        <v>0.3</v>
      </c>
      <c r="P21" s="437">
        <f>+M21*N21*O21</f>
        <v>5.3999999999999999E-2</v>
      </c>
    </row>
    <row r="22" spans="2:16">
      <c r="L22" s="429" t="s">
        <v>1479</v>
      </c>
      <c r="M22" s="436">
        <v>0.6</v>
      </c>
      <c r="N22" s="436">
        <v>0.4</v>
      </c>
      <c r="O22" s="436">
        <v>0.4</v>
      </c>
      <c r="P22" s="437">
        <f t="shared" ref="P22:P24" si="0">+M22*N22*O22</f>
        <v>9.6000000000000002E-2</v>
      </c>
    </row>
    <row r="23" spans="2:16">
      <c r="L23" s="429" t="s">
        <v>1483</v>
      </c>
      <c r="M23" s="436">
        <v>0.6</v>
      </c>
      <c r="N23" s="436">
        <v>0.5</v>
      </c>
      <c r="O23" s="436">
        <v>0.6</v>
      </c>
      <c r="P23" s="437">
        <f t="shared" si="0"/>
        <v>0.18</v>
      </c>
    </row>
    <row r="24" spans="2:16">
      <c r="L24" s="429" t="s">
        <v>1486</v>
      </c>
      <c r="M24" s="436">
        <v>0.6</v>
      </c>
      <c r="N24" s="436">
        <v>0.6</v>
      </c>
      <c r="O24" s="436">
        <v>1</v>
      </c>
      <c r="P24" s="437">
        <f t="shared" si="0"/>
        <v>0.36</v>
      </c>
    </row>
    <row r="27" spans="2:16">
      <c r="B27" s="422" t="s">
        <v>1497</v>
      </c>
    </row>
    <row r="91" spans="3:9">
      <c r="C91" s="425"/>
      <c r="D91" s="425"/>
      <c r="E91" s="425"/>
      <c r="F91" s="425"/>
      <c r="G91" s="425"/>
      <c r="H91" s="425"/>
    </row>
    <row r="92" spans="3:9">
      <c r="C92" s="425"/>
      <c r="D92" s="425"/>
      <c r="E92" s="425"/>
      <c r="F92" s="425"/>
      <c r="G92" s="425"/>
      <c r="H92" s="425"/>
    </row>
    <row r="93" spans="3:9">
      <c r="C93" s="425"/>
      <c r="D93" s="425"/>
      <c r="E93" s="438"/>
      <c r="F93" s="438"/>
      <c r="G93" s="438"/>
      <c r="H93" s="438"/>
      <c r="I93" s="439"/>
    </row>
    <row r="94" spans="3:9">
      <c r="E94" s="439"/>
      <c r="F94" s="439"/>
      <c r="G94" s="439"/>
      <c r="H94" s="439"/>
      <c r="I94" s="439"/>
    </row>
    <row r="95" spans="3:9">
      <c r="C95" s="440"/>
      <c r="D95" s="425"/>
      <c r="E95" s="438"/>
      <c r="F95" s="438"/>
      <c r="G95" s="438"/>
      <c r="H95" s="438"/>
      <c r="I95" s="439"/>
    </row>
    <row r="96" spans="3:9">
      <c r="C96" s="425"/>
      <c r="D96" s="425"/>
      <c r="E96" s="438"/>
      <c r="F96" s="438"/>
      <c r="G96" s="438"/>
      <c r="H96" s="438"/>
      <c r="I96" s="439"/>
    </row>
    <row r="97" spans="3:9">
      <c r="C97" s="425"/>
      <c r="D97" s="425"/>
      <c r="E97" s="438"/>
      <c r="F97" s="438"/>
      <c r="G97" s="438"/>
      <c r="H97" s="438"/>
      <c r="I97" s="439"/>
    </row>
    <row r="98" spans="3:9">
      <c r="C98" s="425"/>
      <c r="D98" s="425"/>
      <c r="E98" s="438"/>
      <c r="F98" s="438"/>
      <c r="G98" s="438"/>
      <c r="H98" s="438"/>
      <c r="I98" s="439"/>
    </row>
    <row r="99" spans="3:9">
      <c r="C99" s="425"/>
      <c r="D99" s="425"/>
      <c r="E99" s="438"/>
      <c r="F99" s="438"/>
      <c r="G99" s="438"/>
      <c r="H99" s="438"/>
      <c r="I99" s="439"/>
    </row>
    <row r="100" spans="3:9">
      <c r="C100" s="425"/>
      <c r="D100" s="425"/>
      <c r="E100" s="438"/>
      <c r="F100" s="438"/>
      <c r="G100" s="438"/>
      <c r="H100" s="441"/>
      <c r="I100" s="439"/>
    </row>
    <row r="101" spans="3:9">
      <c r="E101" s="439"/>
      <c r="F101" s="439"/>
      <c r="G101" s="439"/>
      <c r="H101" s="439"/>
      <c r="I101" s="439"/>
    </row>
  </sheetData>
  <mergeCells count="5">
    <mergeCell ref="B2:P2"/>
    <mergeCell ref="L4:P4"/>
    <mergeCell ref="F6:I6"/>
    <mergeCell ref="L6:P6"/>
    <mergeCell ref="L19:O19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1"/>
  <sheetViews>
    <sheetView view="pageBreakPreview" topLeftCell="A34" zoomScale="96" zoomScaleNormal="84" zoomScaleSheetLayoutView="96" zoomScalePageLayoutView="78" workbookViewId="0">
      <selection activeCell="C10" sqref="C10"/>
    </sheetView>
  </sheetViews>
  <sheetFormatPr baseColWidth="10" defaultColWidth="14.6640625" defaultRowHeight="14.25"/>
  <cols>
    <col min="1" max="1" width="10.33203125" style="805" customWidth="1"/>
    <col min="2" max="2" width="64.6640625" style="766" customWidth="1"/>
    <col min="3" max="3" width="9.6640625" style="805" customWidth="1"/>
    <col min="4" max="4" width="13.33203125" style="806" bestFit="1" customWidth="1"/>
    <col min="5" max="5" width="18.6640625" style="786" bestFit="1" customWidth="1"/>
    <col min="6" max="6" width="27.33203125" style="807" customWidth="1"/>
    <col min="7" max="8" width="14.6640625" style="766"/>
    <col min="9" max="9" width="26.33203125" style="766" customWidth="1"/>
    <col min="10" max="16384" width="14.6640625" style="766"/>
  </cols>
  <sheetData>
    <row r="1" spans="1:6" ht="35.25" customHeight="1">
      <c r="A1" s="765" t="s">
        <v>1592</v>
      </c>
      <c r="B1" s="765"/>
      <c r="C1" s="765"/>
      <c r="D1" s="765"/>
      <c r="E1" s="765"/>
      <c r="F1" s="765"/>
    </row>
    <row r="2" spans="1:6" ht="23.25" customHeight="1">
      <c r="A2" s="765"/>
      <c r="B2" s="765"/>
      <c r="C2" s="765"/>
      <c r="D2" s="765"/>
      <c r="E2" s="765"/>
      <c r="F2" s="765"/>
    </row>
    <row r="3" spans="1:6" ht="24" customHeight="1">
      <c r="A3" s="767" t="s">
        <v>1524</v>
      </c>
      <c r="B3" s="767"/>
      <c r="C3" s="767"/>
      <c r="D3" s="767"/>
      <c r="E3" s="767"/>
      <c r="F3" s="767"/>
    </row>
    <row r="4" spans="1:6" ht="24" customHeight="1">
      <c r="A4" s="687" t="s">
        <v>225</v>
      </c>
      <c r="B4" s="688"/>
      <c r="C4" s="688"/>
      <c r="D4" s="688"/>
      <c r="E4" s="688"/>
      <c r="F4" s="688"/>
    </row>
    <row r="5" spans="1:6" ht="26.25" customHeight="1">
      <c r="A5" s="692" t="s">
        <v>1503</v>
      </c>
      <c r="B5" s="692" t="s">
        <v>7</v>
      </c>
      <c r="C5" s="692" t="s">
        <v>5</v>
      </c>
      <c r="D5" s="693" t="s">
        <v>6</v>
      </c>
      <c r="E5" s="694" t="s">
        <v>3</v>
      </c>
      <c r="F5" s="768" t="s">
        <v>465</v>
      </c>
    </row>
    <row r="6" spans="1:6" ht="13.5" customHeight="1">
      <c r="A6" s="696"/>
      <c r="B6" s="696"/>
      <c r="C6" s="696"/>
      <c r="D6" s="697"/>
      <c r="E6" s="698"/>
      <c r="F6" s="769"/>
    </row>
    <row r="7" spans="1:6" ht="20.100000000000001" customHeight="1">
      <c r="A7" s="770">
        <v>1</v>
      </c>
      <c r="B7" s="771" t="s">
        <v>1502</v>
      </c>
      <c r="C7" s="770"/>
      <c r="D7" s="772"/>
      <c r="E7" s="808"/>
      <c r="F7" s="809"/>
    </row>
    <row r="8" spans="1:6" ht="23.25" customHeight="1">
      <c r="A8" s="773">
        <v>1.1000000000000001</v>
      </c>
      <c r="B8" s="774" t="s">
        <v>8</v>
      </c>
      <c r="C8" s="773" t="s">
        <v>2</v>
      </c>
      <c r="D8" s="775">
        <v>1319</v>
      </c>
      <c r="E8" s="810"/>
      <c r="F8" s="809"/>
    </row>
    <row r="9" spans="1:6" ht="21.75" customHeight="1">
      <c r="A9" s="770">
        <v>2</v>
      </c>
      <c r="B9" s="776" t="s">
        <v>378</v>
      </c>
      <c r="C9" s="777"/>
      <c r="D9" s="778"/>
      <c r="E9" s="811"/>
      <c r="F9" s="809"/>
    </row>
    <row r="10" spans="1:6" ht="45.75" customHeight="1">
      <c r="A10" s="773">
        <v>2.1</v>
      </c>
      <c r="B10" s="779" t="s">
        <v>577</v>
      </c>
      <c r="C10" s="777" t="s">
        <v>1</v>
      </c>
      <c r="D10" s="778">
        <v>245</v>
      </c>
      <c r="E10" s="811"/>
      <c r="F10" s="809"/>
    </row>
    <row r="11" spans="1:6" ht="30" customHeight="1">
      <c r="A11" s="773">
        <v>2.2000000000000002</v>
      </c>
      <c r="B11" s="779" t="s">
        <v>578</v>
      </c>
      <c r="C11" s="777" t="s">
        <v>0</v>
      </c>
      <c r="D11" s="778">
        <v>72</v>
      </c>
      <c r="E11" s="811"/>
      <c r="F11" s="809"/>
    </row>
    <row r="12" spans="1:6" ht="30" customHeight="1">
      <c r="A12" s="773">
        <v>2.2999999999999998</v>
      </c>
      <c r="B12" s="779" t="s">
        <v>579</v>
      </c>
      <c r="C12" s="777" t="s">
        <v>0</v>
      </c>
      <c r="D12" s="778">
        <v>72</v>
      </c>
      <c r="E12" s="811"/>
      <c r="F12" s="809"/>
    </row>
    <row r="13" spans="1:6" ht="31.5" customHeight="1">
      <c r="A13" s="773">
        <v>2.4</v>
      </c>
      <c r="B13" s="779" t="s">
        <v>1584</v>
      </c>
      <c r="C13" s="777" t="s">
        <v>1</v>
      </c>
      <c r="D13" s="778">
        <v>245</v>
      </c>
      <c r="E13" s="811"/>
      <c r="F13" s="809"/>
    </row>
    <row r="14" spans="1:6" ht="31.5" customHeight="1">
      <c r="A14" s="770">
        <v>3</v>
      </c>
      <c r="B14" s="776" t="s">
        <v>931</v>
      </c>
      <c r="C14" s="777"/>
      <c r="D14" s="778"/>
      <c r="E14" s="811"/>
      <c r="F14" s="809"/>
    </row>
    <row r="15" spans="1:6" ht="27.75" customHeight="1">
      <c r="A15" s="773">
        <v>3.1</v>
      </c>
      <c r="B15" s="779" t="s">
        <v>379</v>
      </c>
      <c r="C15" s="777" t="s">
        <v>2</v>
      </c>
      <c r="D15" s="778">
        <v>435</v>
      </c>
      <c r="E15" s="811"/>
      <c r="F15" s="809"/>
    </row>
    <row r="16" spans="1:6" ht="25.5" customHeight="1">
      <c r="A16" s="773">
        <v>3.2</v>
      </c>
      <c r="B16" s="779" t="s">
        <v>380</v>
      </c>
      <c r="C16" s="777" t="s">
        <v>1</v>
      </c>
      <c r="D16" s="778">
        <v>95.44</v>
      </c>
      <c r="E16" s="811"/>
      <c r="F16" s="809"/>
    </row>
    <row r="17" spans="1:9" ht="24" customHeight="1">
      <c r="A17" s="773">
        <v>3.3</v>
      </c>
      <c r="B17" s="779" t="s">
        <v>1500</v>
      </c>
      <c r="C17" s="777" t="s">
        <v>1</v>
      </c>
      <c r="D17" s="778">
        <v>205.02</v>
      </c>
      <c r="E17" s="811"/>
      <c r="F17" s="809"/>
    </row>
    <row r="18" spans="1:9" ht="24" customHeight="1">
      <c r="A18" s="773">
        <v>3.4</v>
      </c>
      <c r="B18" s="779" t="s">
        <v>381</v>
      </c>
      <c r="C18" s="777" t="s">
        <v>1</v>
      </c>
      <c r="D18" s="778">
        <v>78.260000000000005</v>
      </c>
      <c r="E18" s="811"/>
      <c r="F18" s="809"/>
    </row>
    <row r="19" spans="1:9" ht="34.5" customHeight="1">
      <c r="A19" s="773">
        <v>3.5</v>
      </c>
      <c r="B19" s="774" t="s">
        <v>22</v>
      </c>
      <c r="C19" s="777" t="s">
        <v>1</v>
      </c>
      <c r="D19" s="778">
        <v>442.31</v>
      </c>
      <c r="E19" s="811"/>
      <c r="F19" s="809"/>
    </row>
    <row r="20" spans="1:9" ht="27.75" customHeight="1">
      <c r="A20" s="770">
        <v>4</v>
      </c>
      <c r="B20" s="776" t="s">
        <v>1526</v>
      </c>
      <c r="C20" s="777"/>
      <c r="D20" s="778"/>
      <c r="E20" s="811"/>
      <c r="F20" s="809"/>
    </row>
    <row r="21" spans="1:9" ht="20.100000000000001" customHeight="1">
      <c r="A21" s="773">
        <v>4.0999999999999996</v>
      </c>
      <c r="B21" s="774" t="s">
        <v>581</v>
      </c>
      <c r="C21" s="777" t="s">
        <v>1</v>
      </c>
      <c r="D21" s="778">
        <v>45.43</v>
      </c>
      <c r="E21" s="811"/>
      <c r="F21" s="809"/>
    </row>
    <row r="22" spans="1:9" ht="20.100000000000001" customHeight="1">
      <c r="A22" s="773">
        <v>4.2</v>
      </c>
      <c r="B22" s="774" t="s">
        <v>1527</v>
      </c>
      <c r="C22" s="777" t="s">
        <v>1</v>
      </c>
      <c r="D22" s="778">
        <v>49.9</v>
      </c>
      <c r="E22" s="811"/>
      <c r="F22" s="809"/>
    </row>
    <row r="23" spans="1:9" ht="20.100000000000001" customHeight="1">
      <c r="A23" s="773">
        <v>4.3</v>
      </c>
      <c r="B23" s="705" t="s">
        <v>1507</v>
      </c>
      <c r="C23" s="777" t="s">
        <v>1</v>
      </c>
      <c r="D23" s="778">
        <v>12</v>
      </c>
      <c r="E23" s="811"/>
      <c r="F23" s="809"/>
    </row>
    <row r="24" spans="1:9" ht="20.100000000000001" customHeight="1">
      <c r="A24" s="770">
        <v>5</v>
      </c>
      <c r="B24" s="709" t="s">
        <v>12</v>
      </c>
      <c r="C24" s="777"/>
      <c r="D24" s="778"/>
      <c r="E24" s="811"/>
      <c r="F24" s="809"/>
    </row>
    <row r="25" spans="1:9" ht="20.100000000000001" customHeight="1">
      <c r="A25" s="773">
        <v>5.0999999999999996</v>
      </c>
      <c r="B25" s="705" t="s">
        <v>1528</v>
      </c>
      <c r="C25" s="777" t="s">
        <v>4</v>
      </c>
      <c r="D25" s="778">
        <v>5199.62</v>
      </c>
      <c r="E25" s="811"/>
      <c r="F25" s="809"/>
    </row>
    <row r="26" spans="1:9" ht="21.75" customHeight="1">
      <c r="A26" s="770">
        <v>6</v>
      </c>
      <c r="B26" s="709" t="s">
        <v>1529</v>
      </c>
      <c r="C26" s="777"/>
      <c r="D26" s="778"/>
      <c r="E26" s="811"/>
      <c r="F26" s="809"/>
    </row>
    <row r="27" spans="1:9" ht="66.75" customHeight="1">
      <c r="A27" s="773">
        <v>6.1</v>
      </c>
      <c r="B27" s="774" t="s">
        <v>1530</v>
      </c>
      <c r="C27" s="777" t="s">
        <v>4</v>
      </c>
      <c r="D27" s="778">
        <v>8440.7799999999988</v>
      </c>
      <c r="E27" s="811"/>
      <c r="F27" s="809"/>
      <c r="G27" s="780"/>
    </row>
    <row r="28" spans="1:9" s="781" customFormat="1" ht="61.5" customHeight="1">
      <c r="A28" s="773">
        <v>6.2</v>
      </c>
      <c r="B28" s="774" t="s">
        <v>1531</v>
      </c>
      <c r="C28" s="777" t="s">
        <v>4</v>
      </c>
      <c r="D28" s="778">
        <v>580</v>
      </c>
      <c r="E28" s="811"/>
      <c r="F28" s="809"/>
    </row>
    <row r="29" spans="1:9" ht="23.25" customHeight="1">
      <c r="A29" s="773">
        <v>6.3</v>
      </c>
      <c r="B29" s="774" t="s">
        <v>1532</v>
      </c>
      <c r="C29" s="777" t="s">
        <v>0</v>
      </c>
      <c r="D29" s="778">
        <v>940</v>
      </c>
      <c r="E29" s="811"/>
      <c r="F29" s="809"/>
    </row>
    <row r="30" spans="1:9" ht="23.25" customHeight="1" thickBot="1">
      <c r="A30" s="732" t="s">
        <v>1521</v>
      </c>
      <c r="B30" s="733"/>
      <c r="C30" s="733"/>
      <c r="D30" s="733"/>
      <c r="E30" s="734"/>
      <c r="F30" s="670"/>
      <c r="I30" s="782"/>
    </row>
    <row r="31" spans="1:9" ht="23.25" customHeight="1">
      <c r="A31" s="783"/>
      <c r="B31" s="784"/>
      <c r="C31" s="784"/>
      <c r="D31" s="784"/>
      <c r="E31" s="784"/>
      <c r="F31" s="785"/>
      <c r="I31" s="786"/>
    </row>
    <row r="32" spans="1:9" ht="23.25" customHeight="1">
      <c r="A32" s="723" t="s">
        <v>226</v>
      </c>
      <c r="B32" s="723"/>
      <c r="C32" s="723"/>
      <c r="D32" s="723"/>
      <c r="E32" s="723"/>
      <c r="F32" s="723"/>
      <c r="I32" s="786"/>
    </row>
    <row r="33" spans="1:6" ht="23.25" customHeight="1">
      <c r="A33" s="692" t="s">
        <v>1503</v>
      </c>
      <c r="B33" s="692" t="s">
        <v>7</v>
      </c>
      <c r="C33" s="692" t="s">
        <v>5</v>
      </c>
      <c r="D33" s="693" t="s">
        <v>6</v>
      </c>
      <c r="E33" s="694" t="s">
        <v>3</v>
      </c>
      <c r="F33" s="768" t="s">
        <v>465</v>
      </c>
    </row>
    <row r="34" spans="1:6" ht="23.25" customHeight="1">
      <c r="A34" s="696"/>
      <c r="B34" s="696"/>
      <c r="C34" s="696"/>
      <c r="D34" s="697"/>
      <c r="E34" s="698"/>
      <c r="F34" s="769"/>
    </row>
    <row r="35" spans="1:6" ht="23.25" customHeight="1">
      <c r="A35" s="770">
        <v>1</v>
      </c>
      <c r="B35" s="776" t="s">
        <v>12</v>
      </c>
      <c r="C35" s="777"/>
      <c r="D35" s="778"/>
      <c r="E35" s="811"/>
      <c r="F35" s="809"/>
    </row>
    <row r="36" spans="1:6" ht="20.100000000000001" customHeight="1">
      <c r="A36" s="773">
        <v>1.1000000000000001</v>
      </c>
      <c r="B36" s="774" t="s">
        <v>580</v>
      </c>
      <c r="C36" s="773" t="s">
        <v>4</v>
      </c>
      <c r="D36" s="775">
        <v>5199.62</v>
      </c>
      <c r="E36" s="811"/>
      <c r="F36" s="809"/>
    </row>
    <row r="37" spans="1:6" ht="20.25" customHeight="1">
      <c r="A37" s="787"/>
      <c r="B37" s="788"/>
      <c r="C37" s="787"/>
      <c r="D37" s="789"/>
      <c r="E37" s="812"/>
      <c r="F37" s="813"/>
    </row>
    <row r="38" spans="1:6" ht="20.100000000000001" customHeight="1">
      <c r="A38" s="732" t="s">
        <v>1522</v>
      </c>
      <c r="B38" s="733"/>
      <c r="C38" s="733"/>
      <c r="D38" s="733"/>
      <c r="E38" s="734"/>
      <c r="F38" s="673"/>
    </row>
    <row r="39" spans="1:6" ht="20.100000000000001" customHeight="1">
      <c r="A39" s="790"/>
      <c r="B39" s="791"/>
      <c r="C39" s="791"/>
      <c r="D39" s="791"/>
      <c r="E39" s="792"/>
      <c r="F39" s="665"/>
    </row>
    <row r="40" spans="1:6" ht="20.100000000000001" customHeight="1">
      <c r="A40" s="793" t="s">
        <v>1521</v>
      </c>
      <c r="B40" s="794"/>
      <c r="C40" s="794"/>
      <c r="D40" s="794"/>
      <c r="E40" s="795"/>
      <c r="F40" s="674"/>
    </row>
    <row r="41" spans="1:6" ht="20.100000000000001" customHeight="1">
      <c r="A41" s="735"/>
      <c r="B41" s="745" t="s">
        <v>1597</v>
      </c>
      <c r="C41" s="676"/>
      <c r="D41" s="746" t="s">
        <v>1596</v>
      </c>
      <c r="E41" s="747"/>
      <c r="F41" s="814"/>
    </row>
    <row r="42" spans="1:6" ht="20.100000000000001" customHeight="1">
      <c r="A42" s="735"/>
      <c r="B42" s="745" t="s">
        <v>1594</v>
      </c>
      <c r="C42" s="676"/>
      <c r="D42" s="746" t="s">
        <v>1596</v>
      </c>
      <c r="E42" s="796"/>
      <c r="F42" s="814"/>
    </row>
    <row r="43" spans="1:6" ht="20.100000000000001" customHeight="1">
      <c r="A43" s="735"/>
      <c r="B43" s="745" t="s">
        <v>1595</v>
      </c>
      <c r="C43" s="676"/>
      <c r="D43" s="746" t="s">
        <v>1596</v>
      </c>
      <c r="E43" s="796"/>
      <c r="F43" s="814"/>
    </row>
    <row r="44" spans="1:6" ht="20.100000000000001" customHeight="1">
      <c r="A44" s="735"/>
      <c r="B44" s="745" t="s">
        <v>1234</v>
      </c>
      <c r="C44" s="748">
        <v>19</v>
      </c>
      <c r="D44" s="749" t="s">
        <v>1596</v>
      </c>
      <c r="E44" s="797"/>
      <c r="F44" s="815"/>
    </row>
    <row r="45" spans="1:6" ht="20.100000000000001" customHeight="1">
      <c r="A45" s="738"/>
      <c r="B45" s="740"/>
      <c r="C45" s="751" t="s">
        <v>304</v>
      </c>
      <c r="D45" s="798"/>
      <c r="E45" s="799"/>
      <c r="F45" s="677"/>
    </row>
    <row r="46" spans="1:6" ht="20.100000000000001" customHeight="1">
      <c r="A46" s="800"/>
      <c r="B46" s="801"/>
      <c r="C46" s="801"/>
      <c r="D46" s="801"/>
      <c r="E46" s="802"/>
      <c r="F46" s="677"/>
    </row>
    <row r="47" spans="1:6" ht="20.100000000000001" customHeight="1">
      <c r="A47" s="738"/>
      <c r="B47" s="740"/>
      <c r="C47" s="751" t="str">
        <f>A38</f>
        <v>SUBTOTAL COSTO DIRECTO SUMINISTROS</v>
      </c>
      <c r="D47" s="798"/>
      <c r="E47" s="799"/>
      <c r="F47" s="677"/>
    </row>
    <row r="48" spans="1:6" ht="20.100000000000001" customHeight="1">
      <c r="A48" s="738"/>
      <c r="B48" s="745" t="s">
        <v>303</v>
      </c>
      <c r="C48" s="676"/>
      <c r="D48" s="746" t="s">
        <v>1596</v>
      </c>
      <c r="E48" s="747"/>
      <c r="F48" s="678"/>
    </row>
    <row r="49" spans="1:6" ht="20.100000000000001" customHeight="1">
      <c r="A49" s="738"/>
      <c r="B49" s="739"/>
      <c r="C49" s="755" t="s">
        <v>1533</v>
      </c>
      <c r="D49" s="803"/>
      <c r="E49" s="804"/>
      <c r="F49" s="677"/>
    </row>
    <row r="50" spans="1:6" ht="20.100000000000001" customHeight="1">
      <c r="A50" s="800"/>
      <c r="B50" s="801"/>
      <c r="C50" s="801"/>
      <c r="D50" s="801"/>
      <c r="E50" s="802"/>
      <c r="F50" s="677"/>
    </row>
    <row r="51" spans="1:6" ht="20.100000000000001" customHeight="1">
      <c r="A51" s="732" t="s">
        <v>1589</v>
      </c>
      <c r="B51" s="733"/>
      <c r="C51" s="733" t="s">
        <v>305</v>
      </c>
      <c r="D51" s="733"/>
      <c r="E51" s="734"/>
      <c r="F51" s="673"/>
    </row>
  </sheetData>
  <sheetProtection algorithmName="SHA-512" hashValue="c4x5HQAGiuPT5TEew2Gj1dkz5NF3qUQLrr3gzEjpEHMTN7/37XVaZIZx9fpl9QUSdvaEJJ5A0kptt6ETOuauVQ==" saltValue="tGxQ+Pwau9r2bAMrmSGAfA==" spinCount="100000" sheet="1" formatCells="0" formatColumns="0" formatRows="0" insertColumns="0" insertRows="0" insertHyperlinks="0" deleteColumns="0" deleteRows="0" sort="0" autoFilter="0" pivotTables="0"/>
  <mergeCells count="27">
    <mergeCell ref="A51:E51"/>
    <mergeCell ref="A39:E39"/>
    <mergeCell ref="A40:E40"/>
    <mergeCell ref="D45:E45"/>
    <mergeCell ref="A46:E46"/>
    <mergeCell ref="D47:E47"/>
    <mergeCell ref="D49:E49"/>
    <mergeCell ref="A50:E50"/>
    <mergeCell ref="A1:F2"/>
    <mergeCell ref="A3:F3"/>
    <mergeCell ref="A4:F4"/>
    <mergeCell ref="A5:A6"/>
    <mergeCell ref="B5:B6"/>
    <mergeCell ref="C5:C6"/>
    <mergeCell ref="D5:D6"/>
    <mergeCell ref="E5:E6"/>
    <mergeCell ref="F5:F6"/>
    <mergeCell ref="A32:F32"/>
    <mergeCell ref="A38:E38"/>
    <mergeCell ref="A30:E30"/>
    <mergeCell ref="A31:F31"/>
    <mergeCell ref="A33:A34"/>
    <mergeCell ref="B33:B34"/>
    <mergeCell ref="C33:C34"/>
    <mergeCell ref="D33:D34"/>
    <mergeCell ref="E33:E34"/>
    <mergeCell ref="F33:F34"/>
  </mergeCell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144"/>
  <sheetViews>
    <sheetView topLeftCell="A2" zoomScaleNormal="100" workbookViewId="0">
      <pane ySplit="1425" topLeftCell="A133" activePane="bottomLeft"/>
      <selection activeCell="H139" sqref="H139"/>
      <selection pane="bottomLeft" activeCell="H139" sqref="H139"/>
    </sheetView>
  </sheetViews>
  <sheetFormatPr baseColWidth="10" defaultRowHeight="11.25"/>
  <cols>
    <col min="1" max="1" width="10.33203125" customWidth="1"/>
    <col min="4" max="4" width="6.6640625" customWidth="1"/>
    <col min="5" max="5" width="7" customWidth="1"/>
    <col min="6" max="6" width="7.33203125" customWidth="1"/>
    <col min="7" max="7" width="6.6640625" customWidth="1"/>
    <col min="16" max="16" width="12.33203125" customWidth="1"/>
    <col min="17" max="17" width="6.5" customWidth="1"/>
    <col min="18" max="18" width="6.33203125" customWidth="1"/>
    <col min="19" max="19" width="7" customWidth="1"/>
    <col min="20" max="20" width="6.6640625" customWidth="1"/>
    <col min="21" max="21" width="6.33203125" customWidth="1"/>
    <col min="22" max="22" width="7.33203125" customWidth="1"/>
    <col min="25" max="25" width="14" style="33" customWidth="1"/>
    <col min="26" max="26" width="14.5" customWidth="1"/>
    <col min="27" max="27" width="15.33203125" style="104" customWidth="1"/>
    <col min="28" max="28" width="10.6640625" style="105"/>
    <col min="29" max="29" width="14.5" style="105" customWidth="1"/>
    <col min="32" max="32" width="14.6640625" bestFit="1" customWidth="1"/>
  </cols>
  <sheetData>
    <row r="1" spans="1:32" ht="33.75">
      <c r="A1" s="643" t="s">
        <v>333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4"/>
      <c r="AD1" s="644"/>
      <c r="AE1" s="644"/>
      <c r="AF1" s="645"/>
    </row>
    <row r="2" spans="1:32" s="48" customFormat="1" ht="12">
      <c r="A2" s="646" t="s">
        <v>334</v>
      </c>
      <c r="B2" s="647" t="s">
        <v>335</v>
      </c>
      <c r="C2" s="648" t="s">
        <v>336</v>
      </c>
      <c r="D2" s="648" t="s">
        <v>337</v>
      </c>
      <c r="E2" s="648"/>
      <c r="F2" s="648"/>
      <c r="G2" s="648"/>
      <c r="H2" s="649" t="s">
        <v>338</v>
      </c>
      <c r="I2" s="649"/>
      <c r="J2" s="649"/>
      <c r="K2" s="649"/>
      <c r="L2" s="647" t="s">
        <v>339</v>
      </c>
      <c r="M2" s="647" t="s">
        <v>340</v>
      </c>
      <c r="N2" s="647" t="s">
        <v>341</v>
      </c>
      <c r="O2" s="647" t="s">
        <v>342</v>
      </c>
      <c r="P2" s="647" t="s">
        <v>343</v>
      </c>
      <c r="Q2" s="649" t="s">
        <v>344</v>
      </c>
      <c r="R2" s="649"/>
      <c r="S2" s="649"/>
      <c r="T2" s="649"/>
      <c r="U2" s="649"/>
      <c r="V2" s="649"/>
      <c r="W2" s="650" t="s">
        <v>345</v>
      </c>
      <c r="X2" s="650" t="s">
        <v>346</v>
      </c>
      <c r="Y2" s="650" t="s">
        <v>347</v>
      </c>
      <c r="Z2" s="648" t="s">
        <v>348</v>
      </c>
      <c r="AA2" s="640" t="s">
        <v>349</v>
      </c>
      <c r="AB2" s="641" t="s">
        <v>350</v>
      </c>
      <c r="AC2" s="642" t="s">
        <v>351</v>
      </c>
      <c r="AD2" s="650" t="s">
        <v>352</v>
      </c>
      <c r="AE2" s="648" t="s">
        <v>353</v>
      </c>
      <c r="AF2" s="651" t="s">
        <v>354</v>
      </c>
    </row>
    <row r="3" spans="1:32" s="48" customFormat="1" ht="18" customHeight="1">
      <c r="A3" s="646"/>
      <c r="B3" s="647"/>
      <c r="C3" s="648"/>
      <c r="D3" s="648"/>
      <c r="E3" s="648"/>
      <c r="F3" s="648"/>
      <c r="G3" s="648"/>
      <c r="H3" s="647" t="s">
        <v>355</v>
      </c>
      <c r="I3" s="647"/>
      <c r="J3" s="647"/>
      <c r="K3" s="647"/>
      <c r="L3" s="647"/>
      <c r="M3" s="647"/>
      <c r="N3" s="647"/>
      <c r="O3" s="647"/>
      <c r="P3" s="647"/>
      <c r="Q3" s="649" t="s">
        <v>356</v>
      </c>
      <c r="R3" s="649"/>
      <c r="S3" s="649"/>
      <c r="T3" s="649"/>
      <c r="U3" s="649"/>
      <c r="V3" s="649"/>
      <c r="W3" s="650"/>
      <c r="X3" s="650"/>
      <c r="Y3" s="650"/>
      <c r="Z3" s="648"/>
      <c r="AA3" s="640"/>
      <c r="AB3" s="641"/>
      <c r="AC3" s="642"/>
      <c r="AD3" s="650"/>
      <c r="AE3" s="648"/>
      <c r="AF3" s="651"/>
    </row>
    <row r="4" spans="1:32" s="48" customFormat="1" ht="25.5" customHeight="1">
      <c r="A4" s="646"/>
      <c r="B4" s="647"/>
      <c r="C4" s="648"/>
      <c r="D4" s="49">
        <v>1</v>
      </c>
      <c r="E4" s="49">
        <v>2</v>
      </c>
      <c r="F4" s="49">
        <v>3</v>
      </c>
      <c r="G4" s="49">
        <v>4</v>
      </c>
      <c r="H4" s="50" t="s">
        <v>357</v>
      </c>
      <c r="I4" s="50" t="s">
        <v>358</v>
      </c>
      <c r="J4" s="50" t="s">
        <v>359</v>
      </c>
      <c r="K4" s="50" t="s">
        <v>360</v>
      </c>
      <c r="L4" s="647"/>
      <c r="M4" s="647"/>
      <c r="N4" s="647"/>
      <c r="O4" s="647"/>
      <c r="P4" s="647"/>
      <c r="Q4" s="50">
        <v>2.5</v>
      </c>
      <c r="R4" s="50">
        <v>3</v>
      </c>
      <c r="S4" s="50">
        <v>4</v>
      </c>
      <c r="T4" s="50">
        <v>6</v>
      </c>
      <c r="U4" s="50">
        <v>10</v>
      </c>
      <c r="V4" s="50">
        <v>12</v>
      </c>
      <c r="W4" s="650"/>
      <c r="X4" s="650"/>
      <c r="Y4" s="650"/>
      <c r="Z4" s="648"/>
      <c r="AA4" s="640"/>
      <c r="AB4" s="641"/>
      <c r="AC4" s="642"/>
      <c r="AD4" s="650"/>
      <c r="AE4" s="648"/>
      <c r="AF4" s="651"/>
    </row>
    <row r="5" spans="1:32" ht="15.75">
      <c r="A5" s="51">
        <v>1</v>
      </c>
      <c r="B5" s="52">
        <v>15</v>
      </c>
      <c r="C5" s="53">
        <v>1</v>
      </c>
      <c r="D5" s="53">
        <v>12</v>
      </c>
      <c r="E5" s="53"/>
      <c r="F5" s="53"/>
      <c r="G5" s="53"/>
      <c r="H5" s="53"/>
      <c r="I5" s="53"/>
      <c r="J5" s="53"/>
      <c r="K5" s="53"/>
      <c r="L5" s="53"/>
      <c r="M5" s="53" t="s">
        <v>361</v>
      </c>
      <c r="N5" s="53"/>
      <c r="O5" s="53"/>
      <c r="P5" s="54"/>
      <c r="Q5" s="34"/>
      <c r="R5" s="34"/>
      <c r="S5" s="34"/>
      <c r="T5" s="34"/>
      <c r="U5" s="34"/>
      <c r="V5" s="34">
        <v>15</v>
      </c>
      <c r="W5" s="34"/>
      <c r="X5" s="34"/>
      <c r="Y5" s="35">
        <f>(S5*0.151)+(V5*0.39)</f>
        <v>5.8500000000000005</v>
      </c>
      <c r="Z5" s="34"/>
      <c r="AA5" s="55">
        <f>((Q5+R5)*0.8*0.4)+((S5+T5)*1*0.6)+((U5+V5)*1.2*0.9)</f>
        <v>16.2</v>
      </c>
      <c r="AB5" s="56"/>
      <c r="AC5" s="56"/>
      <c r="AD5" s="34"/>
      <c r="AE5" s="34"/>
      <c r="AF5" s="57">
        <f>(V5*20*0.996)+((V5/0.3)*2.8*0.557)</f>
        <v>376.78000000000003</v>
      </c>
    </row>
    <row r="6" spans="1:32" ht="15.4" customHeight="1">
      <c r="A6" s="51">
        <v>2</v>
      </c>
      <c r="B6" s="52">
        <v>9</v>
      </c>
      <c r="C6" s="53">
        <v>1</v>
      </c>
      <c r="D6" s="53">
        <v>4</v>
      </c>
      <c r="E6" s="53"/>
      <c r="F6" s="53"/>
      <c r="G6" s="53"/>
      <c r="H6" s="53"/>
      <c r="I6" s="53"/>
      <c r="J6" s="53"/>
      <c r="K6" s="53"/>
      <c r="L6" s="53"/>
      <c r="M6" s="53" t="s">
        <v>361</v>
      </c>
      <c r="N6" s="53"/>
      <c r="O6" s="53"/>
      <c r="P6" s="54"/>
      <c r="Q6" s="34"/>
      <c r="R6" s="34"/>
      <c r="S6" s="34">
        <v>9</v>
      </c>
      <c r="T6" s="34"/>
      <c r="U6" s="34"/>
      <c r="V6" s="34"/>
      <c r="W6" s="34"/>
      <c r="X6" s="34"/>
      <c r="Y6" s="35">
        <f t="shared" ref="Y6:Y13" si="0">(S6*0.151)+(V6*0.39)</f>
        <v>1.359</v>
      </c>
      <c r="Z6" s="34"/>
      <c r="AA6" s="55">
        <f t="shared" ref="AA6:AA13" si="1">((Q6+R6)*0.8*0.4)+((S6+T6)*1*0.6)+((U6+V6)*1.2*0.9)</f>
        <v>5.3999999999999995</v>
      </c>
      <c r="AB6" s="56"/>
      <c r="AC6" s="56"/>
      <c r="AD6" s="34"/>
      <c r="AE6" s="34"/>
      <c r="AF6" s="57">
        <f>(S6*12*0.996)+((S6/0.3)*1.57*0.557)</f>
        <v>133.80270000000002</v>
      </c>
    </row>
    <row r="7" spans="1:32" ht="15.4" customHeight="1">
      <c r="A7" s="51">
        <v>3</v>
      </c>
      <c r="B7" s="52">
        <v>14</v>
      </c>
      <c r="C7" s="53">
        <v>1</v>
      </c>
      <c r="D7" s="53">
        <v>4</v>
      </c>
      <c r="E7" s="53"/>
      <c r="F7" s="53"/>
      <c r="G7" s="53"/>
      <c r="H7" s="53"/>
      <c r="I7" s="53"/>
      <c r="J7" s="53"/>
      <c r="K7" s="53"/>
      <c r="L7" s="53"/>
      <c r="M7" s="53" t="s">
        <v>361</v>
      </c>
      <c r="N7" s="53"/>
      <c r="O7" s="53"/>
      <c r="P7" s="54"/>
      <c r="Q7" s="34"/>
      <c r="R7" s="34"/>
      <c r="S7" s="34">
        <v>14</v>
      </c>
      <c r="T7" s="34"/>
      <c r="U7" s="34"/>
      <c r="V7" s="34"/>
      <c r="W7" s="34"/>
      <c r="X7" s="34"/>
      <c r="Y7" s="35">
        <f t="shared" si="0"/>
        <v>2.1139999999999999</v>
      </c>
      <c r="Z7" s="34"/>
      <c r="AA7" s="55">
        <f t="shared" si="1"/>
        <v>8.4</v>
      </c>
      <c r="AB7" s="56"/>
      <c r="AC7" s="56"/>
      <c r="AD7" s="34"/>
      <c r="AE7" s="34"/>
      <c r="AF7" s="57">
        <f t="shared" ref="AF7:AF13" si="2">(S7*12*0.996)+((S7/0.3)*1.57*0.557)</f>
        <v>208.13753333333335</v>
      </c>
    </row>
    <row r="8" spans="1:32" ht="15.75">
      <c r="A8" s="51">
        <v>6</v>
      </c>
      <c r="B8" s="52">
        <v>25</v>
      </c>
      <c r="C8" s="53">
        <v>1</v>
      </c>
      <c r="D8" s="53">
        <v>12</v>
      </c>
      <c r="E8" s="53">
        <v>12</v>
      </c>
      <c r="F8" s="53">
        <v>12</v>
      </c>
      <c r="G8" s="53">
        <v>4</v>
      </c>
      <c r="H8" s="53"/>
      <c r="I8" s="53"/>
      <c r="J8" s="53"/>
      <c r="K8" s="53"/>
      <c r="L8" s="53"/>
      <c r="M8" s="53" t="s">
        <v>361</v>
      </c>
      <c r="N8" s="53"/>
      <c r="O8" s="53"/>
      <c r="P8" s="54"/>
      <c r="Q8" s="34"/>
      <c r="R8" s="34"/>
      <c r="S8" s="34">
        <v>25</v>
      </c>
      <c r="T8" s="34"/>
      <c r="U8" s="34"/>
      <c r="V8" s="34">
        <v>75</v>
      </c>
      <c r="W8" s="34"/>
      <c r="X8" s="34"/>
      <c r="Y8" s="35">
        <f>25*0.54</f>
        <v>13.5</v>
      </c>
      <c r="Z8" s="34"/>
      <c r="AA8" s="55">
        <f t="shared" si="1"/>
        <v>96</v>
      </c>
      <c r="AB8" s="56"/>
      <c r="AC8" s="56"/>
      <c r="AD8" s="34"/>
      <c r="AE8" s="34"/>
      <c r="AF8" s="57">
        <f>(B8*26*0.996)+((B8/0.3)*4*0.557)</f>
        <v>833.06666666666672</v>
      </c>
    </row>
    <row r="9" spans="1:32" ht="15.75">
      <c r="A9" s="51">
        <v>8</v>
      </c>
      <c r="B9" s="52">
        <v>20</v>
      </c>
      <c r="C9" s="53">
        <v>1</v>
      </c>
      <c r="D9" s="53">
        <v>4</v>
      </c>
      <c r="E9" s="53"/>
      <c r="F9" s="53"/>
      <c r="G9" s="53"/>
      <c r="H9" s="53"/>
      <c r="I9" s="53"/>
      <c r="J9" s="53"/>
      <c r="K9" s="53"/>
      <c r="L9" s="53"/>
      <c r="M9" s="53" t="s">
        <v>361</v>
      </c>
      <c r="N9" s="53"/>
      <c r="O9" s="53"/>
      <c r="P9" s="54"/>
      <c r="Q9" s="34"/>
      <c r="R9" s="34"/>
      <c r="S9" s="34">
        <v>20</v>
      </c>
      <c r="T9" s="34"/>
      <c r="U9" s="34"/>
      <c r="V9" s="34"/>
      <c r="W9" s="34"/>
      <c r="X9" s="34"/>
      <c r="Y9" s="35">
        <f t="shared" si="0"/>
        <v>3.02</v>
      </c>
      <c r="Z9" s="34"/>
      <c r="AA9" s="55">
        <f t="shared" si="1"/>
        <v>12</v>
      </c>
      <c r="AB9" s="56"/>
      <c r="AC9" s="56"/>
      <c r="AD9" s="34"/>
      <c r="AE9" s="34"/>
      <c r="AF9" s="57">
        <f t="shared" si="2"/>
        <v>297.33933333333334</v>
      </c>
    </row>
    <row r="10" spans="1:32" ht="15.75">
      <c r="A10" s="51">
        <v>9</v>
      </c>
      <c r="B10" s="52">
        <v>21</v>
      </c>
      <c r="C10" s="53">
        <v>1</v>
      </c>
      <c r="D10" s="53">
        <v>4</v>
      </c>
      <c r="E10" s="53"/>
      <c r="F10" s="53"/>
      <c r="G10" s="53"/>
      <c r="H10" s="53"/>
      <c r="I10" s="53"/>
      <c r="J10" s="53"/>
      <c r="K10" s="53"/>
      <c r="L10" s="53"/>
      <c r="M10" s="53" t="s">
        <v>361</v>
      </c>
      <c r="N10" s="53"/>
      <c r="O10" s="53"/>
      <c r="P10" s="54"/>
      <c r="Q10" s="34"/>
      <c r="R10" s="34"/>
      <c r="S10" s="34">
        <v>21</v>
      </c>
      <c r="T10" s="34"/>
      <c r="U10" s="34"/>
      <c r="V10" s="34"/>
      <c r="W10" s="34"/>
      <c r="X10" s="34"/>
      <c r="Y10" s="35">
        <f t="shared" si="0"/>
        <v>3.1709999999999998</v>
      </c>
      <c r="Z10" s="34"/>
      <c r="AA10" s="55">
        <f t="shared" si="1"/>
        <v>12.6</v>
      </c>
      <c r="AB10" s="56"/>
      <c r="AC10" s="56"/>
      <c r="AD10" s="34"/>
      <c r="AE10" s="34"/>
      <c r="AF10" s="57">
        <f t="shared" si="2"/>
        <v>312.2063</v>
      </c>
    </row>
    <row r="11" spans="1:32" ht="15.75">
      <c r="A11" s="51">
        <v>12</v>
      </c>
      <c r="B11" s="52">
        <v>5</v>
      </c>
      <c r="C11" s="53">
        <v>1</v>
      </c>
      <c r="D11" s="53">
        <v>4</v>
      </c>
      <c r="E11" s="53"/>
      <c r="F11" s="53"/>
      <c r="G11" s="53"/>
      <c r="H11" s="53"/>
      <c r="I11" s="53"/>
      <c r="J11" s="53"/>
      <c r="K11" s="53"/>
      <c r="L11" s="53"/>
      <c r="M11" s="53" t="s">
        <v>361</v>
      </c>
      <c r="N11" s="53"/>
      <c r="O11" s="53"/>
      <c r="P11" s="54"/>
      <c r="Q11" s="34"/>
      <c r="R11" s="34"/>
      <c r="S11" s="34">
        <v>5</v>
      </c>
      <c r="T11" s="34"/>
      <c r="U11" s="34"/>
      <c r="V11" s="34"/>
      <c r="W11" s="34"/>
      <c r="X11" s="34"/>
      <c r="Y11" s="35">
        <f t="shared" si="0"/>
        <v>0.755</v>
      </c>
      <c r="Z11" s="34"/>
      <c r="AA11" s="55">
        <f t="shared" si="1"/>
        <v>3</v>
      </c>
      <c r="AB11" s="56"/>
      <c r="AC11" s="56"/>
      <c r="AD11" s="34"/>
      <c r="AE11" s="34"/>
      <c r="AF11" s="57">
        <f t="shared" si="2"/>
        <v>74.334833333333336</v>
      </c>
    </row>
    <row r="12" spans="1:32" ht="15.75">
      <c r="A12" s="51">
        <v>13</v>
      </c>
      <c r="B12" s="52">
        <v>5</v>
      </c>
      <c r="C12" s="53">
        <v>1</v>
      </c>
      <c r="D12" s="53">
        <v>4</v>
      </c>
      <c r="E12" s="53"/>
      <c r="F12" s="53"/>
      <c r="G12" s="53"/>
      <c r="H12" s="53"/>
      <c r="I12" s="53"/>
      <c r="J12" s="53"/>
      <c r="K12" s="53"/>
      <c r="L12" s="53"/>
      <c r="M12" s="53" t="s">
        <v>361</v>
      </c>
      <c r="N12" s="53"/>
      <c r="O12" s="53"/>
      <c r="P12" s="54"/>
      <c r="Q12" s="34"/>
      <c r="R12" s="34"/>
      <c r="S12" s="34">
        <v>5</v>
      </c>
      <c r="T12" s="34"/>
      <c r="U12" s="34"/>
      <c r="V12" s="34"/>
      <c r="W12" s="34"/>
      <c r="X12" s="34"/>
      <c r="Y12" s="35">
        <f t="shared" si="0"/>
        <v>0.755</v>
      </c>
      <c r="Z12" s="34"/>
      <c r="AA12" s="55">
        <f t="shared" si="1"/>
        <v>3</v>
      </c>
      <c r="AB12" s="56"/>
      <c r="AC12" s="56"/>
      <c r="AD12" s="34"/>
      <c r="AE12" s="34"/>
      <c r="AF12" s="57">
        <f t="shared" si="2"/>
        <v>74.334833333333336</v>
      </c>
    </row>
    <row r="13" spans="1:32" ht="15.75">
      <c r="A13" s="51">
        <v>28</v>
      </c>
      <c r="B13" s="52">
        <v>17</v>
      </c>
      <c r="C13" s="53">
        <v>1</v>
      </c>
      <c r="D13" s="53">
        <v>4</v>
      </c>
      <c r="E13" s="53"/>
      <c r="F13" s="53"/>
      <c r="G13" s="53"/>
      <c r="H13" s="53"/>
      <c r="I13" s="53"/>
      <c r="J13" s="53"/>
      <c r="K13" s="53"/>
      <c r="L13" s="53"/>
      <c r="M13" s="53" t="s">
        <v>361</v>
      </c>
      <c r="N13" s="53"/>
      <c r="O13" s="53"/>
      <c r="P13" s="54"/>
      <c r="Q13" s="34"/>
      <c r="R13" s="34"/>
      <c r="S13" s="34">
        <v>17</v>
      </c>
      <c r="T13" s="34"/>
      <c r="U13" s="34"/>
      <c r="V13" s="34"/>
      <c r="W13" s="34"/>
      <c r="X13" s="34"/>
      <c r="Y13" s="35">
        <f t="shared" si="0"/>
        <v>2.5669999999999997</v>
      </c>
      <c r="Z13" s="34"/>
      <c r="AA13" s="55">
        <f t="shared" si="1"/>
        <v>10.199999999999999</v>
      </c>
      <c r="AB13" s="56"/>
      <c r="AC13" s="56"/>
      <c r="AD13" s="34"/>
      <c r="AE13" s="34"/>
      <c r="AF13" s="57">
        <f t="shared" si="2"/>
        <v>252.73843333333335</v>
      </c>
    </row>
    <row r="14" spans="1:32" ht="15.75">
      <c r="A14" s="51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630" t="s">
        <v>362</v>
      </c>
      <c r="O14" s="630"/>
      <c r="P14" s="630"/>
      <c r="Q14" s="58">
        <f>SUM(Q5:Q13)</f>
        <v>0</v>
      </c>
      <c r="R14" s="58">
        <f t="shared" ref="R14:V14" si="3">SUM(R5:R13)</f>
        <v>0</v>
      </c>
      <c r="S14" s="58">
        <f t="shared" si="3"/>
        <v>116</v>
      </c>
      <c r="T14" s="58">
        <f t="shared" si="3"/>
        <v>0</v>
      </c>
      <c r="U14" s="58">
        <f t="shared" si="3"/>
        <v>0</v>
      </c>
      <c r="V14" s="58">
        <f t="shared" si="3"/>
        <v>90</v>
      </c>
      <c r="W14" s="34"/>
      <c r="X14" s="34"/>
      <c r="Y14" s="35"/>
      <c r="Z14" s="34"/>
      <c r="AA14" s="55"/>
      <c r="AB14" s="56"/>
      <c r="AC14" s="56"/>
      <c r="AD14" s="34"/>
      <c r="AE14" s="34"/>
      <c r="AF14" s="59"/>
    </row>
    <row r="15" spans="1:32" ht="15.75">
      <c r="A15" s="51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  <c r="Q15" s="631" t="s">
        <v>363</v>
      </c>
      <c r="R15" s="631"/>
      <c r="S15" s="631"/>
      <c r="T15" s="631"/>
      <c r="U15" s="631"/>
      <c r="V15" s="631"/>
      <c r="W15" s="34"/>
      <c r="X15" s="34"/>
      <c r="Y15" s="35"/>
      <c r="Z15" s="34"/>
      <c r="AA15" s="55"/>
      <c r="AB15" s="56"/>
      <c r="AC15" s="56"/>
      <c r="AD15" s="34"/>
      <c r="AE15" s="34"/>
      <c r="AF15" s="59"/>
    </row>
    <row r="16" spans="1:32" ht="15.75">
      <c r="A16" s="51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/>
      <c r="Q16" s="58">
        <v>2.5</v>
      </c>
      <c r="R16" s="58">
        <v>3</v>
      </c>
      <c r="S16" s="58">
        <v>4</v>
      </c>
      <c r="T16" s="58">
        <v>6</v>
      </c>
      <c r="U16" s="58">
        <v>10</v>
      </c>
      <c r="V16" s="58">
        <v>12</v>
      </c>
      <c r="W16" s="34"/>
      <c r="X16" s="34"/>
      <c r="Y16" s="35"/>
      <c r="Z16" s="34"/>
      <c r="AA16" s="55"/>
      <c r="AB16" s="56"/>
      <c r="AC16" s="56"/>
      <c r="AD16" s="34"/>
      <c r="AE16" s="34"/>
      <c r="AF16" s="59"/>
    </row>
    <row r="17" spans="1:32" ht="15.75">
      <c r="A17" s="51">
        <v>4</v>
      </c>
      <c r="B17" s="52">
        <v>15</v>
      </c>
      <c r="C17" s="53">
        <v>1</v>
      </c>
      <c r="D17" s="53">
        <v>12</v>
      </c>
      <c r="E17" s="53">
        <v>12</v>
      </c>
      <c r="F17" s="53">
        <v>12</v>
      </c>
      <c r="G17" s="53"/>
      <c r="H17" s="53">
        <v>0.3</v>
      </c>
      <c r="I17" s="53">
        <v>0.3</v>
      </c>
      <c r="J17" s="53"/>
      <c r="K17" s="53"/>
      <c r="L17" s="53"/>
      <c r="M17" s="53"/>
      <c r="N17" s="53"/>
      <c r="O17" s="53"/>
      <c r="P17" s="54"/>
      <c r="Q17" s="34"/>
      <c r="R17" s="34"/>
      <c r="S17" s="34"/>
      <c r="T17" s="34"/>
      <c r="U17" s="34"/>
      <c r="V17" s="34">
        <v>45</v>
      </c>
      <c r="W17" s="60">
        <f>(H17+I17+J17+K17)*0.19635</f>
        <v>0.11781</v>
      </c>
      <c r="X17" s="34">
        <v>0.42</v>
      </c>
      <c r="Y17" s="35"/>
      <c r="Z17" s="34">
        <f>(H17+I17+J17+K17+0.4)*1.4*1.4</f>
        <v>1.9599999999999997</v>
      </c>
      <c r="AA17" s="55"/>
      <c r="AB17" s="56"/>
      <c r="AC17" s="56">
        <f>Q17+R17+S17+T17+U17+V17</f>
        <v>45</v>
      </c>
      <c r="AD17" s="34">
        <f>B17</f>
        <v>15</v>
      </c>
      <c r="AE17" s="34">
        <v>2</v>
      </c>
      <c r="AF17" s="57">
        <f>(AE17*10.76)+(((((H17+I17+J17+K17)*10)+((10*0.3)*AE17)))*1.56)+(((H17+I17+J17+K17)/0.075)*1.59)</f>
        <v>52.959999999999994</v>
      </c>
    </row>
    <row r="18" spans="1:32" ht="15.75">
      <c r="A18" s="51">
        <v>7</v>
      </c>
      <c r="B18" s="52">
        <v>23</v>
      </c>
      <c r="C18" s="53">
        <v>1</v>
      </c>
      <c r="D18" s="53">
        <v>4</v>
      </c>
      <c r="E18" s="53"/>
      <c r="F18" s="53"/>
      <c r="G18" s="53"/>
      <c r="H18" s="53">
        <v>1.1200000000000001</v>
      </c>
      <c r="I18" s="53">
        <v>2</v>
      </c>
      <c r="J18" s="53">
        <v>2</v>
      </c>
      <c r="K18" s="61">
        <v>2.02</v>
      </c>
      <c r="L18" s="53"/>
      <c r="M18" s="53"/>
      <c r="N18" s="53"/>
      <c r="O18" s="53"/>
      <c r="P18" s="54"/>
      <c r="Q18" s="34"/>
      <c r="R18" s="34"/>
      <c r="S18" s="34">
        <v>23</v>
      </c>
      <c r="T18" s="34"/>
      <c r="U18" s="34"/>
      <c r="V18" s="34"/>
      <c r="W18" s="60">
        <f t="shared" ref="W18:W20" si="4">(H18+I18+J18+K18)*0.19635</f>
        <v>1.401939</v>
      </c>
      <c r="X18" s="34">
        <v>0.88</v>
      </c>
      <c r="Y18" s="35"/>
      <c r="Z18" s="34">
        <f t="shared" ref="Z18:Z20" si="5">(H18+I18+J18+K18+0.4)*1.4*1.4</f>
        <v>14.7784</v>
      </c>
      <c r="AA18" s="55"/>
      <c r="AB18" s="56"/>
      <c r="AC18" s="56">
        <f t="shared" ref="AC18:AC20" si="6">Q18+R18+S18+T18+U18+V18</f>
        <v>23</v>
      </c>
      <c r="AD18" s="34">
        <f t="shared" ref="AD18:AD20" si="7">B18</f>
        <v>23</v>
      </c>
      <c r="AE18" s="34">
        <v>4</v>
      </c>
      <c r="AF18" s="57">
        <f t="shared" ref="AF18:AF20" si="8">(AE18*10.76)+(((((H18+I18+J18+K18)*10)+((10*0.3)*AE18)))*1.56)+(((H18+I18+J18+K18)/0.075)*1.59)</f>
        <v>324.51200000000006</v>
      </c>
    </row>
    <row r="19" spans="1:32" ht="15.75">
      <c r="A19" s="51">
        <v>11</v>
      </c>
      <c r="B19" s="52">
        <v>35</v>
      </c>
      <c r="C19" s="53">
        <v>1</v>
      </c>
      <c r="D19" s="53">
        <v>12</v>
      </c>
      <c r="E19" s="53"/>
      <c r="F19" s="53"/>
      <c r="G19" s="53"/>
      <c r="H19" s="53">
        <v>0.97</v>
      </c>
      <c r="I19" s="53">
        <v>1.1599999999999999</v>
      </c>
      <c r="J19" s="53">
        <v>1.06</v>
      </c>
      <c r="K19" s="53"/>
      <c r="L19" s="53"/>
      <c r="M19" s="53"/>
      <c r="N19" s="53"/>
      <c r="O19" s="53"/>
      <c r="P19" s="54"/>
      <c r="Q19" s="34"/>
      <c r="R19" s="34"/>
      <c r="S19" s="34"/>
      <c r="T19" s="34"/>
      <c r="U19" s="34"/>
      <c r="V19" s="34">
        <v>35</v>
      </c>
      <c r="W19" s="60">
        <f t="shared" si="4"/>
        <v>0.62635649999999998</v>
      </c>
      <c r="X19" s="34">
        <v>0.66</v>
      </c>
      <c r="Y19" s="35"/>
      <c r="Z19" s="34">
        <f t="shared" si="5"/>
        <v>7.0363999999999995</v>
      </c>
      <c r="AA19" s="55"/>
      <c r="AB19" s="56"/>
      <c r="AC19" s="56">
        <f t="shared" si="6"/>
        <v>35</v>
      </c>
      <c r="AD19" s="34">
        <f t="shared" si="7"/>
        <v>35</v>
      </c>
      <c r="AE19" s="34">
        <v>3</v>
      </c>
      <c r="AF19" s="57">
        <f t="shared" si="8"/>
        <v>163.71199999999999</v>
      </c>
    </row>
    <row r="20" spans="1:32" ht="15.75">
      <c r="A20" s="51">
        <v>109</v>
      </c>
      <c r="B20" s="52">
        <v>7</v>
      </c>
      <c r="C20" s="53">
        <v>1</v>
      </c>
      <c r="D20" s="53">
        <v>12</v>
      </c>
      <c r="E20" s="53">
        <v>4</v>
      </c>
      <c r="F20" s="53"/>
      <c r="G20" s="53"/>
      <c r="H20" s="53">
        <v>1</v>
      </c>
      <c r="I20" s="53">
        <v>1</v>
      </c>
      <c r="J20" s="53"/>
      <c r="K20" s="53"/>
      <c r="L20" s="53"/>
      <c r="M20" s="53"/>
      <c r="N20" s="53"/>
      <c r="O20" s="53"/>
      <c r="P20" s="54"/>
      <c r="Q20" s="34"/>
      <c r="R20" s="34"/>
      <c r="S20" s="34">
        <v>7</v>
      </c>
      <c r="T20" s="34"/>
      <c r="U20" s="34"/>
      <c r="V20" s="34">
        <v>7</v>
      </c>
      <c r="W20" s="60">
        <f t="shared" si="4"/>
        <v>0.39269999999999999</v>
      </c>
      <c r="X20" s="34">
        <v>0.44</v>
      </c>
      <c r="Y20" s="35"/>
      <c r="Z20" s="34">
        <f t="shared" si="5"/>
        <v>4.7039999999999997</v>
      </c>
      <c r="AA20" s="55"/>
      <c r="AB20" s="56"/>
      <c r="AC20" s="56">
        <f t="shared" si="6"/>
        <v>14</v>
      </c>
      <c r="AD20" s="34">
        <f t="shared" si="7"/>
        <v>7</v>
      </c>
      <c r="AE20" s="34">
        <v>2</v>
      </c>
      <c r="AF20" s="57">
        <f t="shared" si="8"/>
        <v>104.48</v>
      </c>
    </row>
    <row r="21" spans="1:32" ht="15.75">
      <c r="A21" s="51">
        <v>5</v>
      </c>
      <c r="B21" s="52">
        <v>18</v>
      </c>
      <c r="C21" s="53">
        <v>1</v>
      </c>
      <c r="D21" s="53">
        <v>12</v>
      </c>
      <c r="E21" s="53">
        <v>12</v>
      </c>
      <c r="F21" s="53">
        <v>12</v>
      </c>
      <c r="G21" s="53"/>
      <c r="H21" s="53"/>
      <c r="I21" s="53"/>
      <c r="J21" s="53"/>
      <c r="K21" s="53"/>
      <c r="L21" s="53"/>
      <c r="M21" s="53"/>
      <c r="N21" s="53"/>
      <c r="O21" s="53"/>
      <c r="P21" s="54" t="s">
        <v>361</v>
      </c>
      <c r="Q21" s="34"/>
      <c r="R21" s="34"/>
      <c r="S21" s="34"/>
      <c r="T21" s="34"/>
      <c r="U21" s="34"/>
      <c r="V21" s="34">
        <v>54</v>
      </c>
      <c r="W21" s="34"/>
      <c r="X21" s="34"/>
      <c r="Y21" s="35">
        <f t="shared" ref="Y21:Y23" si="9">(S21*0.151)+(V21*0.39)</f>
        <v>21.060000000000002</v>
      </c>
      <c r="Z21" s="34">
        <f>1.8*1*(B21)</f>
        <v>32.4</v>
      </c>
      <c r="AA21" s="55"/>
      <c r="AB21" s="56"/>
      <c r="AC21" s="56"/>
      <c r="AD21" s="34"/>
      <c r="AE21" s="34"/>
      <c r="AF21" s="57">
        <f>(B21*26*0.996)+((B21/0.3)*4*0.557)</f>
        <v>599.80799999999999</v>
      </c>
    </row>
    <row r="22" spans="1:32" ht="15.75">
      <c r="A22" s="51">
        <v>10</v>
      </c>
      <c r="B22" s="52">
        <v>17</v>
      </c>
      <c r="C22" s="53">
        <v>1</v>
      </c>
      <c r="D22" s="53">
        <v>12</v>
      </c>
      <c r="E22" s="53">
        <v>12</v>
      </c>
      <c r="F22" s="53">
        <v>12</v>
      </c>
      <c r="G22" s="53">
        <v>4</v>
      </c>
      <c r="H22" s="53"/>
      <c r="I22" s="53"/>
      <c r="J22" s="53"/>
      <c r="K22" s="53"/>
      <c r="L22" s="53"/>
      <c r="M22" s="53"/>
      <c r="N22" s="53"/>
      <c r="O22" s="53"/>
      <c r="P22" s="54" t="s">
        <v>361</v>
      </c>
      <c r="Q22" s="34"/>
      <c r="R22" s="34"/>
      <c r="S22" s="34">
        <v>21</v>
      </c>
      <c r="T22" s="34"/>
      <c r="U22" s="34"/>
      <c r="V22" s="34">
        <v>51</v>
      </c>
      <c r="W22" s="34"/>
      <c r="X22" s="34"/>
      <c r="Y22" s="35">
        <f t="shared" si="9"/>
        <v>23.061</v>
      </c>
      <c r="Z22" s="34">
        <f>1.8*1*(B22)</f>
        <v>30.6</v>
      </c>
      <c r="AA22" s="55"/>
      <c r="AB22" s="56"/>
      <c r="AC22" s="56"/>
      <c r="AD22" s="34"/>
      <c r="AE22" s="34"/>
      <c r="AF22" s="57">
        <f>(B22*26*0.996)+((B22/0.3)*4*0.557)</f>
        <v>566.4853333333333</v>
      </c>
    </row>
    <row r="23" spans="1:32" ht="15.75">
      <c r="A23" s="51">
        <v>29</v>
      </c>
      <c r="B23" s="52">
        <v>3</v>
      </c>
      <c r="C23" s="53">
        <v>1</v>
      </c>
      <c r="D23" s="53">
        <v>4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 t="s">
        <v>361</v>
      </c>
      <c r="P23" s="54"/>
      <c r="Q23" s="34"/>
      <c r="R23" s="34"/>
      <c r="S23" s="34">
        <v>3</v>
      </c>
      <c r="T23" s="34"/>
      <c r="U23" s="34"/>
      <c r="V23" s="34"/>
      <c r="W23" s="34"/>
      <c r="X23" s="34"/>
      <c r="Y23" s="35">
        <f t="shared" si="9"/>
        <v>0.45299999999999996</v>
      </c>
      <c r="Z23" s="34"/>
      <c r="AA23" s="55"/>
      <c r="AB23" s="56"/>
      <c r="AC23" s="56"/>
      <c r="AD23" s="34"/>
      <c r="AE23" s="34"/>
      <c r="AF23" s="57">
        <f>(S23*12*0.996)+((S23/0.3)*1.57*0.557)</f>
        <v>44.600900000000003</v>
      </c>
    </row>
    <row r="24" spans="1:32" ht="15.75">
      <c r="A24" s="51">
        <v>14</v>
      </c>
      <c r="B24" s="52">
        <v>10</v>
      </c>
      <c r="C24" s="53">
        <v>1</v>
      </c>
      <c r="D24" s="53">
        <v>4</v>
      </c>
      <c r="E24" s="53"/>
      <c r="F24" s="53"/>
      <c r="G24" s="53"/>
      <c r="H24" s="53"/>
      <c r="I24" s="53"/>
      <c r="J24" s="53"/>
      <c r="K24" s="53"/>
      <c r="L24" s="53" t="s">
        <v>361</v>
      </c>
      <c r="M24" s="53"/>
      <c r="N24" s="53"/>
      <c r="O24" s="53"/>
      <c r="P24" s="54"/>
      <c r="Q24" s="34"/>
      <c r="R24" s="34"/>
      <c r="S24" s="34">
        <v>10</v>
      </c>
      <c r="T24" s="34"/>
      <c r="U24" s="34"/>
      <c r="V24" s="34"/>
      <c r="W24" s="34"/>
      <c r="X24" s="34"/>
      <c r="Y24" s="35"/>
      <c r="Z24" s="34"/>
      <c r="AA24" s="55"/>
      <c r="AB24" s="56">
        <f>Q24+R24+S24+T24+U24+V24</f>
        <v>10</v>
      </c>
      <c r="AC24" s="56">
        <f t="shared" ref="AC24:AC30" si="10">Q24+R24+S24+T24+U24+V24</f>
        <v>10</v>
      </c>
      <c r="AD24" s="34"/>
      <c r="AE24" s="34"/>
      <c r="AF24" s="59"/>
    </row>
    <row r="25" spans="1:32" ht="15.75">
      <c r="A25" s="51">
        <v>78</v>
      </c>
      <c r="B25" s="52">
        <v>10</v>
      </c>
      <c r="C25" s="53">
        <v>1</v>
      </c>
      <c r="D25" s="53">
        <v>12</v>
      </c>
      <c r="E25" s="53">
        <v>6</v>
      </c>
      <c r="F25" s="53"/>
      <c r="G25" s="53"/>
      <c r="H25" s="53"/>
      <c r="I25" s="53"/>
      <c r="J25" s="53"/>
      <c r="K25" s="53"/>
      <c r="L25" s="53" t="s">
        <v>361</v>
      </c>
      <c r="M25" s="53"/>
      <c r="N25" s="53"/>
      <c r="O25" s="53"/>
      <c r="P25" s="54"/>
      <c r="Q25" s="34"/>
      <c r="R25" s="34"/>
      <c r="S25" s="34"/>
      <c r="T25" s="34">
        <v>10</v>
      </c>
      <c r="U25" s="34"/>
      <c r="V25" s="34">
        <v>10</v>
      </c>
      <c r="W25" s="34"/>
      <c r="X25" s="34"/>
      <c r="Y25" s="35"/>
      <c r="Z25" s="34"/>
      <c r="AA25" s="55"/>
      <c r="AB25" s="56">
        <f t="shared" ref="AB25:AB30" si="11">Q25+R25+S25+T25+U25+V25</f>
        <v>20</v>
      </c>
      <c r="AC25" s="56">
        <f t="shared" si="10"/>
        <v>20</v>
      </c>
      <c r="AD25" s="34"/>
      <c r="AE25" s="34"/>
      <c r="AF25" s="59"/>
    </row>
    <row r="26" spans="1:32" ht="15.75">
      <c r="A26" s="51">
        <v>79</v>
      </c>
      <c r="B26" s="52">
        <v>20</v>
      </c>
      <c r="C26" s="53">
        <v>1</v>
      </c>
      <c r="D26" s="53">
        <v>4</v>
      </c>
      <c r="E26" s="53"/>
      <c r="F26" s="53"/>
      <c r="G26" s="53"/>
      <c r="H26" s="53"/>
      <c r="I26" s="53"/>
      <c r="J26" s="53"/>
      <c r="K26" s="53"/>
      <c r="L26" s="53" t="s">
        <v>361</v>
      </c>
      <c r="M26" s="53"/>
      <c r="N26" s="53"/>
      <c r="O26" s="53"/>
      <c r="P26" s="54"/>
      <c r="Q26" s="34"/>
      <c r="R26" s="34"/>
      <c r="S26" s="34">
        <v>20</v>
      </c>
      <c r="T26" s="34"/>
      <c r="U26" s="34"/>
      <c r="V26" s="34"/>
      <c r="W26" s="34"/>
      <c r="X26" s="34"/>
      <c r="Y26" s="35"/>
      <c r="Z26" s="34"/>
      <c r="AA26" s="55"/>
      <c r="AB26" s="56">
        <f t="shared" si="11"/>
        <v>20</v>
      </c>
      <c r="AC26" s="56">
        <f t="shared" si="10"/>
        <v>20</v>
      </c>
      <c r="AD26" s="34"/>
      <c r="AE26" s="34"/>
      <c r="AF26" s="59"/>
    </row>
    <row r="27" spans="1:32" ht="15.75">
      <c r="A27" s="51">
        <v>80</v>
      </c>
      <c r="B27" s="52">
        <v>20</v>
      </c>
      <c r="C27" s="53">
        <v>1</v>
      </c>
      <c r="D27" s="53">
        <v>12</v>
      </c>
      <c r="E27" s="53">
        <v>6</v>
      </c>
      <c r="F27" s="53"/>
      <c r="G27" s="53"/>
      <c r="H27" s="53"/>
      <c r="I27" s="53"/>
      <c r="J27" s="53"/>
      <c r="K27" s="53"/>
      <c r="L27" s="53" t="s">
        <v>361</v>
      </c>
      <c r="M27" s="53"/>
      <c r="N27" s="53"/>
      <c r="O27" s="53"/>
      <c r="P27" s="54"/>
      <c r="Q27" s="34"/>
      <c r="R27" s="34"/>
      <c r="S27" s="34"/>
      <c r="T27" s="34">
        <v>20</v>
      </c>
      <c r="U27" s="34"/>
      <c r="V27" s="34">
        <v>20</v>
      </c>
      <c r="W27" s="34"/>
      <c r="X27" s="34"/>
      <c r="Y27" s="35"/>
      <c r="Z27" s="34"/>
      <c r="AA27" s="55"/>
      <c r="AB27" s="56">
        <f t="shared" si="11"/>
        <v>40</v>
      </c>
      <c r="AC27" s="56">
        <f t="shared" si="10"/>
        <v>40</v>
      </c>
      <c r="AD27" s="34"/>
      <c r="AE27" s="34"/>
      <c r="AF27" s="59"/>
    </row>
    <row r="28" spans="1:32" ht="15.75">
      <c r="A28" s="51">
        <v>81</v>
      </c>
      <c r="B28" s="52">
        <v>16</v>
      </c>
      <c r="C28" s="53">
        <v>1</v>
      </c>
      <c r="D28" s="53">
        <v>4</v>
      </c>
      <c r="E28" s="53"/>
      <c r="F28" s="53"/>
      <c r="G28" s="53"/>
      <c r="H28" s="53"/>
      <c r="I28" s="53"/>
      <c r="J28" s="53"/>
      <c r="K28" s="53"/>
      <c r="L28" s="53" t="s">
        <v>361</v>
      </c>
      <c r="M28" s="53"/>
      <c r="N28" s="53"/>
      <c r="O28" s="53"/>
      <c r="P28" s="54"/>
      <c r="Q28" s="34"/>
      <c r="R28" s="34"/>
      <c r="S28" s="34">
        <v>16</v>
      </c>
      <c r="T28" s="34"/>
      <c r="U28" s="34"/>
      <c r="V28" s="34"/>
      <c r="W28" s="34"/>
      <c r="X28" s="34"/>
      <c r="Y28" s="35"/>
      <c r="Z28" s="34"/>
      <c r="AA28" s="55"/>
      <c r="AB28" s="56">
        <f t="shared" si="11"/>
        <v>16</v>
      </c>
      <c r="AC28" s="56">
        <f t="shared" si="10"/>
        <v>16</v>
      </c>
      <c r="AD28" s="34"/>
      <c r="AE28" s="34"/>
      <c r="AF28" s="59"/>
    </row>
    <row r="29" spans="1:32" ht="15.75">
      <c r="A29" s="51">
        <v>82</v>
      </c>
      <c r="B29" s="52">
        <v>17</v>
      </c>
      <c r="C29" s="53">
        <v>1</v>
      </c>
      <c r="D29" s="53">
        <v>12</v>
      </c>
      <c r="E29" s="53">
        <v>6</v>
      </c>
      <c r="F29" s="53"/>
      <c r="G29" s="53"/>
      <c r="H29" s="53"/>
      <c r="I29" s="53"/>
      <c r="J29" s="53"/>
      <c r="K29" s="53"/>
      <c r="L29" s="53" t="s">
        <v>361</v>
      </c>
      <c r="M29" s="53"/>
      <c r="N29" s="53"/>
      <c r="O29" s="53"/>
      <c r="P29" s="54"/>
      <c r="Q29" s="34"/>
      <c r="R29" s="34"/>
      <c r="S29" s="34"/>
      <c r="T29" s="34">
        <v>17</v>
      </c>
      <c r="U29" s="34"/>
      <c r="V29" s="34">
        <v>17</v>
      </c>
      <c r="W29" s="34"/>
      <c r="X29" s="34"/>
      <c r="Y29" s="35"/>
      <c r="Z29" s="34"/>
      <c r="AA29" s="55"/>
      <c r="AB29" s="56">
        <f t="shared" si="11"/>
        <v>34</v>
      </c>
      <c r="AC29" s="56">
        <f t="shared" si="10"/>
        <v>34</v>
      </c>
      <c r="AD29" s="34"/>
      <c r="AE29" s="34"/>
      <c r="AF29" s="59"/>
    </row>
    <row r="30" spans="1:32" ht="15.75">
      <c r="A30" s="51">
        <v>83</v>
      </c>
      <c r="B30" s="52">
        <v>150</v>
      </c>
      <c r="C30" s="53">
        <v>1</v>
      </c>
      <c r="D30" s="53">
        <v>10</v>
      </c>
      <c r="E30" s="53"/>
      <c r="F30" s="53"/>
      <c r="G30" s="53"/>
      <c r="H30" s="53"/>
      <c r="I30" s="53"/>
      <c r="J30" s="53"/>
      <c r="K30" s="53"/>
      <c r="L30" s="53" t="s">
        <v>361</v>
      </c>
      <c r="M30" s="53"/>
      <c r="N30" s="53"/>
      <c r="O30" s="53"/>
      <c r="P30" s="54"/>
      <c r="Q30" s="34"/>
      <c r="R30" s="34"/>
      <c r="S30" s="34"/>
      <c r="T30" s="34"/>
      <c r="U30" s="34">
        <v>150</v>
      </c>
      <c r="V30" s="34"/>
      <c r="W30" s="34"/>
      <c r="X30" s="34"/>
      <c r="Y30" s="35"/>
      <c r="Z30" s="34"/>
      <c r="AA30" s="55"/>
      <c r="AB30" s="56">
        <f t="shared" si="11"/>
        <v>150</v>
      </c>
      <c r="AC30" s="56">
        <f t="shared" si="10"/>
        <v>150</v>
      </c>
      <c r="AD30" s="34"/>
      <c r="AE30" s="34"/>
      <c r="AF30" s="59"/>
    </row>
    <row r="31" spans="1:32" ht="15">
      <c r="A31" s="6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0" t="s">
        <v>364</v>
      </c>
      <c r="O31" s="630"/>
      <c r="P31" s="630"/>
      <c r="Q31" s="58">
        <f>SUM(Q17:Q30)</f>
        <v>0</v>
      </c>
      <c r="R31" s="58">
        <f t="shared" ref="R31:V31" si="12">SUM(R17:R30)</f>
        <v>0</v>
      </c>
      <c r="S31" s="58">
        <f t="shared" si="12"/>
        <v>100</v>
      </c>
      <c r="T31" s="58">
        <f t="shared" si="12"/>
        <v>47</v>
      </c>
      <c r="U31" s="58">
        <f t="shared" si="12"/>
        <v>150</v>
      </c>
      <c r="V31" s="58">
        <f t="shared" si="12"/>
        <v>239</v>
      </c>
      <c r="W31" s="634">
        <f>SUM(W5:W30)</f>
        <v>2.5388055</v>
      </c>
      <c r="X31" s="634">
        <f>SUM(X5:X30)</f>
        <v>2.4</v>
      </c>
      <c r="Y31" s="634">
        <f>SUM(Y5:Y30)</f>
        <v>77.664999999999992</v>
      </c>
      <c r="Z31" s="634">
        <f>SUM(Z5:Z30)</f>
        <v>91.478800000000007</v>
      </c>
      <c r="AA31" s="636">
        <f t="shared" ref="AA31:AF31" si="13">SUM(AA5:AA30)</f>
        <v>166.79999999999998</v>
      </c>
      <c r="AB31" s="638">
        <f t="shared" si="13"/>
        <v>290</v>
      </c>
      <c r="AC31" s="638">
        <f t="shared" si="13"/>
        <v>407</v>
      </c>
      <c r="AD31" s="634">
        <f t="shared" si="13"/>
        <v>80</v>
      </c>
      <c r="AE31" s="634">
        <f t="shared" si="13"/>
        <v>11</v>
      </c>
      <c r="AF31" s="628">
        <f t="shared" si="13"/>
        <v>4419.298866666667</v>
      </c>
    </row>
    <row r="32" spans="1:32" ht="15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0" t="s">
        <v>365</v>
      </c>
      <c r="O32" s="630"/>
      <c r="P32" s="630"/>
      <c r="Q32" s="631">
        <v>119</v>
      </c>
      <c r="R32" s="631"/>
      <c r="S32" s="631"/>
      <c r="T32" s="631"/>
      <c r="U32" s="631"/>
      <c r="V32" s="631"/>
      <c r="W32" s="634"/>
      <c r="X32" s="634"/>
      <c r="Y32" s="634"/>
      <c r="Z32" s="634"/>
      <c r="AA32" s="636"/>
      <c r="AB32" s="638"/>
      <c r="AC32" s="638"/>
      <c r="AD32" s="634"/>
      <c r="AE32" s="634"/>
      <c r="AF32" s="628"/>
    </row>
    <row r="33" spans="1:32" ht="15.75" thickBot="1">
      <c r="A33" s="64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32" t="s">
        <v>366</v>
      </c>
      <c r="O33" s="632"/>
      <c r="P33" s="632"/>
      <c r="Q33" s="633">
        <v>195</v>
      </c>
      <c r="R33" s="633"/>
      <c r="S33" s="633"/>
      <c r="T33" s="633"/>
      <c r="U33" s="633"/>
      <c r="V33" s="633"/>
      <c r="W33" s="635"/>
      <c r="X33" s="635"/>
      <c r="Y33" s="635"/>
      <c r="Z33" s="635"/>
      <c r="AA33" s="637"/>
      <c r="AB33" s="639"/>
      <c r="AC33" s="639"/>
      <c r="AD33" s="635"/>
      <c r="AE33" s="635"/>
      <c r="AF33" s="629"/>
    </row>
    <row r="34" spans="1:32" s="73" customFormat="1" ht="15">
      <c r="A34" s="66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  <c r="O34" s="68"/>
      <c r="P34" s="68"/>
      <c r="Q34" s="69"/>
      <c r="R34" s="69"/>
      <c r="S34" s="69"/>
      <c r="T34" s="69"/>
      <c r="U34" s="69"/>
      <c r="V34" s="69"/>
      <c r="W34" s="70"/>
      <c r="X34" s="70"/>
      <c r="Y34" s="70"/>
      <c r="Z34" s="70"/>
      <c r="AA34" s="71"/>
      <c r="AB34" s="72"/>
      <c r="AC34" s="72"/>
      <c r="AD34" s="67"/>
      <c r="AE34" s="67"/>
    </row>
    <row r="35" spans="1:32" s="73" customFormat="1" ht="15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8"/>
      <c r="O35" s="68"/>
      <c r="P35" s="68"/>
      <c r="Q35" s="69"/>
      <c r="R35" s="69"/>
      <c r="S35" s="69"/>
      <c r="T35" s="69"/>
      <c r="U35" s="69"/>
      <c r="V35" s="69"/>
      <c r="W35" s="70"/>
      <c r="X35" s="70"/>
      <c r="Y35" s="70"/>
      <c r="Z35" s="70"/>
      <c r="AA35" s="71"/>
      <c r="AB35" s="72"/>
      <c r="AC35" s="72"/>
      <c r="AD35" s="67"/>
      <c r="AE35" s="67"/>
    </row>
    <row r="36" spans="1:32" s="73" customFormat="1" ht="15.75" thickBot="1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8"/>
      <c r="O36" s="68"/>
      <c r="P36" s="68"/>
      <c r="Q36" s="69"/>
      <c r="R36" s="69"/>
      <c r="S36" s="69"/>
      <c r="T36" s="69"/>
      <c r="U36" s="69"/>
      <c r="V36" s="69"/>
      <c r="W36" s="70"/>
      <c r="X36" s="70"/>
      <c r="Y36" s="70"/>
      <c r="Z36" s="70"/>
      <c r="AA36" s="71"/>
      <c r="AB36" s="72"/>
      <c r="AC36" s="72"/>
      <c r="AD36" s="67"/>
      <c r="AE36" s="67"/>
    </row>
    <row r="37" spans="1:32" s="47" customFormat="1" ht="19.5">
      <c r="A37" s="619" t="s">
        <v>367</v>
      </c>
      <c r="B37" s="620"/>
      <c r="C37" s="620"/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620"/>
      <c r="Y37" s="620"/>
      <c r="Z37" s="620"/>
      <c r="AA37" s="620"/>
      <c r="AB37" s="620"/>
      <c r="AC37" s="620"/>
      <c r="AD37" s="620"/>
      <c r="AE37" s="620"/>
      <c r="AF37" s="621"/>
    </row>
    <row r="38" spans="1:32" s="74" customFormat="1" ht="18" customHeight="1">
      <c r="A38" s="622" t="s">
        <v>334</v>
      </c>
      <c r="B38" s="623" t="s">
        <v>335</v>
      </c>
      <c r="C38" s="624" t="s">
        <v>336</v>
      </c>
      <c r="D38" s="624" t="s">
        <v>337</v>
      </c>
      <c r="E38" s="624"/>
      <c r="F38" s="624"/>
      <c r="G38" s="624"/>
      <c r="H38" s="625" t="s">
        <v>338</v>
      </c>
      <c r="I38" s="625"/>
      <c r="J38" s="625"/>
      <c r="K38" s="625"/>
      <c r="L38" s="623" t="s">
        <v>339</v>
      </c>
      <c r="M38" s="623" t="s">
        <v>340</v>
      </c>
      <c r="N38" s="623" t="s">
        <v>341</v>
      </c>
      <c r="O38" s="623" t="s">
        <v>342</v>
      </c>
      <c r="P38" s="623" t="s">
        <v>343</v>
      </c>
      <c r="Q38" s="625" t="s">
        <v>344</v>
      </c>
      <c r="R38" s="625"/>
      <c r="S38" s="625"/>
      <c r="T38" s="625"/>
      <c r="U38" s="625"/>
      <c r="V38" s="625"/>
      <c r="W38" s="626" t="s">
        <v>345</v>
      </c>
      <c r="X38" s="626" t="s">
        <v>346</v>
      </c>
      <c r="Y38" s="626" t="s">
        <v>347</v>
      </c>
      <c r="Z38" s="624" t="s">
        <v>348</v>
      </c>
      <c r="AA38" s="616" t="s">
        <v>349</v>
      </c>
      <c r="AB38" s="617" t="s">
        <v>350</v>
      </c>
      <c r="AC38" s="618" t="s">
        <v>351</v>
      </c>
      <c r="AD38" s="626" t="s">
        <v>352</v>
      </c>
      <c r="AE38" s="624" t="s">
        <v>368</v>
      </c>
      <c r="AF38" s="627" t="s">
        <v>369</v>
      </c>
    </row>
    <row r="39" spans="1:32" s="48" customFormat="1" ht="18.399999999999999" customHeight="1">
      <c r="A39" s="622"/>
      <c r="B39" s="623"/>
      <c r="C39" s="624"/>
      <c r="D39" s="624"/>
      <c r="E39" s="624"/>
      <c r="F39" s="624"/>
      <c r="G39" s="624"/>
      <c r="H39" s="623" t="s">
        <v>355</v>
      </c>
      <c r="I39" s="623"/>
      <c r="J39" s="623"/>
      <c r="K39" s="623"/>
      <c r="L39" s="623"/>
      <c r="M39" s="623"/>
      <c r="N39" s="623"/>
      <c r="O39" s="623"/>
      <c r="P39" s="623"/>
      <c r="Q39" s="625" t="s">
        <v>370</v>
      </c>
      <c r="R39" s="625"/>
      <c r="S39" s="625"/>
      <c r="T39" s="625"/>
      <c r="U39" s="625"/>
      <c r="V39" s="625"/>
      <c r="W39" s="626"/>
      <c r="X39" s="626"/>
      <c r="Y39" s="626"/>
      <c r="Z39" s="624"/>
      <c r="AA39" s="616"/>
      <c r="AB39" s="617"/>
      <c r="AC39" s="618"/>
      <c r="AD39" s="626"/>
      <c r="AE39" s="624"/>
      <c r="AF39" s="627"/>
    </row>
    <row r="40" spans="1:32" s="48" customFormat="1" ht="25.5" customHeight="1">
      <c r="A40" s="622"/>
      <c r="B40" s="623"/>
      <c r="C40" s="624"/>
      <c r="D40" s="75">
        <v>1</v>
      </c>
      <c r="E40" s="75">
        <v>2</v>
      </c>
      <c r="F40" s="75">
        <v>3</v>
      </c>
      <c r="G40" s="75">
        <v>4</v>
      </c>
      <c r="H40" s="76" t="s">
        <v>357</v>
      </c>
      <c r="I40" s="76" t="s">
        <v>358</v>
      </c>
      <c r="J40" s="76" t="s">
        <v>359</v>
      </c>
      <c r="K40" s="76" t="s">
        <v>360</v>
      </c>
      <c r="L40" s="623"/>
      <c r="M40" s="623"/>
      <c r="N40" s="623"/>
      <c r="O40" s="623"/>
      <c r="P40" s="623"/>
      <c r="Q40" s="77">
        <v>2.5</v>
      </c>
      <c r="R40" s="77">
        <v>3</v>
      </c>
      <c r="S40" s="77">
        <v>4</v>
      </c>
      <c r="T40" s="77">
        <v>6</v>
      </c>
      <c r="U40" s="77">
        <v>10</v>
      </c>
      <c r="V40" s="77">
        <v>12</v>
      </c>
      <c r="W40" s="626"/>
      <c r="X40" s="626"/>
      <c r="Y40" s="626"/>
      <c r="Z40" s="624"/>
      <c r="AA40" s="616"/>
      <c r="AB40" s="617"/>
      <c r="AC40" s="618"/>
      <c r="AD40" s="626"/>
      <c r="AE40" s="624"/>
      <c r="AF40" s="627"/>
    </row>
    <row r="41" spans="1:32" ht="15.75">
      <c r="A41" s="51">
        <v>18</v>
      </c>
      <c r="B41" s="52">
        <v>10</v>
      </c>
      <c r="C41" s="53">
        <v>2</v>
      </c>
      <c r="D41" s="53">
        <v>4</v>
      </c>
      <c r="E41" s="53"/>
      <c r="F41" s="53"/>
      <c r="G41" s="53"/>
      <c r="H41" s="53"/>
      <c r="I41" s="53"/>
      <c r="J41" s="53"/>
      <c r="K41" s="53"/>
      <c r="L41" s="53"/>
      <c r="M41" s="53" t="s">
        <v>361</v>
      </c>
      <c r="N41" s="53"/>
      <c r="O41" s="53"/>
      <c r="P41" s="54"/>
      <c r="Q41" s="34"/>
      <c r="R41" s="34"/>
      <c r="S41" s="34">
        <v>10</v>
      </c>
      <c r="T41" s="34"/>
      <c r="U41" s="34"/>
      <c r="V41" s="34"/>
      <c r="W41" s="34"/>
      <c r="X41" s="34"/>
      <c r="Y41" s="35">
        <f>(S41*0.151)+(V41*0.39)+(R41*0.072)+(Q41*0.072)+(T41*0.152)</f>
        <v>1.51</v>
      </c>
      <c r="Z41" s="34"/>
      <c r="AA41" s="55">
        <f t="shared" ref="AA41:AA51" si="14">((Q41+R41)*0.8*0.4)+((S41+T41)*1*0.6)+((U41+V41)*1.2*0.9)</f>
        <v>6</v>
      </c>
      <c r="AB41" s="56"/>
      <c r="AC41" s="56"/>
      <c r="AD41" s="34"/>
      <c r="AE41" s="34"/>
      <c r="AF41" s="57">
        <f t="shared" ref="AF41:AF44" si="15">(S41*12*0.996)+((S41/0.3)*1.57*0.557)</f>
        <v>148.66966666666667</v>
      </c>
    </row>
    <row r="42" spans="1:32" ht="15.75">
      <c r="A42" s="51">
        <v>19</v>
      </c>
      <c r="B42" s="52">
        <v>35</v>
      </c>
      <c r="C42" s="53">
        <v>2</v>
      </c>
      <c r="D42" s="53">
        <v>4</v>
      </c>
      <c r="E42" s="53"/>
      <c r="F42" s="53"/>
      <c r="G42" s="53"/>
      <c r="H42" s="53"/>
      <c r="I42" s="53"/>
      <c r="J42" s="53"/>
      <c r="K42" s="53"/>
      <c r="L42" s="53"/>
      <c r="M42" s="53" t="s">
        <v>361</v>
      </c>
      <c r="N42" s="53"/>
      <c r="O42" s="53"/>
      <c r="P42" s="54"/>
      <c r="Q42" s="34"/>
      <c r="R42" s="34"/>
      <c r="S42" s="34">
        <v>35</v>
      </c>
      <c r="T42" s="34"/>
      <c r="U42" s="34"/>
      <c r="V42" s="34"/>
      <c r="W42" s="34"/>
      <c r="X42" s="34"/>
      <c r="Y42" s="35">
        <f t="shared" ref="Y42:Y50" si="16">(S42*0.151)+(V42*0.39)+(R42*0.072)+(Q42*0.072)+(T42*0.152)</f>
        <v>5.2850000000000001</v>
      </c>
      <c r="Z42" s="34"/>
      <c r="AA42" s="55">
        <f t="shared" si="14"/>
        <v>21</v>
      </c>
      <c r="AB42" s="56"/>
      <c r="AC42" s="56"/>
      <c r="AD42" s="34"/>
      <c r="AE42" s="34"/>
      <c r="AF42" s="57">
        <f t="shared" si="15"/>
        <v>520.34383333333335</v>
      </c>
    </row>
    <row r="43" spans="1:32" ht="15.75">
      <c r="A43" s="51">
        <v>20</v>
      </c>
      <c r="B43" s="52">
        <v>40</v>
      </c>
      <c r="C43" s="53">
        <v>2</v>
      </c>
      <c r="D43" s="53">
        <v>4</v>
      </c>
      <c r="E43" s="53"/>
      <c r="F43" s="53"/>
      <c r="G43" s="53"/>
      <c r="H43" s="53"/>
      <c r="I43" s="53"/>
      <c r="J43" s="53"/>
      <c r="K43" s="53"/>
      <c r="L43" s="53"/>
      <c r="M43" s="53" t="s">
        <v>361</v>
      </c>
      <c r="N43" s="53"/>
      <c r="O43" s="53"/>
      <c r="P43" s="54"/>
      <c r="Q43" s="34"/>
      <c r="R43" s="34"/>
      <c r="S43" s="34">
        <v>20</v>
      </c>
      <c r="T43" s="34"/>
      <c r="U43" s="34"/>
      <c r="V43" s="34"/>
      <c r="W43" s="34"/>
      <c r="X43" s="34"/>
      <c r="Y43" s="35">
        <f t="shared" si="16"/>
        <v>3.02</v>
      </c>
      <c r="Z43" s="34"/>
      <c r="AA43" s="55">
        <f t="shared" si="14"/>
        <v>12</v>
      </c>
      <c r="AB43" s="56"/>
      <c r="AC43" s="56"/>
      <c r="AD43" s="34"/>
      <c r="AE43" s="34"/>
      <c r="AF43" s="57">
        <f t="shared" si="15"/>
        <v>297.33933333333334</v>
      </c>
    </row>
    <row r="44" spans="1:32" ht="15.75">
      <c r="A44" s="51">
        <v>21</v>
      </c>
      <c r="B44" s="52">
        <v>5</v>
      </c>
      <c r="C44" s="53">
        <v>2</v>
      </c>
      <c r="D44" s="53">
        <v>4</v>
      </c>
      <c r="E44" s="53"/>
      <c r="F44" s="53"/>
      <c r="G44" s="53"/>
      <c r="H44" s="53"/>
      <c r="I44" s="53"/>
      <c r="J44" s="53"/>
      <c r="K44" s="53"/>
      <c r="L44" s="53"/>
      <c r="M44" s="53" t="s">
        <v>361</v>
      </c>
      <c r="N44" s="53"/>
      <c r="O44" s="53"/>
      <c r="P44" s="54"/>
      <c r="Q44" s="34"/>
      <c r="R44" s="34"/>
      <c r="S44" s="34">
        <v>5</v>
      </c>
      <c r="T44" s="34"/>
      <c r="U44" s="34"/>
      <c r="V44" s="34"/>
      <c r="W44" s="34"/>
      <c r="X44" s="34"/>
      <c r="Y44" s="35">
        <f t="shared" si="16"/>
        <v>0.755</v>
      </c>
      <c r="Z44" s="34"/>
      <c r="AA44" s="55">
        <f t="shared" si="14"/>
        <v>3</v>
      </c>
      <c r="AB44" s="56"/>
      <c r="AC44" s="56"/>
      <c r="AD44" s="34"/>
      <c r="AE44" s="34"/>
      <c r="AF44" s="57">
        <f t="shared" si="15"/>
        <v>74.334833333333336</v>
      </c>
    </row>
    <row r="45" spans="1:32" ht="15.75">
      <c r="A45" s="51">
        <v>32</v>
      </c>
      <c r="B45" s="52">
        <v>3</v>
      </c>
      <c r="C45" s="53">
        <v>2</v>
      </c>
      <c r="D45" s="53">
        <v>2.5</v>
      </c>
      <c r="E45" s="53"/>
      <c r="F45" s="53"/>
      <c r="G45" s="53"/>
      <c r="H45" s="53"/>
      <c r="I45" s="53"/>
      <c r="J45" s="53"/>
      <c r="K45" s="53"/>
      <c r="L45" s="53"/>
      <c r="M45" s="53" t="s">
        <v>361</v>
      </c>
      <c r="N45" s="53"/>
      <c r="O45" s="53"/>
      <c r="P45" s="54"/>
      <c r="Q45" s="34">
        <v>3</v>
      </c>
      <c r="R45" s="34"/>
      <c r="S45" s="34"/>
      <c r="T45" s="34"/>
      <c r="U45" s="34"/>
      <c r="V45" s="34"/>
      <c r="W45" s="34"/>
      <c r="X45" s="34"/>
      <c r="Y45" s="35">
        <f t="shared" si="16"/>
        <v>0.21599999999999997</v>
      </c>
      <c r="Z45" s="34"/>
      <c r="AA45" s="55">
        <f t="shared" si="14"/>
        <v>0.96000000000000019</v>
      </c>
      <c r="AB45" s="56"/>
      <c r="AC45" s="56"/>
      <c r="AD45" s="34"/>
      <c r="AE45" s="34"/>
      <c r="AF45" s="57">
        <f>(Q45*8*0.996)+((Q45/0.3)*1.2*0.557)</f>
        <v>30.588000000000001</v>
      </c>
    </row>
    <row r="46" spans="1:32" ht="15.75">
      <c r="A46" s="51">
        <v>33</v>
      </c>
      <c r="B46" s="52">
        <v>4</v>
      </c>
      <c r="C46" s="53">
        <v>2</v>
      </c>
      <c r="D46" s="53">
        <v>2.5</v>
      </c>
      <c r="E46" s="53"/>
      <c r="F46" s="53"/>
      <c r="G46" s="53"/>
      <c r="H46" s="53"/>
      <c r="I46" s="53"/>
      <c r="J46" s="53"/>
      <c r="K46" s="53"/>
      <c r="L46" s="53"/>
      <c r="M46" s="53" t="s">
        <v>361</v>
      </c>
      <c r="N46" s="53"/>
      <c r="O46" s="53"/>
      <c r="P46" s="54"/>
      <c r="Q46" s="34">
        <v>4</v>
      </c>
      <c r="R46" s="34"/>
      <c r="S46" s="34"/>
      <c r="T46" s="34"/>
      <c r="U46" s="34"/>
      <c r="V46" s="34"/>
      <c r="W46" s="34"/>
      <c r="X46" s="34"/>
      <c r="Y46" s="35">
        <f t="shared" si="16"/>
        <v>0.28799999999999998</v>
      </c>
      <c r="Z46" s="34"/>
      <c r="AA46" s="55">
        <f t="shared" si="14"/>
        <v>1.2800000000000002</v>
      </c>
      <c r="AB46" s="56"/>
      <c r="AC46" s="56"/>
      <c r="AD46" s="34"/>
      <c r="AE46" s="34"/>
      <c r="AF46" s="57">
        <f>(Q46*8*0.996)+((Q46/0.3)*1.2*0.557)</f>
        <v>40.783999999999999</v>
      </c>
    </row>
    <row r="47" spans="1:32" ht="15.75">
      <c r="A47" s="51">
        <v>36</v>
      </c>
      <c r="B47" s="52">
        <v>5</v>
      </c>
      <c r="C47" s="53">
        <v>2</v>
      </c>
      <c r="D47" s="53">
        <v>2.5</v>
      </c>
      <c r="E47" s="53"/>
      <c r="F47" s="53"/>
      <c r="G47" s="53"/>
      <c r="H47" s="53"/>
      <c r="I47" s="53"/>
      <c r="J47" s="53"/>
      <c r="K47" s="53"/>
      <c r="L47" s="53"/>
      <c r="M47" s="53" t="s">
        <v>361</v>
      </c>
      <c r="N47" s="53"/>
      <c r="O47" s="53"/>
      <c r="P47" s="54"/>
      <c r="Q47" s="34">
        <v>7</v>
      </c>
      <c r="R47" s="34"/>
      <c r="S47" s="34"/>
      <c r="T47" s="34"/>
      <c r="U47" s="34"/>
      <c r="V47" s="34"/>
      <c r="W47" s="34"/>
      <c r="X47" s="34"/>
      <c r="Y47" s="35">
        <f t="shared" si="16"/>
        <v>0.504</v>
      </c>
      <c r="Z47" s="34"/>
      <c r="AA47" s="55">
        <f t="shared" si="14"/>
        <v>2.2400000000000002</v>
      </c>
      <c r="AB47" s="56"/>
      <c r="AC47" s="56"/>
      <c r="AD47" s="34"/>
      <c r="AE47" s="34"/>
      <c r="AF47" s="57">
        <f>(Q47*8*0.996)+((Q47/0.3)*1.2*0.557)</f>
        <v>71.372</v>
      </c>
    </row>
    <row r="48" spans="1:32" ht="15.75">
      <c r="A48" s="51">
        <v>37</v>
      </c>
      <c r="B48" s="52">
        <v>7</v>
      </c>
      <c r="C48" s="53">
        <v>2</v>
      </c>
      <c r="D48" s="53">
        <v>2.5</v>
      </c>
      <c r="E48" s="53"/>
      <c r="F48" s="53"/>
      <c r="G48" s="53"/>
      <c r="H48" s="53"/>
      <c r="I48" s="53"/>
      <c r="J48" s="53"/>
      <c r="K48" s="53"/>
      <c r="L48" s="53"/>
      <c r="M48" s="53" t="s">
        <v>361</v>
      </c>
      <c r="N48" s="53"/>
      <c r="O48" s="53"/>
      <c r="P48" s="54"/>
      <c r="Q48" s="34"/>
      <c r="R48" s="34"/>
      <c r="S48" s="34">
        <v>25</v>
      </c>
      <c r="T48" s="34">
        <v>25</v>
      </c>
      <c r="U48" s="34"/>
      <c r="V48" s="34"/>
      <c r="W48" s="34"/>
      <c r="X48" s="34"/>
      <c r="Y48" s="35">
        <f t="shared" si="16"/>
        <v>7.5749999999999993</v>
      </c>
      <c r="Z48" s="34"/>
      <c r="AA48" s="55">
        <f t="shared" si="14"/>
        <v>30</v>
      </c>
      <c r="AB48" s="56"/>
      <c r="AC48" s="56"/>
      <c r="AD48" s="34"/>
      <c r="AE48" s="34"/>
      <c r="AF48" s="57">
        <f>(S48*12*0.996)+((S48/0.3)*1.57*0.557)</f>
        <v>371.67416666666668</v>
      </c>
    </row>
    <row r="49" spans="1:32" ht="15.75">
      <c r="A49" s="51">
        <v>48</v>
      </c>
      <c r="B49" s="52">
        <v>4</v>
      </c>
      <c r="C49" s="53">
        <v>2</v>
      </c>
      <c r="D49" s="53">
        <v>2.5</v>
      </c>
      <c r="E49" s="53"/>
      <c r="F49" s="53"/>
      <c r="G49" s="53"/>
      <c r="H49" s="53"/>
      <c r="I49" s="53"/>
      <c r="J49" s="53"/>
      <c r="K49" s="53"/>
      <c r="L49" s="53"/>
      <c r="M49" s="53" t="s">
        <v>361</v>
      </c>
      <c r="N49" s="53"/>
      <c r="O49" s="53"/>
      <c r="P49" s="54"/>
      <c r="Q49" s="34">
        <v>4</v>
      </c>
      <c r="R49" s="34"/>
      <c r="S49" s="34"/>
      <c r="T49" s="34"/>
      <c r="U49" s="34"/>
      <c r="V49" s="34"/>
      <c r="W49" s="34"/>
      <c r="X49" s="34"/>
      <c r="Y49" s="35">
        <f t="shared" si="16"/>
        <v>0.28799999999999998</v>
      </c>
      <c r="Z49" s="34"/>
      <c r="AA49" s="55">
        <f t="shared" si="14"/>
        <v>1.2800000000000002</v>
      </c>
      <c r="AB49" s="56"/>
      <c r="AC49" s="56"/>
      <c r="AD49" s="34"/>
      <c r="AE49" s="34"/>
      <c r="AF49" s="57">
        <f>(Q49*8*0.996)+((Q49/0.3)*1.2*0.557)</f>
        <v>40.783999999999999</v>
      </c>
    </row>
    <row r="50" spans="1:32" ht="15.75">
      <c r="A50" s="51">
        <v>107</v>
      </c>
      <c r="B50" s="52">
        <v>12</v>
      </c>
      <c r="C50" s="53">
        <v>2</v>
      </c>
      <c r="D50" s="53">
        <v>3</v>
      </c>
      <c r="E50" s="53"/>
      <c r="F50" s="53"/>
      <c r="G50" s="53"/>
      <c r="H50" s="53"/>
      <c r="I50" s="53"/>
      <c r="J50" s="53"/>
      <c r="K50" s="53"/>
      <c r="L50" s="53"/>
      <c r="M50" s="53" t="s">
        <v>361</v>
      </c>
      <c r="N50" s="53"/>
      <c r="O50" s="53"/>
      <c r="P50" s="54"/>
      <c r="Q50" s="34"/>
      <c r="R50" s="34">
        <v>12</v>
      </c>
      <c r="S50" s="34"/>
      <c r="T50" s="34"/>
      <c r="U50" s="34"/>
      <c r="V50" s="34"/>
      <c r="W50" s="34"/>
      <c r="X50" s="34"/>
      <c r="Y50" s="35">
        <f t="shared" si="16"/>
        <v>0.86399999999999988</v>
      </c>
      <c r="Z50" s="34"/>
      <c r="AA50" s="55">
        <f t="shared" si="14"/>
        <v>3.8400000000000007</v>
      </c>
      <c r="AB50" s="56"/>
      <c r="AC50" s="56"/>
      <c r="AD50" s="34"/>
      <c r="AE50" s="34"/>
      <c r="AF50" s="57">
        <f>(R50*8*0.996)+((R50/0.3)*1.2*0.557)</f>
        <v>122.352</v>
      </c>
    </row>
    <row r="51" spans="1:32" ht="15.75">
      <c r="A51" s="51">
        <v>108</v>
      </c>
      <c r="B51" s="52">
        <v>15</v>
      </c>
      <c r="C51" s="53">
        <v>2</v>
      </c>
      <c r="D51" s="53">
        <v>3</v>
      </c>
      <c r="E51" s="53"/>
      <c r="F51" s="53"/>
      <c r="G51" s="53"/>
      <c r="H51" s="53"/>
      <c r="I51" s="53"/>
      <c r="J51" s="53"/>
      <c r="K51" s="53"/>
      <c r="L51" s="53"/>
      <c r="M51" s="53" t="s">
        <v>361</v>
      </c>
      <c r="N51" s="53"/>
      <c r="O51" s="53"/>
      <c r="P51" s="54"/>
      <c r="Q51" s="34"/>
      <c r="R51" s="34">
        <v>15</v>
      </c>
      <c r="S51" s="34"/>
      <c r="T51" s="34"/>
      <c r="U51" s="34"/>
      <c r="V51" s="34"/>
      <c r="W51" s="34"/>
      <c r="X51" s="34"/>
      <c r="Y51" s="35">
        <f>(S51*0.151)+(V51*0.39)+(R51*0.072)+(Q51*0.072)+(T51*0.152)</f>
        <v>1.0799999999999998</v>
      </c>
      <c r="Z51" s="34"/>
      <c r="AA51" s="55">
        <f t="shared" si="14"/>
        <v>4.8000000000000007</v>
      </c>
      <c r="AB51" s="56"/>
      <c r="AC51" s="56"/>
      <c r="AD51" s="34"/>
      <c r="AE51" s="34"/>
      <c r="AF51" s="57">
        <f>(R51*8*0.996)+((R51/0.3)*1.2*0.557)</f>
        <v>152.94</v>
      </c>
    </row>
    <row r="52" spans="1:32" s="73" customFormat="1" ht="15.75">
      <c r="A52" s="51"/>
      <c r="B52" s="52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610" t="s">
        <v>371</v>
      </c>
      <c r="O52" s="610"/>
      <c r="P52" s="610"/>
      <c r="Q52" s="78">
        <f>SUM(Q41:Q51)</f>
        <v>18</v>
      </c>
      <c r="R52" s="78">
        <f t="shared" ref="R52:V52" si="17">SUM(R41:R51)</f>
        <v>27</v>
      </c>
      <c r="S52" s="78">
        <f t="shared" si="17"/>
        <v>95</v>
      </c>
      <c r="T52" s="78">
        <f t="shared" si="17"/>
        <v>25</v>
      </c>
      <c r="U52" s="78">
        <f t="shared" si="17"/>
        <v>0</v>
      </c>
      <c r="V52" s="78">
        <f t="shared" si="17"/>
        <v>0</v>
      </c>
      <c r="W52" s="79"/>
      <c r="X52" s="79"/>
      <c r="Y52" s="80"/>
      <c r="Z52" s="80"/>
      <c r="AA52" s="81"/>
      <c r="AB52" s="82"/>
      <c r="AC52" s="82"/>
      <c r="AD52" s="79"/>
      <c r="AE52" s="79"/>
      <c r="AF52" s="83"/>
    </row>
    <row r="53" spans="1:32" s="73" customFormat="1" ht="15.75">
      <c r="A53" s="51"/>
      <c r="B53" s="52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4"/>
      <c r="Q53" s="611" t="s">
        <v>363</v>
      </c>
      <c r="R53" s="611"/>
      <c r="S53" s="611"/>
      <c r="T53" s="611"/>
      <c r="U53" s="611"/>
      <c r="V53" s="611"/>
      <c r="W53" s="79"/>
      <c r="X53" s="79"/>
      <c r="Y53" s="80"/>
      <c r="Z53" s="80"/>
      <c r="AA53" s="81"/>
      <c r="AB53" s="82"/>
      <c r="AC53" s="82"/>
      <c r="AD53" s="79"/>
      <c r="AE53" s="79"/>
      <c r="AF53" s="83"/>
    </row>
    <row r="54" spans="1:32" s="73" customFormat="1" ht="15.75">
      <c r="A54" s="51"/>
      <c r="B54" s="52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4"/>
      <c r="Q54" s="78">
        <v>2.5</v>
      </c>
      <c r="R54" s="78">
        <v>3</v>
      </c>
      <c r="S54" s="78">
        <v>4</v>
      </c>
      <c r="T54" s="78">
        <v>6</v>
      </c>
      <c r="U54" s="78">
        <v>10</v>
      </c>
      <c r="V54" s="78">
        <v>12</v>
      </c>
      <c r="W54" s="79"/>
      <c r="X54" s="79"/>
      <c r="Y54" s="80"/>
      <c r="Z54" s="80"/>
      <c r="AA54" s="81"/>
      <c r="AB54" s="82"/>
      <c r="AC54" s="82"/>
      <c r="AD54" s="79"/>
      <c r="AE54" s="79"/>
      <c r="AF54" s="83"/>
    </row>
    <row r="55" spans="1:32" ht="15.75">
      <c r="A55" s="51">
        <v>23</v>
      </c>
      <c r="B55" s="52">
        <v>8</v>
      </c>
      <c r="C55" s="53">
        <v>2</v>
      </c>
      <c r="D55" s="53">
        <v>4</v>
      </c>
      <c r="E55" s="53"/>
      <c r="F55" s="53"/>
      <c r="G55" s="53"/>
      <c r="H55" s="53">
        <v>1.05</v>
      </c>
      <c r="I55" s="53">
        <v>1.05</v>
      </c>
      <c r="J55" s="53"/>
      <c r="K55" s="53"/>
      <c r="L55" s="53"/>
      <c r="M55" s="53"/>
      <c r="N55" s="53"/>
      <c r="O55" s="53"/>
      <c r="P55" s="54"/>
      <c r="Q55" s="34"/>
      <c r="R55" s="34"/>
      <c r="S55" s="34">
        <v>8</v>
      </c>
      <c r="T55" s="34"/>
      <c r="U55" s="34"/>
      <c r="V55" s="34"/>
      <c r="W55" s="55">
        <f t="shared" ref="W55:W61" si="18">(H55+I55+J55+K55)*0.19635+1.2*1.2*0.4*2</f>
        <v>1.5643349999999998</v>
      </c>
      <c r="X55" s="55">
        <f>1.2*1.2*0.4*2</f>
        <v>1.1519999999999999</v>
      </c>
      <c r="Y55" s="55"/>
      <c r="Z55" s="55">
        <f t="shared" ref="Z55:Z61" si="19">(H55+I55+J55+K55+0.4)*1.4*1.4*2</f>
        <v>9.7999999999999989</v>
      </c>
      <c r="AA55" s="55"/>
      <c r="AB55" s="56"/>
      <c r="AC55" s="56">
        <f t="shared" ref="AC55:AC79" si="20">Q55+R55+S55+T55+U55+V55</f>
        <v>8</v>
      </c>
      <c r="AD55" s="34">
        <f>B55</f>
        <v>8</v>
      </c>
      <c r="AE55" s="34">
        <v>2</v>
      </c>
      <c r="AF55" s="59">
        <f t="shared" ref="AF55:AF61" si="21">(AE55*10.76)+(((((H55+I55+J55+K55)*10)+((10*0.3)*AE55)))*1.56)+(((H55+I55+J55+K55)/0.075)*1.59)</f>
        <v>108.16000000000001</v>
      </c>
    </row>
    <row r="56" spans="1:32" ht="15.75">
      <c r="A56" s="51">
        <v>27</v>
      </c>
      <c r="B56" s="52">
        <v>18</v>
      </c>
      <c r="C56" s="53">
        <v>2</v>
      </c>
      <c r="D56" s="53">
        <v>6</v>
      </c>
      <c r="E56" s="53"/>
      <c r="F56" s="53"/>
      <c r="G56" s="53"/>
      <c r="H56" s="53">
        <v>1.07</v>
      </c>
      <c r="I56" s="53">
        <v>1.22</v>
      </c>
      <c r="J56" s="53"/>
      <c r="K56" s="53"/>
      <c r="L56" s="53"/>
      <c r="M56" s="53"/>
      <c r="N56" s="53"/>
      <c r="O56" s="53"/>
      <c r="P56" s="54"/>
      <c r="Q56" s="34"/>
      <c r="R56" s="34"/>
      <c r="S56" s="34">
        <v>18</v>
      </c>
      <c r="T56" s="34"/>
      <c r="U56" s="34"/>
      <c r="V56" s="34"/>
      <c r="W56" s="55">
        <f t="shared" si="18"/>
        <v>1.6016414999999999</v>
      </c>
      <c r="X56" s="55">
        <f t="shared" ref="X56:X61" si="22">1.2*1.2*0.4*2</f>
        <v>1.1519999999999999</v>
      </c>
      <c r="Y56" s="55"/>
      <c r="Z56" s="55">
        <f t="shared" si="19"/>
        <v>10.544799999999999</v>
      </c>
      <c r="AA56" s="55"/>
      <c r="AB56" s="56"/>
      <c r="AC56" s="56">
        <f t="shared" si="20"/>
        <v>18</v>
      </c>
      <c r="AD56" s="34">
        <f t="shared" ref="AD56:AD61" si="23">B56</f>
        <v>18</v>
      </c>
      <c r="AE56" s="34">
        <v>2</v>
      </c>
      <c r="AF56" s="59">
        <f t="shared" si="21"/>
        <v>115.152</v>
      </c>
    </row>
    <row r="57" spans="1:32" ht="15.75">
      <c r="A57" s="51">
        <v>100</v>
      </c>
      <c r="B57" s="52">
        <v>10</v>
      </c>
      <c r="C57" s="53">
        <v>2</v>
      </c>
      <c r="D57" s="53">
        <v>3</v>
      </c>
      <c r="E57" s="53"/>
      <c r="F57" s="53"/>
      <c r="G57" s="53"/>
      <c r="H57" s="53">
        <v>1.1000000000000001</v>
      </c>
      <c r="I57" s="53">
        <v>1.18</v>
      </c>
      <c r="J57" s="53"/>
      <c r="K57" s="53"/>
      <c r="L57" s="53"/>
      <c r="M57" s="53"/>
      <c r="N57" s="53"/>
      <c r="O57" s="53"/>
      <c r="P57" s="54"/>
      <c r="Q57" s="34"/>
      <c r="R57" s="34">
        <v>10</v>
      </c>
      <c r="S57" s="34"/>
      <c r="T57" s="34"/>
      <c r="U57" s="34"/>
      <c r="V57" s="34"/>
      <c r="W57" s="55">
        <f t="shared" si="18"/>
        <v>1.5996779999999999</v>
      </c>
      <c r="X57" s="55">
        <f t="shared" si="22"/>
        <v>1.1519999999999999</v>
      </c>
      <c r="Y57" s="55"/>
      <c r="Z57" s="55">
        <f t="shared" si="19"/>
        <v>10.505599999999999</v>
      </c>
      <c r="AA57" s="55"/>
      <c r="AB57" s="56"/>
      <c r="AC57" s="56">
        <f t="shared" si="20"/>
        <v>10</v>
      </c>
      <c r="AD57" s="34">
        <f t="shared" si="23"/>
        <v>10</v>
      </c>
      <c r="AE57" s="34">
        <v>2</v>
      </c>
      <c r="AF57" s="59">
        <f t="shared" si="21"/>
        <v>114.78400000000002</v>
      </c>
    </row>
    <row r="58" spans="1:32" ht="15.75">
      <c r="A58" s="51">
        <v>101</v>
      </c>
      <c r="B58" s="52">
        <v>7</v>
      </c>
      <c r="C58" s="53">
        <v>2</v>
      </c>
      <c r="D58" s="53">
        <v>3</v>
      </c>
      <c r="E58" s="53"/>
      <c r="F58" s="53"/>
      <c r="G58" s="53"/>
      <c r="H58" s="53">
        <v>1.19</v>
      </c>
      <c r="I58" s="53">
        <v>1.19</v>
      </c>
      <c r="J58" s="53"/>
      <c r="K58" s="53"/>
      <c r="L58" s="53"/>
      <c r="M58" s="53"/>
      <c r="N58" s="53"/>
      <c r="O58" s="53"/>
      <c r="P58" s="54"/>
      <c r="Q58" s="34"/>
      <c r="R58" s="34">
        <v>7</v>
      </c>
      <c r="S58" s="34"/>
      <c r="T58" s="34"/>
      <c r="U58" s="34"/>
      <c r="V58" s="34"/>
      <c r="W58" s="55">
        <f t="shared" si="18"/>
        <v>1.619313</v>
      </c>
      <c r="X58" s="55">
        <f t="shared" si="22"/>
        <v>1.1519999999999999</v>
      </c>
      <c r="Y58" s="55"/>
      <c r="Z58" s="55">
        <f t="shared" si="19"/>
        <v>10.897599999999997</v>
      </c>
      <c r="AA58" s="55"/>
      <c r="AB58" s="56"/>
      <c r="AC58" s="56">
        <f t="shared" si="20"/>
        <v>7</v>
      </c>
      <c r="AD58" s="34">
        <f t="shared" si="23"/>
        <v>7</v>
      </c>
      <c r="AE58" s="34">
        <v>2</v>
      </c>
      <c r="AF58" s="59">
        <f t="shared" si="21"/>
        <v>118.464</v>
      </c>
    </row>
    <row r="59" spans="1:32" ht="15.75">
      <c r="A59" s="51">
        <v>102</v>
      </c>
      <c r="B59" s="52">
        <v>11</v>
      </c>
      <c r="C59" s="53">
        <v>2</v>
      </c>
      <c r="D59" s="53">
        <v>3</v>
      </c>
      <c r="E59" s="53"/>
      <c r="F59" s="53"/>
      <c r="G59" s="53"/>
      <c r="H59" s="53">
        <v>1.1000000000000001</v>
      </c>
      <c r="I59" s="53">
        <v>1.08</v>
      </c>
      <c r="J59" s="53"/>
      <c r="K59" s="53"/>
      <c r="L59" s="53"/>
      <c r="M59" s="53"/>
      <c r="N59" s="53"/>
      <c r="O59" s="53"/>
      <c r="P59" s="54"/>
      <c r="Q59" s="34"/>
      <c r="R59" s="34">
        <v>11</v>
      </c>
      <c r="S59" s="34"/>
      <c r="T59" s="34"/>
      <c r="U59" s="34"/>
      <c r="V59" s="34"/>
      <c r="W59" s="55">
        <f t="shared" si="18"/>
        <v>1.5800429999999999</v>
      </c>
      <c r="X59" s="55">
        <f t="shared" si="22"/>
        <v>1.1519999999999999</v>
      </c>
      <c r="Y59" s="55"/>
      <c r="Z59" s="55">
        <f t="shared" si="19"/>
        <v>10.113599999999998</v>
      </c>
      <c r="AA59" s="55"/>
      <c r="AB59" s="56"/>
      <c r="AC59" s="56">
        <f t="shared" si="20"/>
        <v>11</v>
      </c>
      <c r="AD59" s="34">
        <f t="shared" si="23"/>
        <v>11</v>
      </c>
      <c r="AE59" s="34">
        <v>2</v>
      </c>
      <c r="AF59" s="59">
        <f t="shared" si="21"/>
        <v>111.10400000000001</v>
      </c>
    </row>
    <row r="60" spans="1:32" ht="15.75">
      <c r="A60" s="51">
        <v>103</v>
      </c>
      <c r="B60" s="52">
        <v>7</v>
      </c>
      <c r="C60" s="53">
        <v>2</v>
      </c>
      <c r="D60" s="53">
        <v>3</v>
      </c>
      <c r="E60" s="53"/>
      <c r="F60" s="53"/>
      <c r="G60" s="53"/>
      <c r="H60" s="53">
        <v>1.06</v>
      </c>
      <c r="I60" s="53">
        <v>1.1499999999999999</v>
      </c>
      <c r="J60" s="53"/>
      <c r="K60" s="53"/>
      <c r="L60" s="53"/>
      <c r="M60" s="53"/>
      <c r="N60" s="53"/>
      <c r="O60" s="53"/>
      <c r="P60" s="54"/>
      <c r="Q60" s="34"/>
      <c r="R60" s="34">
        <v>7</v>
      </c>
      <c r="S60" s="34"/>
      <c r="T60" s="34"/>
      <c r="U60" s="34"/>
      <c r="V60" s="34"/>
      <c r="W60" s="55">
        <f t="shared" si="18"/>
        <v>1.5859334999999999</v>
      </c>
      <c r="X60" s="55">
        <f t="shared" si="22"/>
        <v>1.1519999999999999</v>
      </c>
      <c r="Y60" s="55"/>
      <c r="Z60" s="55">
        <f t="shared" si="19"/>
        <v>10.231199999999998</v>
      </c>
      <c r="AA60" s="55"/>
      <c r="AB60" s="56"/>
      <c r="AC60" s="56">
        <f t="shared" si="20"/>
        <v>7</v>
      </c>
      <c r="AD60" s="34">
        <f t="shared" si="23"/>
        <v>7</v>
      </c>
      <c r="AE60" s="34">
        <v>2</v>
      </c>
      <c r="AF60" s="59">
        <f t="shared" si="21"/>
        <v>112.20800000000001</v>
      </c>
    </row>
    <row r="61" spans="1:32" ht="15.75">
      <c r="A61" s="51">
        <v>104</v>
      </c>
      <c r="B61" s="52">
        <v>10</v>
      </c>
      <c r="C61" s="53">
        <v>2</v>
      </c>
      <c r="D61" s="53">
        <v>3</v>
      </c>
      <c r="E61" s="53"/>
      <c r="F61" s="53"/>
      <c r="G61" s="53"/>
      <c r="H61" s="53">
        <v>1.1000000000000001</v>
      </c>
      <c r="I61" s="53">
        <v>1.08</v>
      </c>
      <c r="J61" s="53"/>
      <c r="K61" s="53"/>
      <c r="L61" s="53"/>
      <c r="M61" s="53"/>
      <c r="N61" s="53"/>
      <c r="O61" s="53"/>
      <c r="P61" s="54"/>
      <c r="Q61" s="34"/>
      <c r="R61" s="34">
        <v>10</v>
      </c>
      <c r="S61" s="34"/>
      <c r="T61" s="34"/>
      <c r="U61" s="34"/>
      <c r="V61" s="34"/>
      <c r="W61" s="55">
        <f t="shared" si="18"/>
        <v>1.5800429999999999</v>
      </c>
      <c r="X61" s="55">
        <f t="shared" si="22"/>
        <v>1.1519999999999999</v>
      </c>
      <c r="Y61" s="55"/>
      <c r="Z61" s="55">
        <f t="shared" si="19"/>
        <v>10.113599999999998</v>
      </c>
      <c r="AA61" s="55"/>
      <c r="AB61" s="56"/>
      <c r="AC61" s="56">
        <f t="shared" si="20"/>
        <v>10</v>
      </c>
      <c r="AD61" s="34">
        <f t="shared" si="23"/>
        <v>10</v>
      </c>
      <c r="AE61" s="34">
        <v>2</v>
      </c>
      <c r="AF61" s="59">
        <f t="shared" si="21"/>
        <v>111.10400000000001</v>
      </c>
    </row>
    <row r="62" spans="1:32" ht="15.75">
      <c r="A62" s="51">
        <v>15</v>
      </c>
      <c r="B62" s="52">
        <v>7</v>
      </c>
      <c r="C62" s="53">
        <v>2</v>
      </c>
      <c r="D62" s="53">
        <v>4</v>
      </c>
      <c r="E62" s="53"/>
      <c r="F62" s="53"/>
      <c r="G62" s="53"/>
      <c r="H62" s="53"/>
      <c r="I62" s="53"/>
      <c r="J62" s="53"/>
      <c r="K62" s="53"/>
      <c r="L62" s="53" t="s">
        <v>361</v>
      </c>
      <c r="M62" s="53"/>
      <c r="N62" s="53"/>
      <c r="O62" s="53"/>
      <c r="P62" s="54"/>
      <c r="Q62" s="34"/>
      <c r="R62" s="34"/>
      <c r="S62" s="34">
        <v>4</v>
      </c>
      <c r="T62" s="34"/>
      <c r="U62" s="34"/>
      <c r="V62" s="34"/>
      <c r="W62" s="35"/>
      <c r="X62" s="35"/>
      <c r="Y62" s="35"/>
      <c r="Z62" s="34"/>
      <c r="AA62" s="55"/>
      <c r="AB62" s="56">
        <f t="shared" ref="AB62:AB79" si="24">Q62+R62+S62+T62+U62+V62</f>
        <v>4</v>
      </c>
      <c r="AC62" s="56">
        <f t="shared" si="20"/>
        <v>4</v>
      </c>
      <c r="AD62" s="34"/>
      <c r="AE62" s="34"/>
      <c r="AF62" s="59"/>
    </row>
    <row r="63" spans="1:32" ht="15.75">
      <c r="A63" s="51">
        <v>16</v>
      </c>
      <c r="B63" s="52">
        <v>36</v>
      </c>
      <c r="C63" s="53">
        <v>2</v>
      </c>
      <c r="D63" s="53">
        <v>4</v>
      </c>
      <c r="E63" s="53"/>
      <c r="F63" s="53"/>
      <c r="G63" s="53"/>
      <c r="H63" s="53"/>
      <c r="I63" s="53"/>
      <c r="J63" s="53"/>
      <c r="K63" s="53"/>
      <c r="L63" s="53" t="s">
        <v>361</v>
      </c>
      <c r="M63" s="53"/>
      <c r="N63" s="53"/>
      <c r="O63" s="53"/>
      <c r="P63" s="54"/>
      <c r="Q63" s="34"/>
      <c r="R63" s="34"/>
      <c r="S63" s="34">
        <v>36</v>
      </c>
      <c r="T63" s="34"/>
      <c r="U63" s="34"/>
      <c r="V63" s="34"/>
      <c r="W63" s="34"/>
      <c r="X63" s="34"/>
      <c r="Y63" s="35"/>
      <c r="Z63" s="34"/>
      <c r="AA63" s="55"/>
      <c r="AB63" s="56">
        <f t="shared" si="24"/>
        <v>36</v>
      </c>
      <c r="AC63" s="56">
        <f t="shared" si="20"/>
        <v>36</v>
      </c>
      <c r="AD63" s="34"/>
      <c r="AE63" s="34"/>
      <c r="AF63" s="59"/>
    </row>
    <row r="64" spans="1:32" ht="15.75">
      <c r="A64" s="51">
        <v>17</v>
      </c>
      <c r="B64" s="52">
        <v>11</v>
      </c>
      <c r="C64" s="53">
        <v>2</v>
      </c>
      <c r="D64" s="53">
        <v>2.5</v>
      </c>
      <c r="E64" s="53"/>
      <c r="F64" s="53"/>
      <c r="G64" s="53"/>
      <c r="H64" s="53"/>
      <c r="I64" s="53"/>
      <c r="J64" s="53"/>
      <c r="K64" s="53"/>
      <c r="L64" s="53" t="s">
        <v>361</v>
      </c>
      <c r="M64" s="53"/>
      <c r="N64" s="53"/>
      <c r="O64" s="53"/>
      <c r="P64" s="54"/>
      <c r="Q64" s="34">
        <v>11</v>
      </c>
      <c r="R64" s="34"/>
      <c r="S64" s="34"/>
      <c r="T64" s="34"/>
      <c r="U64" s="34"/>
      <c r="V64" s="34"/>
      <c r="W64" s="34"/>
      <c r="X64" s="34"/>
      <c r="Y64" s="35"/>
      <c r="Z64" s="34"/>
      <c r="AA64" s="55"/>
      <c r="AB64" s="56">
        <f t="shared" si="24"/>
        <v>11</v>
      </c>
      <c r="AC64" s="56">
        <f t="shared" si="20"/>
        <v>11</v>
      </c>
      <c r="AD64" s="34"/>
      <c r="AE64" s="34"/>
      <c r="AF64" s="59"/>
    </row>
    <row r="65" spans="1:32" ht="15.75">
      <c r="A65" s="51">
        <v>22</v>
      </c>
      <c r="B65" s="52">
        <v>17</v>
      </c>
      <c r="C65" s="53">
        <v>2</v>
      </c>
      <c r="D65" s="53">
        <v>4</v>
      </c>
      <c r="E65" s="53"/>
      <c r="F65" s="53"/>
      <c r="G65" s="53"/>
      <c r="H65" s="53"/>
      <c r="I65" s="53"/>
      <c r="J65" s="53"/>
      <c r="K65" s="53"/>
      <c r="L65" s="53" t="s">
        <v>361</v>
      </c>
      <c r="M65" s="53"/>
      <c r="N65" s="53"/>
      <c r="O65" s="53"/>
      <c r="P65" s="54"/>
      <c r="Q65" s="34"/>
      <c r="R65" s="34"/>
      <c r="S65" s="34">
        <v>17</v>
      </c>
      <c r="T65" s="34"/>
      <c r="U65" s="34"/>
      <c r="V65" s="34"/>
      <c r="W65" s="34"/>
      <c r="X65" s="34"/>
      <c r="Y65" s="35"/>
      <c r="Z65" s="34"/>
      <c r="AA65" s="55"/>
      <c r="AB65" s="56">
        <f t="shared" si="24"/>
        <v>17</v>
      </c>
      <c r="AC65" s="56">
        <f t="shared" si="20"/>
        <v>17</v>
      </c>
      <c r="AD65" s="34"/>
      <c r="AE65" s="34"/>
      <c r="AF65" s="59"/>
    </row>
    <row r="66" spans="1:32" ht="15.75">
      <c r="A66" s="51">
        <v>24</v>
      </c>
      <c r="B66" s="52">
        <v>8</v>
      </c>
      <c r="C66" s="53">
        <v>2</v>
      </c>
      <c r="D66" s="53">
        <v>4</v>
      </c>
      <c r="E66" s="53"/>
      <c r="F66" s="53"/>
      <c r="G66" s="53"/>
      <c r="H66" s="53"/>
      <c r="I66" s="53"/>
      <c r="J66" s="53"/>
      <c r="K66" s="53"/>
      <c r="L66" s="53" t="s">
        <v>361</v>
      </c>
      <c r="M66" s="53"/>
      <c r="N66" s="53"/>
      <c r="O66" s="53"/>
      <c r="P66" s="54"/>
      <c r="Q66" s="34"/>
      <c r="R66" s="34"/>
      <c r="S66" s="34">
        <v>8</v>
      </c>
      <c r="T66" s="34"/>
      <c r="U66" s="34"/>
      <c r="V66" s="34"/>
      <c r="W66" s="34"/>
      <c r="X66" s="34"/>
      <c r="Y66" s="35"/>
      <c r="Z66" s="34"/>
      <c r="AA66" s="55"/>
      <c r="AB66" s="56">
        <f t="shared" si="24"/>
        <v>8</v>
      </c>
      <c r="AC66" s="56">
        <f t="shared" si="20"/>
        <v>8</v>
      </c>
      <c r="AD66" s="34"/>
      <c r="AE66" s="34"/>
      <c r="AF66" s="59"/>
    </row>
    <row r="67" spans="1:32" ht="15.75">
      <c r="A67" s="51">
        <v>25</v>
      </c>
      <c r="B67" s="52">
        <v>11</v>
      </c>
      <c r="C67" s="53">
        <v>2</v>
      </c>
      <c r="D67" s="53">
        <v>4</v>
      </c>
      <c r="E67" s="53"/>
      <c r="F67" s="53"/>
      <c r="G67" s="53"/>
      <c r="H67" s="53"/>
      <c r="I67" s="53"/>
      <c r="J67" s="53"/>
      <c r="K67" s="53"/>
      <c r="L67" s="53" t="s">
        <v>361</v>
      </c>
      <c r="M67" s="53"/>
      <c r="N67" s="53"/>
      <c r="O67" s="53"/>
      <c r="P67" s="54"/>
      <c r="Q67" s="34"/>
      <c r="R67" s="34"/>
      <c r="S67" s="34">
        <v>11</v>
      </c>
      <c r="T67" s="34"/>
      <c r="U67" s="34"/>
      <c r="V67" s="34"/>
      <c r="W67" s="34"/>
      <c r="X67" s="34"/>
      <c r="Y67" s="35"/>
      <c r="Z67" s="34"/>
      <c r="AA67" s="55"/>
      <c r="AB67" s="56">
        <f t="shared" si="24"/>
        <v>11</v>
      </c>
      <c r="AC67" s="56">
        <f t="shared" si="20"/>
        <v>11</v>
      </c>
      <c r="AD67" s="34"/>
      <c r="AE67" s="34"/>
      <c r="AF67" s="59"/>
    </row>
    <row r="68" spans="1:32" ht="15.75">
      <c r="A68" s="51">
        <v>26</v>
      </c>
      <c r="B68" s="52">
        <v>14</v>
      </c>
      <c r="C68" s="53">
        <v>2</v>
      </c>
      <c r="D68" s="53">
        <v>4</v>
      </c>
      <c r="E68" s="53"/>
      <c r="F68" s="53"/>
      <c r="G68" s="53"/>
      <c r="H68" s="53"/>
      <c r="I68" s="53"/>
      <c r="J68" s="53"/>
      <c r="K68" s="53"/>
      <c r="L68" s="53" t="s">
        <v>361</v>
      </c>
      <c r="M68" s="53"/>
      <c r="N68" s="53"/>
      <c r="O68" s="53"/>
      <c r="P68" s="54"/>
      <c r="Q68" s="34"/>
      <c r="R68" s="34"/>
      <c r="S68" s="34">
        <v>14</v>
      </c>
      <c r="T68" s="34"/>
      <c r="U68" s="34"/>
      <c r="V68" s="34"/>
      <c r="W68" s="34"/>
      <c r="X68" s="34"/>
      <c r="Y68" s="35"/>
      <c r="Z68" s="34"/>
      <c r="AA68" s="55"/>
      <c r="AB68" s="56">
        <f t="shared" si="24"/>
        <v>14</v>
      </c>
      <c r="AC68" s="56">
        <f t="shared" si="20"/>
        <v>14</v>
      </c>
      <c r="AD68" s="34"/>
      <c r="AE68" s="34"/>
      <c r="AF68" s="59"/>
    </row>
    <row r="69" spans="1:32" ht="15.75">
      <c r="A69" s="51">
        <v>31</v>
      </c>
      <c r="B69" s="52">
        <v>10</v>
      </c>
      <c r="C69" s="53">
        <v>2</v>
      </c>
      <c r="D69" s="53">
        <v>2.5</v>
      </c>
      <c r="E69" s="53"/>
      <c r="F69" s="53"/>
      <c r="G69" s="53"/>
      <c r="H69" s="53"/>
      <c r="I69" s="53"/>
      <c r="J69" s="53"/>
      <c r="K69" s="53"/>
      <c r="L69" s="53" t="s">
        <v>361</v>
      </c>
      <c r="M69" s="53"/>
      <c r="N69" s="53"/>
      <c r="O69" s="53"/>
      <c r="P69" s="54"/>
      <c r="Q69" s="34">
        <v>10</v>
      </c>
      <c r="R69" s="34"/>
      <c r="S69" s="34"/>
      <c r="T69" s="34"/>
      <c r="U69" s="34"/>
      <c r="V69" s="34"/>
      <c r="W69" s="34"/>
      <c r="X69" s="34"/>
      <c r="Y69" s="35"/>
      <c r="Z69" s="34"/>
      <c r="AA69" s="55"/>
      <c r="AB69" s="56">
        <f t="shared" si="24"/>
        <v>10</v>
      </c>
      <c r="AC69" s="56">
        <f t="shared" si="20"/>
        <v>10</v>
      </c>
      <c r="AD69" s="34"/>
      <c r="AE69" s="34"/>
      <c r="AF69" s="59"/>
    </row>
    <row r="70" spans="1:32" ht="15.75">
      <c r="A70" s="51">
        <v>38</v>
      </c>
      <c r="B70" s="52">
        <v>25</v>
      </c>
      <c r="C70" s="53">
        <v>2</v>
      </c>
      <c r="D70" s="53">
        <v>4</v>
      </c>
      <c r="E70" s="53">
        <v>6</v>
      </c>
      <c r="F70" s="53"/>
      <c r="G70" s="53"/>
      <c r="H70" s="53"/>
      <c r="I70" s="53"/>
      <c r="J70" s="53"/>
      <c r="K70" s="53"/>
      <c r="L70" s="53" t="s">
        <v>361</v>
      </c>
      <c r="M70" s="53"/>
      <c r="N70" s="53"/>
      <c r="O70" s="53"/>
      <c r="P70" s="54"/>
      <c r="Q70" s="34"/>
      <c r="R70" s="34"/>
      <c r="S70" s="34"/>
      <c r="T70" s="34"/>
      <c r="U70" s="34"/>
      <c r="V70" s="34"/>
      <c r="W70" s="34"/>
      <c r="X70" s="34"/>
      <c r="Y70" s="35"/>
      <c r="Z70" s="34"/>
      <c r="AA70" s="55"/>
      <c r="AB70" s="56">
        <f t="shared" si="24"/>
        <v>0</v>
      </c>
      <c r="AC70" s="56">
        <f t="shared" si="20"/>
        <v>0</v>
      </c>
      <c r="AD70" s="34"/>
      <c r="AE70" s="34"/>
      <c r="AF70" s="59"/>
    </row>
    <row r="71" spans="1:32" ht="15.75">
      <c r="A71" s="51">
        <v>44</v>
      </c>
      <c r="B71" s="52">
        <v>11</v>
      </c>
      <c r="C71" s="53">
        <v>2</v>
      </c>
      <c r="D71" s="53">
        <v>6</v>
      </c>
      <c r="E71" s="53"/>
      <c r="F71" s="53"/>
      <c r="G71" s="53"/>
      <c r="H71" s="53"/>
      <c r="I71" s="53"/>
      <c r="J71" s="53"/>
      <c r="K71" s="53"/>
      <c r="L71" s="53" t="s">
        <v>361</v>
      </c>
      <c r="M71" s="53"/>
      <c r="N71" s="53"/>
      <c r="O71" s="53"/>
      <c r="P71" s="54"/>
      <c r="Q71" s="34"/>
      <c r="R71" s="34"/>
      <c r="S71" s="34"/>
      <c r="T71" s="34">
        <v>11</v>
      </c>
      <c r="U71" s="34"/>
      <c r="V71" s="34"/>
      <c r="W71" s="34"/>
      <c r="X71" s="34"/>
      <c r="Y71" s="35"/>
      <c r="Z71" s="34"/>
      <c r="AA71" s="55"/>
      <c r="AB71" s="56">
        <f t="shared" si="24"/>
        <v>11</v>
      </c>
      <c r="AC71" s="56">
        <f t="shared" si="20"/>
        <v>11</v>
      </c>
      <c r="AD71" s="34"/>
      <c r="AE71" s="34"/>
      <c r="AF71" s="59"/>
    </row>
    <row r="72" spans="1:32" ht="15.75">
      <c r="A72" s="51">
        <v>45</v>
      </c>
      <c r="B72" s="52">
        <v>10</v>
      </c>
      <c r="C72" s="53">
        <v>2</v>
      </c>
      <c r="D72" s="53">
        <v>2.5</v>
      </c>
      <c r="E72" s="53"/>
      <c r="F72" s="53"/>
      <c r="G72" s="53"/>
      <c r="H72" s="53"/>
      <c r="I72" s="53"/>
      <c r="J72" s="53"/>
      <c r="K72" s="53"/>
      <c r="L72" s="53" t="s">
        <v>361</v>
      </c>
      <c r="M72" s="53"/>
      <c r="N72" s="53"/>
      <c r="O72" s="53"/>
      <c r="P72" s="54"/>
      <c r="Q72" s="34">
        <v>10</v>
      </c>
      <c r="R72" s="34"/>
      <c r="S72" s="34"/>
      <c r="T72" s="34"/>
      <c r="U72" s="34"/>
      <c r="V72" s="34"/>
      <c r="W72" s="34"/>
      <c r="X72" s="34"/>
      <c r="Y72" s="35"/>
      <c r="Z72" s="34"/>
      <c r="AA72" s="55"/>
      <c r="AB72" s="56">
        <f t="shared" si="24"/>
        <v>10</v>
      </c>
      <c r="AC72" s="56">
        <f t="shared" si="20"/>
        <v>10</v>
      </c>
      <c r="AD72" s="34"/>
      <c r="AE72" s="34"/>
      <c r="AF72" s="59"/>
    </row>
    <row r="73" spans="1:32" ht="15.75">
      <c r="A73" s="51">
        <v>46</v>
      </c>
      <c r="B73" s="52">
        <v>12</v>
      </c>
      <c r="C73" s="53">
        <v>2</v>
      </c>
      <c r="D73" s="53">
        <v>4</v>
      </c>
      <c r="E73" s="53">
        <v>6</v>
      </c>
      <c r="F73" s="53"/>
      <c r="G73" s="53"/>
      <c r="H73" s="53"/>
      <c r="I73" s="53"/>
      <c r="J73" s="53"/>
      <c r="K73" s="53"/>
      <c r="L73" s="53" t="s">
        <v>361</v>
      </c>
      <c r="M73" s="53"/>
      <c r="N73" s="53"/>
      <c r="O73" s="53"/>
      <c r="P73" s="54"/>
      <c r="Q73" s="34"/>
      <c r="R73" s="34"/>
      <c r="S73" s="34">
        <v>12</v>
      </c>
      <c r="T73" s="34">
        <v>12</v>
      </c>
      <c r="U73" s="34"/>
      <c r="V73" s="34"/>
      <c r="W73" s="34"/>
      <c r="X73" s="34"/>
      <c r="Y73" s="35"/>
      <c r="Z73" s="34"/>
      <c r="AA73" s="55"/>
      <c r="AB73" s="56">
        <f t="shared" si="24"/>
        <v>24</v>
      </c>
      <c r="AC73" s="56">
        <f t="shared" si="20"/>
        <v>24</v>
      </c>
      <c r="AD73" s="34"/>
      <c r="AE73" s="34"/>
      <c r="AF73" s="59"/>
    </row>
    <row r="74" spans="1:32" ht="18.399999999999999" customHeight="1">
      <c r="A74" s="51">
        <v>49</v>
      </c>
      <c r="B74" s="52">
        <v>6</v>
      </c>
      <c r="C74" s="53">
        <v>2</v>
      </c>
      <c r="D74" s="53">
        <v>2.5</v>
      </c>
      <c r="E74" s="53"/>
      <c r="F74" s="53"/>
      <c r="G74" s="53"/>
      <c r="H74" s="53"/>
      <c r="I74" s="53"/>
      <c r="J74" s="53"/>
      <c r="K74" s="53"/>
      <c r="L74" s="53" t="s">
        <v>361</v>
      </c>
      <c r="M74" s="53"/>
      <c r="N74" s="53"/>
      <c r="O74" s="53"/>
      <c r="P74" s="54"/>
      <c r="Q74" s="34">
        <v>6</v>
      </c>
      <c r="R74" s="34"/>
      <c r="S74" s="34"/>
      <c r="T74" s="34"/>
      <c r="U74" s="34"/>
      <c r="V74" s="34"/>
      <c r="W74" s="34"/>
      <c r="X74" s="34"/>
      <c r="Y74" s="35"/>
      <c r="Z74" s="34"/>
      <c r="AA74" s="55"/>
      <c r="AB74" s="56">
        <f t="shared" si="24"/>
        <v>6</v>
      </c>
      <c r="AC74" s="56">
        <f t="shared" si="20"/>
        <v>6</v>
      </c>
      <c r="AD74" s="34"/>
      <c r="AE74" s="34"/>
      <c r="AF74" s="59"/>
    </row>
    <row r="75" spans="1:32" ht="15.75">
      <c r="A75" s="51">
        <v>50</v>
      </c>
      <c r="B75" s="52">
        <v>14</v>
      </c>
      <c r="C75" s="53">
        <v>2</v>
      </c>
      <c r="D75" s="53">
        <v>2.5</v>
      </c>
      <c r="E75" s="53"/>
      <c r="F75" s="53"/>
      <c r="G75" s="53"/>
      <c r="H75" s="53"/>
      <c r="I75" s="53"/>
      <c r="J75" s="53"/>
      <c r="K75" s="53"/>
      <c r="L75" s="53" t="s">
        <v>361</v>
      </c>
      <c r="M75" s="53"/>
      <c r="N75" s="53"/>
      <c r="O75" s="53"/>
      <c r="P75" s="54"/>
      <c r="Q75" s="34">
        <v>14</v>
      </c>
      <c r="R75" s="34"/>
      <c r="S75" s="34"/>
      <c r="T75" s="34"/>
      <c r="U75" s="34"/>
      <c r="V75" s="34"/>
      <c r="W75" s="34"/>
      <c r="X75" s="34"/>
      <c r="Y75" s="35"/>
      <c r="Z75" s="34"/>
      <c r="AA75" s="55"/>
      <c r="AB75" s="56">
        <f t="shared" si="24"/>
        <v>14</v>
      </c>
      <c r="AC75" s="56">
        <f t="shared" si="20"/>
        <v>14</v>
      </c>
      <c r="AD75" s="34"/>
      <c r="AE75" s="34"/>
      <c r="AF75" s="59"/>
    </row>
    <row r="76" spans="1:32" ht="15.75">
      <c r="A76" s="51">
        <v>98</v>
      </c>
      <c r="B76" s="52">
        <v>15</v>
      </c>
      <c r="C76" s="53">
        <v>2</v>
      </c>
      <c r="D76" s="53">
        <v>4</v>
      </c>
      <c r="E76" s="53"/>
      <c r="F76" s="53"/>
      <c r="G76" s="53"/>
      <c r="H76" s="53"/>
      <c r="I76" s="53"/>
      <c r="J76" s="53"/>
      <c r="K76" s="53"/>
      <c r="L76" s="53" t="s">
        <v>361</v>
      </c>
      <c r="M76" s="53"/>
      <c r="N76" s="53"/>
      <c r="O76" s="53"/>
      <c r="P76" s="54"/>
      <c r="Q76" s="34"/>
      <c r="R76" s="34"/>
      <c r="S76" s="34">
        <v>15</v>
      </c>
      <c r="T76" s="34"/>
      <c r="U76" s="34"/>
      <c r="V76" s="34"/>
      <c r="W76" s="34"/>
      <c r="X76" s="34"/>
      <c r="Y76" s="35"/>
      <c r="Z76" s="34"/>
      <c r="AA76" s="55"/>
      <c r="AB76" s="56">
        <f t="shared" si="24"/>
        <v>15</v>
      </c>
      <c r="AC76" s="56">
        <f t="shared" si="20"/>
        <v>15</v>
      </c>
      <c r="AD76" s="34"/>
      <c r="AE76" s="34"/>
      <c r="AF76" s="59"/>
    </row>
    <row r="77" spans="1:32" ht="15.75">
      <c r="A77" s="51">
        <v>99</v>
      </c>
      <c r="B77" s="52">
        <v>5</v>
      </c>
      <c r="C77" s="53">
        <v>2</v>
      </c>
      <c r="D77" s="53">
        <v>4</v>
      </c>
      <c r="E77" s="53"/>
      <c r="F77" s="53"/>
      <c r="G77" s="53"/>
      <c r="H77" s="53"/>
      <c r="I77" s="53"/>
      <c r="J77" s="53"/>
      <c r="K77" s="53"/>
      <c r="L77" s="53" t="s">
        <v>361</v>
      </c>
      <c r="M77" s="53"/>
      <c r="N77" s="53"/>
      <c r="O77" s="53"/>
      <c r="P77" s="54"/>
      <c r="Q77" s="34"/>
      <c r="R77" s="34"/>
      <c r="S77" s="34">
        <v>5</v>
      </c>
      <c r="T77" s="34"/>
      <c r="U77" s="34"/>
      <c r="V77" s="34"/>
      <c r="W77" s="34"/>
      <c r="X77" s="34"/>
      <c r="Y77" s="35"/>
      <c r="Z77" s="34"/>
      <c r="AA77" s="55"/>
      <c r="AB77" s="56">
        <f t="shared" si="24"/>
        <v>5</v>
      </c>
      <c r="AC77" s="56">
        <f t="shared" si="20"/>
        <v>5</v>
      </c>
      <c r="AD77" s="34"/>
      <c r="AE77" s="34"/>
      <c r="AF77" s="59"/>
    </row>
    <row r="78" spans="1:32" ht="15.75">
      <c r="A78" s="51">
        <v>105</v>
      </c>
      <c r="B78" s="52">
        <v>3.5</v>
      </c>
      <c r="C78" s="53">
        <v>2</v>
      </c>
      <c r="D78" s="53">
        <v>3</v>
      </c>
      <c r="E78" s="53"/>
      <c r="F78" s="53"/>
      <c r="G78" s="53"/>
      <c r="H78" s="53"/>
      <c r="I78" s="53"/>
      <c r="J78" s="53"/>
      <c r="K78" s="53"/>
      <c r="L78" s="53" t="s">
        <v>361</v>
      </c>
      <c r="M78" s="53"/>
      <c r="N78" s="53"/>
      <c r="O78" s="53"/>
      <c r="P78" s="54"/>
      <c r="Q78" s="34"/>
      <c r="R78" s="34">
        <v>4</v>
      </c>
      <c r="S78" s="34"/>
      <c r="T78" s="34"/>
      <c r="U78" s="34"/>
      <c r="V78" s="34"/>
      <c r="W78" s="34"/>
      <c r="X78" s="34"/>
      <c r="Y78" s="35"/>
      <c r="Z78" s="34"/>
      <c r="AA78" s="55"/>
      <c r="AB78" s="56">
        <f t="shared" si="24"/>
        <v>4</v>
      </c>
      <c r="AC78" s="56">
        <f t="shared" si="20"/>
        <v>4</v>
      </c>
      <c r="AD78" s="34"/>
      <c r="AE78" s="34"/>
      <c r="AF78" s="59"/>
    </row>
    <row r="79" spans="1:32" ht="15.75">
      <c r="A79" s="51">
        <v>106</v>
      </c>
      <c r="B79" s="52">
        <v>7</v>
      </c>
      <c r="C79" s="53">
        <v>2</v>
      </c>
      <c r="D79" s="53">
        <v>3</v>
      </c>
      <c r="E79" s="53"/>
      <c r="F79" s="53"/>
      <c r="G79" s="53"/>
      <c r="H79" s="53"/>
      <c r="I79" s="53"/>
      <c r="J79" s="53"/>
      <c r="K79" s="53"/>
      <c r="L79" s="53" t="s">
        <v>361</v>
      </c>
      <c r="M79" s="53"/>
      <c r="N79" s="53"/>
      <c r="O79" s="53"/>
      <c r="P79" s="54"/>
      <c r="Q79" s="34"/>
      <c r="R79" s="34">
        <v>7</v>
      </c>
      <c r="S79" s="34"/>
      <c r="T79" s="34"/>
      <c r="U79" s="34"/>
      <c r="V79" s="34"/>
      <c r="W79" s="34"/>
      <c r="X79" s="34"/>
      <c r="Y79" s="35"/>
      <c r="Z79" s="34"/>
      <c r="AA79" s="55"/>
      <c r="AB79" s="56">
        <f t="shared" si="24"/>
        <v>7</v>
      </c>
      <c r="AC79" s="56">
        <f t="shared" si="20"/>
        <v>7</v>
      </c>
      <c r="AD79" s="34"/>
      <c r="AE79" s="34"/>
      <c r="AF79" s="59"/>
    </row>
    <row r="80" spans="1:32" ht="15.75">
      <c r="A80" s="51">
        <v>34</v>
      </c>
      <c r="B80" s="52">
        <v>2</v>
      </c>
      <c r="C80" s="53">
        <v>2</v>
      </c>
      <c r="D80" s="53">
        <v>2.5</v>
      </c>
      <c r="E80" s="53"/>
      <c r="F80" s="53"/>
      <c r="G80" s="53"/>
      <c r="H80" s="53"/>
      <c r="I80" s="53"/>
      <c r="J80" s="53"/>
      <c r="K80" s="53"/>
      <c r="L80" s="53"/>
      <c r="M80" s="53"/>
      <c r="N80" s="53" t="s">
        <v>361</v>
      </c>
      <c r="O80" s="53"/>
      <c r="P80" s="54"/>
      <c r="Q80" s="34">
        <v>2</v>
      </c>
      <c r="R80" s="34"/>
      <c r="S80" s="34"/>
      <c r="T80" s="34"/>
      <c r="U80" s="34"/>
      <c r="V80" s="34"/>
      <c r="W80" s="34"/>
      <c r="X80" s="34"/>
      <c r="Y80" s="55">
        <f>(Q80+R80+S80+T80+U80+V80)*0.2</f>
        <v>0.4</v>
      </c>
      <c r="Z80" s="34"/>
      <c r="AA80" s="55"/>
      <c r="AB80" s="56"/>
      <c r="AC80" s="56"/>
      <c r="AD80" s="34"/>
      <c r="AE80" s="34"/>
      <c r="AF80" s="59"/>
    </row>
    <row r="81" spans="1:32" ht="15.75">
      <c r="A81" s="51">
        <v>35</v>
      </c>
      <c r="B81" s="52">
        <v>2</v>
      </c>
      <c r="C81" s="53">
        <v>2</v>
      </c>
      <c r="D81" s="53">
        <v>2.5</v>
      </c>
      <c r="E81" s="53"/>
      <c r="F81" s="53"/>
      <c r="G81" s="53"/>
      <c r="H81" s="53"/>
      <c r="I81" s="53"/>
      <c r="J81" s="53"/>
      <c r="K81" s="53"/>
      <c r="L81" s="53"/>
      <c r="M81" s="53"/>
      <c r="N81" s="53" t="s">
        <v>361</v>
      </c>
      <c r="O81" s="53"/>
      <c r="P81" s="54"/>
      <c r="Q81" s="34">
        <v>2</v>
      </c>
      <c r="R81" s="34"/>
      <c r="S81" s="34"/>
      <c r="T81" s="34"/>
      <c r="U81" s="34"/>
      <c r="V81" s="34"/>
      <c r="W81" s="34"/>
      <c r="X81" s="34"/>
      <c r="Y81" s="55">
        <f t="shared" ref="Y81:Y86" si="25">(Q81+R81+S81+T81+U81+V81)*0.2</f>
        <v>0.4</v>
      </c>
      <c r="Z81" s="34"/>
      <c r="AA81" s="55"/>
      <c r="AB81" s="56"/>
      <c r="AC81" s="56"/>
      <c r="AD81" s="34"/>
      <c r="AE81" s="34"/>
      <c r="AF81" s="59"/>
    </row>
    <row r="82" spans="1:32" ht="15.75">
      <c r="A82" s="51">
        <v>39</v>
      </c>
      <c r="B82" s="52">
        <v>4</v>
      </c>
      <c r="C82" s="53">
        <v>2</v>
      </c>
      <c r="D82" s="53">
        <v>2.5</v>
      </c>
      <c r="E82" s="53"/>
      <c r="F82" s="53"/>
      <c r="G82" s="53"/>
      <c r="H82" s="53"/>
      <c r="I82" s="53"/>
      <c r="J82" s="53"/>
      <c r="K82" s="53"/>
      <c r="L82" s="53"/>
      <c r="M82" s="53"/>
      <c r="N82" s="53" t="s">
        <v>361</v>
      </c>
      <c r="O82" s="53"/>
      <c r="P82" s="54"/>
      <c r="Q82" s="34">
        <v>4</v>
      </c>
      <c r="R82" s="34"/>
      <c r="S82" s="34"/>
      <c r="T82" s="34"/>
      <c r="U82" s="34"/>
      <c r="V82" s="34"/>
      <c r="W82" s="34"/>
      <c r="X82" s="34"/>
      <c r="Y82" s="55">
        <f t="shared" si="25"/>
        <v>0.8</v>
      </c>
      <c r="Z82" s="34"/>
      <c r="AA82" s="55"/>
      <c r="AB82" s="56"/>
      <c r="AC82" s="56"/>
      <c r="AD82" s="34"/>
      <c r="AE82" s="34"/>
      <c r="AF82" s="59"/>
    </row>
    <row r="83" spans="1:32" ht="15.75">
      <c r="A83" s="51">
        <v>40</v>
      </c>
      <c r="B83" s="52">
        <v>5</v>
      </c>
      <c r="C83" s="53">
        <v>2</v>
      </c>
      <c r="D83" s="53">
        <v>4</v>
      </c>
      <c r="E83" s="53"/>
      <c r="F83" s="53"/>
      <c r="G83" s="53"/>
      <c r="H83" s="53"/>
      <c r="I83" s="53"/>
      <c r="J83" s="53"/>
      <c r="K83" s="53"/>
      <c r="L83" s="53"/>
      <c r="M83" s="53"/>
      <c r="N83" s="53" t="s">
        <v>361</v>
      </c>
      <c r="O83" s="53"/>
      <c r="P83" s="54"/>
      <c r="Q83" s="34"/>
      <c r="R83" s="34"/>
      <c r="S83" s="34">
        <v>5</v>
      </c>
      <c r="T83" s="34"/>
      <c r="U83" s="34"/>
      <c r="V83" s="34"/>
      <c r="W83" s="34"/>
      <c r="X83" s="34"/>
      <c r="Y83" s="55">
        <f t="shared" si="25"/>
        <v>1</v>
      </c>
      <c r="Z83" s="34"/>
      <c r="AA83" s="55"/>
      <c r="AB83" s="56"/>
      <c r="AC83" s="56"/>
      <c r="AD83" s="34"/>
      <c r="AE83" s="34"/>
      <c r="AF83" s="59"/>
    </row>
    <row r="84" spans="1:32" ht="15.75">
      <c r="A84" s="51">
        <v>41</v>
      </c>
      <c r="B84" s="52">
        <v>5</v>
      </c>
      <c r="C84" s="53">
        <v>2</v>
      </c>
      <c r="D84" s="53">
        <v>4</v>
      </c>
      <c r="E84" s="53"/>
      <c r="F84" s="53"/>
      <c r="G84" s="53"/>
      <c r="H84" s="53"/>
      <c r="I84" s="53"/>
      <c r="J84" s="53"/>
      <c r="K84" s="53"/>
      <c r="L84" s="53"/>
      <c r="M84" s="53"/>
      <c r="N84" s="53" t="s">
        <v>361</v>
      </c>
      <c r="O84" s="53"/>
      <c r="P84" s="54"/>
      <c r="Q84" s="34"/>
      <c r="R84" s="34"/>
      <c r="S84" s="34">
        <v>5</v>
      </c>
      <c r="T84" s="34"/>
      <c r="U84" s="34"/>
      <c r="V84" s="34"/>
      <c r="W84" s="34"/>
      <c r="X84" s="34"/>
      <c r="Y84" s="55">
        <f t="shared" si="25"/>
        <v>1</v>
      </c>
      <c r="Z84" s="34"/>
      <c r="AA84" s="55"/>
      <c r="AB84" s="56"/>
      <c r="AC84" s="56"/>
      <c r="AD84" s="34"/>
      <c r="AE84" s="34"/>
      <c r="AF84" s="59"/>
    </row>
    <row r="85" spans="1:32" ht="15.75">
      <c r="A85" s="51">
        <v>42</v>
      </c>
      <c r="B85" s="52">
        <v>4</v>
      </c>
      <c r="C85" s="53">
        <v>2</v>
      </c>
      <c r="D85" s="53">
        <v>4</v>
      </c>
      <c r="E85" s="53"/>
      <c r="F85" s="53"/>
      <c r="G85" s="53"/>
      <c r="H85" s="53"/>
      <c r="I85" s="53"/>
      <c r="J85" s="53"/>
      <c r="K85" s="53"/>
      <c r="L85" s="53"/>
      <c r="M85" s="53"/>
      <c r="N85" s="53" t="s">
        <v>361</v>
      </c>
      <c r="O85" s="53"/>
      <c r="P85" s="54"/>
      <c r="Q85" s="34"/>
      <c r="R85" s="34"/>
      <c r="S85" s="34">
        <v>4</v>
      </c>
      <c r="T85" s="34"/>
      <c r="U85" s="34"/>
      <c r="V85" s="34"/>
      <c r="W85" s="34"/>
      <c r="X85" s="34"/>
      <c r="Y85" s="55">
        <f t="shared" si="25"/>
        <v>0.8</v>
      </c>
      <c r="Z85" s="34"/>
      <c r="AA85" s="55"/>
      <c r="AB85" s="56"/>
      <c r="AC85" s="56"/>
      <c r="AD85" s="34"/>
      <c r="AE85" s="34"/>
      <c r="AF85" s="59"/>
    </row>
    <row r="86" spans="1:32" ht="15.75">
      <c r="A86" s="51">
        <v>47</v>
      </c>
      <c r="B86" s="52">
        <v>4</v>
      </c>
      <c r="C86" s="53">
        <v>2</v>
      </c>
      <c r="D86" s="53">
        <v>4</v>
      </c>
      <c r="E86" s="53"/>
      <c r="F86" s="53"/>
      <c r="G86" s="53"/>
      <c r="H86" s="53"/>
      <c r="I86" s="53"/>
      <c r="J86" s="53"/>
      <c r="K86" s="53"/>
      <c r="L86" s="53"/>
      <c r="M86" s="53"/>
      <c r="N86" s="53" t="s">
        <v>361</v>
      </c>
      <c r="O86" s="53"/>
      <c r="P86" s="54"/>
      <c r="Q86" s="34"/>
      <c r="R86" s="34"/>
      <c r="S86" s="34">
        <v>4</v>
      </c>
      <c r="T86" s="34"/>
      <c r="U86" s="34"/>
      <c r="V86" s="34"/>
      <c r="W86" s="34"/>
      <c r="X86" s="34"/>
      <c r="Y86" s="55">
        <f t="shared" si="25"/>
        <v>0.8</v>
      </c>
      <c r="Z86" s="34"/>
      <c r="AA86" s="55"/>
      <c r="AB86" s="56"/>
      <c r="AC86" s="56"/>
      <c r="AD86" s="34"/>
      <c r="AE86" s="34"/>
      <c r="AF86" s="59"/>
    </row>
    <row r="87" spans="1:32" ht="15.75">
      <c r="A87" s="51">
        <v>43</v>
      </c>
      <c r="B87" s="52">
        <v>3</v>
      </c>
      <c r="C87" s="53">
        <v>2</v>
      </c>
      <c r="D87" s="53">
        <v>4</v>
      </c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 t="s">
        <v>361</v>
      </c>
      <c r="P87" s="54"/>
      <c r="Q87" s="34"/>
      <c r="R87" s="34"/>
      <c r="S87" s="34">
        <v>3</v>
      </c>
      <c r="T87" s="34"/>
      <c r="U87" s="34"/>
      <c r="V87" s="34"/>
      <c r="W87" s="34"/>
      <c r="X87" s="34"/>
      <c r="Y87" s="55">
        <f t="shared" ref="Y87:Y88" si="26">(S87*0.151)+(V87*0.39)+(R87*0.072)+(Q87*0.072)+(T87*0.152)</f>
        <v>0.45299999999999996</v>
      </c>
      <c r="Z87" s="34"/>
      <c r="AA87" s="55"/>
      <c r="AB87" s="56"/>
      <c r="AC87" s="56"/>
      <c r="AD87" s="34"/>
      <c r="AE87" s="34"/>
      <c r="AF87" s="57">
        <f>(S87*8*0.996)+((S87/0.3)*1.2*0.557)</f>
        <v>30.588000000000001</v>
      </c>
    </row>
    <row r="88" spans="1:32" ht="15.75">
      <c r="A88" s="51">
        <v>30</v>
      </c>
      <c r="B88" s="52">
        <v>65</v>
      </c>
      <c r="C88" s="53">
        <v>2</v>
      </c>
      <c r="D88" s="53">
        <v>4</v>
      </c>
      <c r="E88" s="53">
        <v>6</v>
      </c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4" t="s">
        <v>361</v>
      </c>
      <c r="Q88" s="34"/>
      <c r="R88" s="34"/>
      <c r="S88" s="34">
        <v>65</v>
      </c>
      <c r="T88" s="34">
        <v>65</v>
      </c>
      <c r="U88" s="34"/>
      <c r="V88" s="34"/>
      <c r="W88" s="34"/>
      <c r="X88" s="34"/>
      <c r="Y88" s="55">
        <f t="shared" si="26"/>
        <v>19.695</v>
      </c>
      <c r="Z88" s="34"/>
      <c r="AA88" s="55"/>
      <c r="AB88" s="56"/>
      <c r="AC88" s="56"/>
      <c r="AD88" s="34"/>
      <c r="AE88" s="34"/>
      <c r="AF88" s="57">
        <f>(S88*8*0.996)+((S88/0.3)*1.2*0.557)</f>
        <v>662.74</v>
      </c>
    </row>
    <row r="89" spans="1:32" ht="15">
      <c r="A89" s="84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610" t="s">
        <v>364</v>
      </c>
      <c r="O89" s="610"/>
      <c r="P89" s="610"/>
      <c r="Q89" s="78">
        <f>SUM(Q55:Q88)</f>
        <v>59</v>
      </c>
      <c r="R89" s="78">
        <f t="shared" ref="R89:V89" si="27">SUM(R55:R88)</f>
        <v>56</v>
      </c>
      <c r="S89" s="78">
        <f t="shared" si="27"/>
        <v>234</v>
      </c>
      <c r="T89" s="78">
        <f t="shared" si="27"/>
        <v>88</v>
      </c>
      <c r="U89" s="78">
        <f t="shared" si="27"/>
        <v>0</v>
      </c>
      <c r="V89" s="78">
        <f t="shared" si="27"/>
        <v>0</v>
      </c>
      <c r="W89" s="614">
        <f>SUM(W41:W88)</f>
        <v>11.130986999999999</v>
      </c>
      <c r="X89" s="614">
        <f t="shared" ref="X89:AF89" si="28">SUM(X41:X88)</f>
        <v>8.0640000000000001</v>
      </c>
      <c r="Y89" s="614">
        <f t="shared" si="28"/>
        <v>46.732999999999997</v>
      </c>
      <c r="Z89" s="614">
        <f t="shared" si="28"/>
        <v>72.206400000000002</v>
      </c>
      <c r="AA89" s="614">
        <f t="shared" si="28"/>
        <v>86.4</v>
      </c>
      <c r="AB89" s="614">
        <f t="shared" si="28"/>
        <v>207</v>
      </c>
      <c r="AC89" s="614">
        <f t="shared" si="28"/>
        <v>278</v>
      </c>
      <c r="AD89" s="614">
        <f t="shared" si="28"/>
        <v>71</v>
      </c>
      <c r="AE89" s="614">
        <f t="shared" si="28"/>
        <v>14</v>
      </c>
      <c r="AF89" s="608">
        <f t="shared" si="28"/>
        <v>3355.4858333333341</v>
      </c>
    </row>
    <row r="90" spans="1:32" ht="15">
      <c r="A90" s="84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610" t="s">
        <v>372</v>
      </c>
      <c r="O90" s="610"/>
      <c r="P90" s="610"/>
      <c r="Q90" s="611">
        <v>45</v>
      </c>
      <c r="R90" s="611"/>
      <c r="S90" s="611"/>
      <c r="T90" s="611"/>
      <c r="U90" s="611"/>
      <c r="V90" s="611"/>
      <c r="W90" s="614"/>
      <c r="X90" s="614"/>
      <c r="Y90" s="614"/>
      <c r="Z90" s="614"/>
      <c r="AA90" s="614"/>
      <c r="AB90" s="614"/>
      <c r="AC90" s="614"/>
      <c r="AD90" s="614"/>
      <c r="AE90" s="614"/>
      <c r="AF90" s="608"/>
    </row>
    <row r="91" spans="1:32" ht="15">
      <c r="A91" s="84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610" t="s">
        <v>373</v>
      </c>
      <c r="O91" s="610"/>
      <c r="P91" s="610"/>
      <c r="Q91" s="611">
        <v>163</v>
      </c>
      <c r="R91" s="611"/>
      <c r="S91" s="611"/>
      <c r="T91" s="611"/>
      <c r="U91" s="611"/>
      <c r="V91" s="611"/>
      <c r="W91" s="614"/>
      <c r="X91" s="614"/>
      <c r="Y91" s="614"/>
      <c r="Z91" s="614"/>
      <c r="AA91" s="614"/>
      <c r="AB91" s="614"/>
      <c r="AC91" s="614"/>
      <c r="AD91" s="614"/>
      <c r="AE91" s="614"/>
      <c r="AF91" s="608"/>
    </row>
    <row r="92" spans="1:32" ht="15.75" thickBot="1">
      <c r="A92" s="86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612" t="s">
        <v>374</v>
      </c>
      <c r="O92" s="612"/>
      <c r="P92" s="612"/>
      <c r="Q92" s="613">
        <v>90</v>
      </c>
      <c r="R92" s="613"/>
      <c r="S92" s="613"/>
      <c r="T92" s="613"/>
      <c r="U92" s="613"/>
      <c r="V92" s="613"/>
      <c r="W92" s="615"/>
      <c r="X92" s="615"/>
      <c r="Y92" s="615"/>
      <c r="Z92" s="615"/>
      <c r="AA92" s="615"/>
      <c r="AB92" s="615"/>
      <c r="AC92" s="615"/>
      <c r="AD92" s="615"/>
      <c r="AE92" s="615"/>
      <c r="AF92" s="609"/>
    </row>
    <row r="93" spans="1:32" s="73" customFormat="1" ht="15.75" thickBot="1">
      <c r="N93" s="68"/>
      <c r="O93" s="68"/>
      <c r="P93" s="68"/>
      <c r="Q93" s="88"/>
      <c r="R93" s="69"/>
      <c r="S93" s="69"/>
      <c r="T93" s="69"/>
      <c r="U93" s="69"/>
      <c r="V93" s="69"/>
      <c r="Y93" s="89"/>
      <c r="Z93" s="90"/>
      <c r="AA93" s="91"/>
      <c r="AB93" s="92"/>
      <c r="AC93" s="93"/>
    </row>
    <row r="94" spans="1:32" s="73" customFormat="1" ht="33.75">
      <c r="A94" s="599" t="s">
        <v>375</v>
      </c>
      <c r="B94" s="600"/>
      <c r="C94" s="600"/>
      <c r="D94" s="600"/>
      <c r="E94" s="600"/>
      <c r="F94" s="600"/>
      <c r="G94" s="600"/>
      <c r="H94" s="600"/>
      <c r="I94" s="600"/>
      <c r="J94" s="600"/>
      <c r="K94" s="600"/>
      <c r="L94" s="600"/>
      <c r="M94" s="600"/>
      <c r="N94" s="600"/>
      <c r="O94" s="600"/>
      <c r="P94" s="600"/>
      <c r="Q94" s="600"/>
      <c r="R94" s="600"/>
      <c r="S94" s="600"/>
      <c r="T94" s="600"/>
      <c r="U94" s="600"/>
      <c r="V94" s="600"/>
      <c r="W94" s="600"/>
      <c r="X94" s="600"/>
      <c r="Y94" s="600"/>
      <c r="Z94" s="600"/>
      <c r="AA94" s="600"/>
      <c r="AB94" s="600"/>
      <c r="AC94" s="600"/>
      <c r="AD94" s="600"/>
      <c r="AE94" s="600"/>
      <c r="AF94" s="601"/>
    </row>
    <row r="95" spans="1:32" s="94" customFormat="1" ht="18" customHeight="1">
      <c r="A95" s="602" t="s">
        <v>334</v>
      </c>
      <c r="B95" s="603" t="s">
        <v>335</v>
      </c>
      <c r="C95" s="604" t="s">
        <v>336</v>
      </c>
      <c r="D95" s="604" t="s">
        <v>337</v>
      </c>
      <c r="E95" s="604"/>
      <c r="F95" s="604"/>
      <c r="G95" s="604"/>
      <c r="H95" s="605" t="s">
        <v>338</v>
      </c>
      <c r="I95" s="605"/>
      <c r="J95" s="605"/>
      <c r="K95" s="605"/>
      <c r="L95" s="603" t="s">
        <v>339</v>
      </c>
      <c r="M95" s="603" t="s">
        <v>340</v>
      </c>
      <c r="N95" s="603" t="s">
        <v>341</v>
      </c>
      <c r="O95" s="603" t="s">
        <v>342</v>
      </c>
      <c r="P95" s="603" t="s">
        <v>343</v>
      </c>
      <c r="Q95" s="605" t="s">
        <v>344</v>
      </c>
      <c r="R95" s="605"/>
      <c r="S95" s="605"/>
      <c r="T95" s="605"/>
      <c r="U95" s="605"/>
      <c r="V95" s="605"/>
      <c r="W95" s="606" t="s">
        <v>345</v>
      </c>
      <c r="X95" s="606" t="s">
        <v>346</v>
      </c>
      <c r="Y95" s="606" t="s">
        <v>347</v>
      </c>
      <c r="Z95" s="604" t="s">
        <v>348</v>
      </c>
      <c r="AA95" s="596" t="s">
        <v>349</v>
      </c>
      <c r="AB95" s="597" t="s">
        <v>350</v>
      </c>
      <c r="AC95" s="598" t="s">
        <v>351</v>
      </c>
      <c r="AD95" s="606" t="s">
        <v>352</v>
      </c>
      <c r="AE95" s="604" t="s">
        <v>353</v>
      </c>
      <c r="AF95" s="607" t="s">
        <v>354</v>
      </c>
    </row>
    <row r="96" spans="1:32" s="95" customFormat="1" ht="26.25" customHeight="1">
      <c r="A96" s="602"/>
      <c r="B96" s="603"/>
      <c r="C96" s="604"/>
      <c r="D96" s="604"/>
      <c r="E96" s="604"/>
      <c r="F96" s="604"/>
      <c r="G96" s="604"/>
      <c r="H96" s="603" t="s">
        <v>355</v>
      </c>
      <c r="I96" s="603"/>
      <c r="J96" s="603"/>
      <c r="K96" s="603"/>
      <c r="L96" s="603"/>
      <c r="M96" s="603"/>
      <c r="N96" s="603"/>
      <c r="O96" s="603"/>
      <c r="P96" s="603"/>
      <c r="Q96" s="605" t="s">
        <v>356</v>
      </c>
      <c r="R96" s="605"/>
      <c r="S96" s="605"/>
      <c r="T96" s="605"/>
      <c r="U96" s="605"/>
      <c r="V96" s="605"/>
      <c r="W96" s="606"/>
      <c r="X96" s="606"/>
      <c r="Y96" s="606"/>
      <c r="Z96" s="604"/>
      <c r="AA96" s="596"/>
      <c r="AB96" s="597"/>
      <c r="AC96" s="598"/>
      <c r="AD96" s="606"/>
      <c r="AE96" s="604"/>
      <c r="AF96" s="607"/>
    </row>
    <row r="97" spans="1:32" s="95" customFormat="1" ht="31.5" customHeight="1">
      <c r="A97" s="602"/>
      <c r="B97" s="603"/>
      <c r="C97" s="604"/>
      <c r="D97" s="96">
        <v>1</v>
      </c>
      <c r="E97" s="96">
        <v>2</v>
      </c>
      <c r="F97" s="96">
        <v>3</v>
      </c>
      <c r="G97" s="96">
        <v>4</v>
      </c>
      <c r="H97" s="97" t="s">
        <v>357</v>
      </c>
      <c r="I97" s="97" t="s">
        <v>358</v>
      </c>
      <c r="J97" s="97" t="s">
        <v>359</v>
      </c>
      <c r="K97" s="97" t="s">
        <v>360</v>
      </c>
      <c r="L97" s="603"/>
      <c r="M97" s="603"/>
      <c r="N97" s="603"/>
      <c r="O97" s="603"/>
      <c r="P97" s="603"/>
      <c r="Q97" s="97">
        <v>2.5</v>
      </c>
      <c r="R97" s="97">
        <v>3</v>
      </c>
      <c r="S97" s="97">
        <v>4</v>
      </c>
      <c r="T97" s="97">
        <v>6</v>
      </c>
      <c r="U97" s="97">
        <v>10</v>
      </c>
      <c r="V97" s="97">
        <v>12</v>
      </c>
      <c r="W97" s="606"/>
      <c r="X97" s="606"/>
      <c r="Y97" s="606"/>
      <c r="Z97" s="604"/>
      <c r="AA97" s="596"/>
      <c r="AB97" s="597"/>
      <c r="AC97" s="598"/>
      <c r="AD97" s="606"/>
      <c r="AE97" s="604"/>
      <c r="AF97" s="607"/>
    </row>
    <row r="98" spans="1:32" ht="15.75">
      <c r="A98" s="51">
        <v>54</v>
      </c>
      <c r="B98" s="52">
        <v>4</v>
      </c>
      <c r="C98" s="53">
        <v>3</v>
      </c>
      <c r="D98" s="53">
        <v>2.5</v>
      </c>
      <c r="E98" s="53"/>
      <c r="F98" s="53"/>
      <c r="G98" s="53"/>
      <c r="H98" s="53"/>
      <c r="I98" s="53"/>
      <c r="J98" s="53"/>
      <c r="K98" s="53"/>
      <c r="L98" s="53"/>
      <c r="M98" s="53" t="s">
        <v>361</v>
      </c>
      <c r="N98" s="53"/>
      <c r="O98" s="53"/>
      <c r="P98" s="54"/>
      <c r="Q98" s="79">
        <v>4</v>
      </c>
      <c r="R98" s="34"/>
      <c r="S98" s="34"/>
      <c r="T98" s="34"/>
      <c r="U98" s="34"/>
      <c r="V98" s="34"/>
      <c r="W98" s="55"/>
      <c r="X98" s="55"/>
      <c r="Y98" s="55">
        <f>(S98*0.151)+(V98*0.39)+(R98*0.072)+(Q98*0.072)+(T98*0.152)</f>
        <v>0.28799999999999998</v>
      </c>
      <c r="Z98" s="55"/>
      <c r="AA98" s="55">
        <f t="shared" ref="AA98:AA100" si="29">((Q98+R98)*0.8*0.4)+((S98+T98)*1*0.6)+((U98+V98)*1.2*0.9)</f>
        <v>1.2800000000000002</v>
      </c>
      <c r="AB98" s="55"/>
      <c r="AC98" s="55"/>
      <c r="AD98" s="55"/>
      <c r="AE98" s="55"/>
      <c r="AF98" s="98">
        <f>(Q98*8*0.996)+((Q98/0.3)*1.2*0.557)</f>
        <v>40.783999999999999</v>
      </c>
    </row>
    <row r="99" spans="1:32" ht="15.75">
      <c r="A99" s="51">
        <v>56</v>
      </c>
      <c r="B99" s="52">
        <v>6</v>
      </c>
      <c r="C99" s="53">
        <v>3</v>
      </c>
      <c r="D99" s="53">
        <v>2.5</v>
      </c>
      <c r="E99" s="53"/>
      <c r="F99" s="53"/>
      <c r="G99" s="53"/>
      <c r="H99" s="53"/>
      <c r="I99" s="53"/>
      <c r="J99" s="53"/>
      <c r="K99" s="53"/>
      <c r="L99" s="53"/>
      <c r="M99" s="53" t="s">
        <v>361</v>
      </c>
      <c r="N99" s="53"/>
      <c r="O99" s="53"/>
      <c r="P99" s="54"/>
      <c r="Q99" s="79">
        <v>6</v>
      </c>
      <c r="R99" s="34"/>
      <c r="S99" s="34"/>
      <c r="T99" s="34"/>
      <c r="U99" s="34"/>
      <c r="V99" s="34"/>
      <c r="W99" s="55"/>
      <c r="X99" s="55"/>
      <c r="Y99" s="55">
        <f t="shared" ref="Y99:Y100" si="30">(S99*0.151)+(V99*0.39)+(R99*0.072)+(Q99*0.072)+(T99*0.152)</f>
        <v>0.43199999999999994</v>
      </c>
      <c r="Z99" s="55"/>
      <c r="AA99" s="55">
        <f t="shared" si="29"/>
        <v>1.9200000000000004</v>
      </c>
      <c r="AB99" s="55"/>
      <c r="AC99" s="55"/>
      <c r="AD99" s="55"/>
      <c r="AE99" s="55"/>
      <c r="AF99" s="98">
        <f>(Q99*8*0.996)+((Q99/0.3)*1.2*0.557)</f>
        <v>61.176000000000002</v>
      </c>
    </row>
    <row r="100" spans="1:32" ht="15.75">
      <c r="A100" s="51">
        <v>93</v>
      </c>
      <c r="B100" s="52">
        <v>6</v>
      </c>
      <c r="C100" s="53">
        <v>3</v>
      </c>
      <c r="D100" s="53">
        <v>6</v>
      </c>
      <c r="E100" s="53"/>
      <c r="F100" s="53"/>
      <c r="G100" s="53"/>
      <c r="H100" s="53"/>
      <c r="I100" s="53"/>
      <c r="J100" s="53"/>
      <c r="K100" s="53"/>
      <c r="L100" s="53"/>
      <c r="M100" s="53" t="s">
        <v>361</v>
      </c>
      <c r="N100" s="53"/>
      <c r="O100" s="53"/>
      <c r="P100" s="54"/>
      <c r="Q100" s="79"/>
      <c r="R100" s="34"/>
      <c r="S100" s="34"/>
      <c r="T100" s="34">
        <v>6</v>
      </c>
      <c r="U100" s="34"/>
      <c r="V100" s="34"/>
      <c r="W100" s="55"/>
      <c r="X100" s="55"/>
      <c r="Y100" s="55">
        <f t="shared" si="30"/>
        <v>0.91199999999999992</v>
      </c>
      <c r="Z100" s="55"/>
      <c r="AA100" s="55">
        <f t="shared" si="29"/>
        <v>3.5999999999999996</v>
      </c>
      <c r="AB100" s="55"/>
      <c r="AC100" s="55"/>
      <c r="AD100" s="55"/>
      <c r="AE100" s="55"/>
      <c r="AF100" s="98">
        <f>(T100*12*0.996)+((T100/0.3)*1.57*0.557)</f>
        <v>89.201800000000006</v>
      </c>
    </row>
    <row r="101" spans="1:32" ht="15.75">
      <c r="A101" s="51"/>
      <c r="B101" s="52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89" t="s">
        <v>371</v>
      </c>
      <c r="O101" s="589"/>
      <c r="P101" s="589"/>
      <c r="Q101" s="99">
        <f>SUM(Q98:Q100)</f>
        <v>10</v>
      </c>
      <c r="R101" s="99">
        <f t="shared" ref="R101:V101" si="31">SUM(R98:R100)</f>
        <v>0</v>
      </c>
      <c r="S101" s="99">
        <f t="shared" si="31"/>
        <v>0</v>
      </c>
      <c r="T101" s="99">
        <f t="shared" si="31"/>
        <v>6</v>
      </c>
      <c r="U101" s="99">
        <f t="shared" si="31"/>
        <v>0</v>
      </c>
      <c r="V101" s="99">
        <f t="shared" si="31"/>
        <v>0</v>
      </c>
      <c r="W101" s="55"/>
      <c r="X101" s="55"/>
      <c r="Y101" s="55"/>
      <c r="Z101" s="55"/>
      <c r="AA101" s="55"/>
      <c r="AB101" s="55"/>
      <c r="AC101" s="55"/>
      <c r="AD101" s="55"/>
      <c r="AE101" s="55"/>
      <c r="AF101" s="98"/>
    </row>
    <row r="102" spans="1:32" ht="15.75">
      <c r="A102" s="51"/>
      <c r="B102" s="52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4"/>
      <c r="Q102" s="595" t="s">
        <v>363</v>
      </c>
      <c r="R102" s="595"/>
      <c r="S102" s="595"/>
      <c r="T102" s="595"/>
      <c r="U102" s="595"/>
      <c r="V102" s="595"/>
      <c r="W102" s="55"/>
      <c r="X102" s="55"/>
      <c r="Y102" s="55"/>
      <c r="Z102" s="55"/>
      <c r="AA102" s="55"/>
      <c r="AB102" s="55"/>
      <c r="AC102" s="55"/>
      <c r="AD102" s="55"/>
      <c r="AE102" s="55"/>
      <c r="AF102" s="98"/>
    </row>
    <row r="103" spans="1:32" ht="15.75">
      <c r="A103" s="51"/>
      <c r="B103" s="52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4"/>
      <c r="Q103" s="99">
        <v>2.5</v>
      </c>
      <c r="R103" s="99">
        <v>3</v>
      </c>
      <c r="S103" s="99">
        <v>4</v>
      </c>
      <c r="T103" s="99">
        <v>6</v>
      </c>
      <c r="U103" s="99">
        <v>10</v>
      </c>
      <c r="V103" s="99">
        <v>12</v>
      </c>
      <c r="W103" s="55"/>
      <c r="X103" s="55"/>
      <c r="Y103" s="55"/>
      <c r="Z103" s="55"/>
      <c r="AA103" s="55"/>
      <c r="AB103" s="55"/>
      <c r="AC103" s="55"/>
      <c r="AD103" s="55"/>
      <c r="AE103" s="55"/>
      <c r="AF103" s="98"/>
    </row>
    <row r="104" spans="1:32" ht="15.75">
      <c r="A104" s="51">
        <v>55</v>
      </c>
      <c r="B104" s="52">
        <v>10</v>
      </c>
      <c r="C104" s="53">
        <v>3</v>
      </c>
      <c r="D104" s="53">
        <v>2.5</v>
      </c>
      <c r="E104" s="53"/>
      <c r="F104" s="53"/>
      <c r="G104" s="53"/>
      <c r="H104" s="53">
        <v>1.39</v>
      </c>
      <c r="I104" s="53">
        <v>1.18</v>
      </c>
      <c r="J104" s="53"/>
      <c r="K104" s="53"/>
      <c r="L104" s="53"/>
      <c r="M104" s="53"/>
      <c r="N104" s="53"/>
      <c r="O104" s="53"/>
      <c r="P104" s="54"/>
      <c r="Q104" s="34">
        <v>10</v>
      </c>
      <c r="R104" s="34"/>
      <c r="S104" s="34"/>
      <c r="T104" s="34"/>
      <c r="U104" s="34"/>
      <c r="V104" s="34"/>
      <c r="W104" s="55">
        <f t="shared" ref="W104:W110" si="32">(H104+I104+J104+K104)*0.19635*2</f>
        <v>1.009239</v>
      </c>
      <c r="X104" s="55">
        <f t="shared" ref="X104:X114" si="33">1.2*1.2*0.4*2</f>
        <v>1.1519999999999999</v>
      </c>
      <c r="Y104" s="55"/>
      <c r="Z104" s="55">
        <f t="shared" ref="Z104:Z114" si="34">(H104+I104+J104+K104+0.4)*1.4*1.4*2</f>
        <v>11.642399999999999</v>
      </c>
      <c r="AA104" s="55"/>
      <c r="AB104" s="55"/>
      <c r="AC104" s="55">
        <f t="shared" ref="AC104:AC138" si="35">Q104+R104+S104+T104+U104+V104</f>
        <v>10</v>
      </c>
      <c r="AD104" s="55">
        <f t="shared" ref="AD104:AD114" si="36">B104</f>
        <v>10</v>
      </c>
      <c r="AE104" s="55">
        <v>2</v>
      </c>
      <c r="AF104" s="98">
        <f t="shared" ref="AF104:AF114" si="37">(AE104*10.76)+(((((H104+I104+J104+K104)*10)+((10*0.3)*AE104)))*1.56)+(((H104+I104+J104+K104)/0.075)*1.59)</f>
        <v>125.45599999999999</v>
      </c>
    </row>
    <row r="105" spans="1:32" ht="15.75">
      <c r="A105" s="51">
        <v>65</v>
      </c>
      <c r="B105" s="52">
        <v>9</v>
      </c>
      <c r="C105" s="53">
        <v>3</v>
      </c>
      <c r="D105" s="53">
        <v>3</v>
      </c>
      <c r="E105" s="53"/>
      <c r="F105" s="53"/>
      <c r="G105" s="53"/>
      <c r="H105" s="53">
        <v>1.1200000000000001</v>
      </c>
      <c r="I105" s="53">
        <v>1.1399999999999999</v>
      </c>
      <c r="J105" s="53"/>
      <c r="K105" s="53"/>
      <c r="L105" s="53"/>
      <c r="M105" s="53"/>
      <c r="N105" s="53"/>
      <c r="O105" s="53"/>
      <c r="P105" s="54"/>
      <c r="Q105" s="34"/>
      <c r="R105" s="34">
        <v>9</v>
      </c>
      <c r="S105" s="34"/>
      <c r="T105" s="34"/>
      <c r="U105" s="34"/>
      <c r="V105" s="34"/>
      <c r="W105" s="55">
        <f t="shared" si="32"/>
        <v>0.8875019999999999</v>
      </c>
      <c r="X105" s="55">
        <f t="shared" si="33"/>
        <v>1.1519999999999999</v>
      </c>
      <c r="Y105" s="55"/>
      <c r="Z105" s="55">
        <f t="shared" si="34"/>
        <v>10.427199999999997</v>
      </c>
      <c r="AA105" s="55"/>
      <c r="AB105" s="55"/>
      <c r="AC105" s="55">
        <f t="shared" si="35"/>
        <v>9</v>
      </c>
      <c r="AD105" s="55">
        <f t="shared" si="36"/>
        <v>9</v>
      </c>
      <c r="AE105" s="55">
        <v>2</v>
      </c>
      <c r="AF105" s="98">
        <f t="shared" si="37"/>
        <v>114.048</v>
      </c>
    </row>
    <row r="106" spans="1:32" ht="15.75">
      <c r="A106" s="51">
        <v>74</v>
      </c>
      <c r="B106" s="52">
        <v>9</v>
      </c>
      <c r="C106" s="53">
        <v>3</v>
      </c>
      <c r="D106" s="53">
        <v>2.5</v>
      </c>
      <c r="E106" s="53"/>
      <c r="F106" s="53"/>
      <c r="G106" s="53"/>
      <c r="H106" s="53">
        <v>1.03</v>
      </c>
      <c r="I106" s="53">
        <v>1.02</v>
      </c>
      <c r="J106" s="53"/>
      <c r="K106" s="53"/>
      <c r="L106" s="53"/>
      <c r="M106" s="53"/>
      <c r="N106" s="53"/>
      <c r="O106" s="53"/>
      <c r="P106" s="54"/>
      <c r="Q106" s="34">
        <v>9</v>
      </c>
      <c r="R106" s="34"/>
      <c r="S106" s="34"/>
      <c r="T106" s="34"/>
      <c r="U106" s="34"/>
      <c r="V106" s="34"/>
      <c r="W106" s="55">
        <f t="shared" si="32"/>
        <v>0.80503499999999995</v>
      </c>
      <c r="X106" s="55">
        <f t="shared" si="33"/>
        <v>1.1519999999999999</v>
      </c>
      <c r="Y106" s="55"/>
      <c r="Z106" s="55">
        <f t="shared" si="34"/>
        <v>9.6039999999999974</v>
      </c>
      <c r="AA106" s="55"/>
      <c r="AB106" s="55"/>
      <c r="AC106" s="55">
        <f t="shared" si="35"/>
        <v>9</v>
      </c>
      <c r="AD106" s="55">
        <f t="shared" si="36"/>
        <v>9</v>
      </c>
      <c r="AE106" s="55">
        <v>2</v>
      </c>
      <c r="AF106" s="98">
        <f t="shared" si="37"/>
        <v>106.32</v>
      </c>
    </row>
    <row r="107" spans="1:32" ht="15.75">
      <c r="A107" s="51">
        <v>75</v>
      </c>
      <c r="B107" s="52">
        <v>12</v>
      </c>
      <c r="C107" s="53">
        <v>3</v>
      </c>
      <c r="D107" s="53">
        <v>4</v>
      </c>
      <c r="E107" s="53"/>
      <c r="F107" s="53"/>
      <c r="G107" s="53"/>
      <c r="H107" s="53">
        <v>1.35</v>
      </c>
      <c r="I107" s="53">
        <v>1.17</v>
      </c>
      <c r="J107" s="53"/>
      <c r="K107" s="53"/>
      <c r="L107" s="53"/>
      <c r="M107" s="53"/>
      <c r="N107" s="53"/>
      <c r="O107" s="53"/>
      <c r="P107" s="54"/>
      <c r="Q107" s="34"/>
      <c r="R107" s="34"/>
      <c r="S107" s="34">
        <v>12</v>
      </c>
      <c r="T107" s="34"/>
      <c r="U107" s="34"/>
      <c r="V107" s="34"/>
      <c r="W107" s="55">
        <f t="shared" si="32"/>
        <v>0.98960400000000004</v>
      </c>
      <c r="X107" s="55">
        <f t="shared" si="33"/>
        <v>1.1519999999999999</v>
      </c>
      <c r="Y107" s="55"/>
      <c r="Z107" s="55">
        <f t="shared" si="34"/>
        <v>11.446399999999999</v>
      </c>
      <c r="AA107" s="55"/>
      <c r="AB107" s="55"/>
      <c r="AC107" s="55">
        <f t="shared" si="35"/>
        <v>12</v>
      </c>
      <c r="AD107" s="55">
        <f t="shared" si="36"/>
        <v>12</v>
      </c>
      <c r="AE107" s="55">
        <v>2</v>
      </c>
      <c r="AF107" s="98">
        <f t="shared" si="37"/>
        <v>123.616</v>
      </c>
    </row>
    <row r="108" spans="1:32" ht="15.75">
      <c r="A108" s="51">
        <v>84</v>
      </c>
      <c r="B108" s="52">
        <v>12</v>
      </c>
      <c r="C108" s="53">
        <v>3</v>
      </c>
      <c r="D108" s="53">
        <v>4</v>
      </c>
      <c r="E108" s="53"/>
      <c r="F108" s="53"/>
      <c r="G108" s="53"/>
      <c r="H108" s="53">
        <v>1.1000000000000001</v>
      </c>
      <c r="I108" s="53">
        <v>1.0900000000000001</v>
      </c>
      <c r="J108" s="53"/>
      <c r="K108" s="53"/>
      <c r="L108" s="53"/>
      <c r="M108" s="53"/>
      <c r="N108" s="53"/>
      <c r="O108" s="53"/>
      <c r="P108" s="54"/>
      <c r="Q108" s="34"/>
      <c r="R108" s="34"/>
      <c r="S108" s="34">
        <v>12</v>
      </c>
      <c r="T108" s="34"/>
      <c r="U108" s="34"/>
      <c r="V108" s="34"/>
      <c r="W108" s="55">
        <f t="shared" si="32"/>
        <v>0.86001300000000014</v>
      </c>
      <c r="X108" s="55">
        <f t="shared" si="33"/>
        <v>1.1519999999999999</v>
      </c>
      <c r="Y108" s="55"/>
      <c r="Z108" s="55">
        <f t="shared" si="34"/>
        <v>10.152800000000001</v>
      </c>
      <c r="AA108" s="55"/>
      <c r="AB108" s="55"/>
      <c r="AC108" s="55">
        <f t="shared" si="35"/>
        <v>12</v>
      </c>
      <c r="AD108" s="55">
        <f t="shared" si="36"/>
        <v>12</v>
      </c>
      <c r="AE108" s="55">
        <v>2</v>
      </c>
      <c r="AF108" s="98">
        <f t="shared" si="37"/>
        <v>111.47200000000002</v>
      </c>
    </row>
    <row r="109" spans="1:32" ht="15.75">
      <c r="A109" s="51">
        <v>87</v>
      </c>
      <c r="B109" s="52">
        <v>10</v>
      </c>
      <c r="C109" s="53">
        <v>3</v>
      </c>
      <c r="D109" s="53">
        <v>3</v>
      </c>
      <c r="E109" s="53"/>
      <c r="F109" s="53"/>
      <c r="G109" s="53"/>
      <c r="H109" s="53">
        <v>1.1200000000000001</v>
      </c>
      <c r="I109" s="53">
        <v>1.26</v>
      </c>
      <c r="J109" s="53"/>
      <c r="K109" s="53"/>
      <c r="L109" s="53"/>
      <c r="M109" s="53"/>
      <c r="N109" s="53"/>
      <c r="O109" s="53"/>
      <c r="P109" s="54"/>
      <c r="Q109" s="34"/>
      <c r="R109" s="34">
        <v>10</v>
      </c>
      <c r="S109" s="34"/>
      <c r="T109" s="34"/>
      <c r="U109" s="34"/>
      <c r="V109" s="34"/>
      <c r="W109" s="55">
        <f t="shared" si="32"/>
        <v>0.93462599999999996</v>
      </c>
      <c r="X109" s="55">
        <f t="shared" si="33"/>
        <v>1.1519999999999999</v>
      </c>
      <c r="Y109" s="55"/>
      <c r="Z109" s="55">
        <f t="shared" si="34"/>
        <v>10.897599999999997</v>
      </c>
      <c r="AA109" s="55"/>
      <c r="AB109" s="55"/>
      <c r="AC109" s="55">
        <f t="shared" si="35"/>
        <v>10</v>
      </c>
      <c r="AD109" s="55">
        <f t="shared" si="36"/>
        <v>10</v>
      </c>
      <c r="AE109" s="55">
        <v>2</v>
      </c>
      <c r="AF109" s="98">
        <f t="shared" si="37"/>
        <v>118.464</v>
      </c>
    </row>
    <row r="110" spans="1:32" ht="15.75">
      <c r="A110" s="51">
        <v>92</v>
      </c>
      <c r="B110" s="52">
        <v>22</v>
      </c>
      <c r="C110" s="53">
        <v>3</v>
      </c>
      <c r="D110" s="53">
        <v>6</v>
      </c>
      <c r="E110" s="53"/>
      <c r="F110" s="53"/>
      <c r="G110" s="53"/>
      <c r="H110" s="53">
        <v>1.1000000000000001</v>
      </c>
      <c r="I110" s="53">
        <v>1.1000000000000001</v>
      </c>
      <c r="J110" s="53"/>
      <c r="K110" s="53"/>
      <c r="L110" s="53"/>
      <c r="M110" s="53"/>
      <c r="N110" s="53"/>
      <c r="O110" s="53"/>
      <c r="P110" s="54"/>
      <c r="Q110" s="34"/>
      <c r="R110" s="34"/>
      <c r="S110" s="34"/>
      <c r="T110" s="34">
        <v>22</v>
      </c>
      <c r="U110" s="34"/>
      <c r="V110" s="34"/>
      <c r="W110" s="55">
        <f t="shared" si="32"/>
        <v>0.86394000000000004</v>
      </c>
      <c r="X110" s="55">
        <f t="shared" si="33"/>
        <v>1.1519999999999999</v>
      </c>
      <c r="Y110" s="55"/>
      <c r="Z110" s="55">
        <f t="shared" si="34"/>
        <v>10.191999999999998</v>
      </c>
      <c r="AA110" s="55"/>
      <c r="AB110" s="55"/>
      <c r="AC110" s="55">
        <f t="shared" si="35"/>
        <v>22</v>
      </c>
      <c r="AD110" s="55">
        <f t="shared" si="36"/>
        <v>22</v>
      </c>
      <c r="AE110" s="55">
        <v>2</v>
      </c>
      <c r="AF110" s="98">
        <f t="shared" si="37"/>
        <v>111.84</v>
      </c>
    </row>
    <row r="111" spans="1:32" ht="15.75">
      <c r="A111" s="51">
        <v>94</v>
      </c>
      <c r="B111" s="52">
        <v>37</v>
      </c>
      <c r="C111" s="53">
        <v>3</v>
      </c>
      <c r="D111" s="53">
        <v>6</v>
      </c>
      <c r="E111" s="53"/>
      <c r="F111" s="53"/>
      <c r="G111" s="53"/>
      <c r="H111" s="53">
        <v>1</v>
      </c>
      <c r="I111" s="61">
        <v>2.2599999999999998</v>
      </c>
      <c r="J111" s="53">
        <v>1</v>
      </c>
      <c r="K111" s="53"/>
      <c r="L111" s="53"/>
      <c r="M111" s="53"/>
      <c r="N111" s="53"/>
      <c r="O111" s="53"/>
      <c r="P111" s="54"/>
      <c r="Q111" s="34"/>
      <c r="R111" s="34"/>
      <c r="S111" s="34"/>
      <c r="T111" s="34">
        <v>37</v>
      </c>
      <c r="U111" s="34"/>
      <c r="V111" s="34"/>
      <c r="W111" s="55">
        <f>(H111+I111+J111+K111)*0.19635*3</f>
        <v>2.5093529999999999</v>
      </c>
      <c r="X111" s="55">
        <f>1.2*1.2*0.4*3</f>
        <v>1.7279999999999998</v>
      </c>
      <c r="Y111" s="55"/>
      <c r="Z111" s="55">
        <f t="shared" si="34"/>
        <v>18.267199999999999</v>
      </c>
      <c r="AA111" s="55"/>
      <c r="AB111" s="55"/>
      <c r="AC111" s="55">
        <f t="shared" si="35"/>
        <v>37</v>
      </c>
      <c r="AD111" s="55">
        <f t="shared" si="36"/>
        <v>37</v>
      </c>
      <c r="AE111" s="55">
        <v>3</v>
      </c>
      <c r="AF111" s="98">
        <f t="shared" si="37"/>
        <v>203.08799999999999</v>
      </c>
    </row>
    <row r="112" spans="1:32" ht="15.75">
      <c r="A112" s="51">
        <v>95</v>
      </c>
      <c r="B112" s="52">
        <v>30</v>
      </c>
      <c r="C112" s="53">
        <v>3</v>
      </c>
      <c r="D112" s="53">
        <v>6</v>
      </c>
      <c r="E112" s="53"/>
      <c r="F112" s="53"/>
      <c r="G112" s="53"/>
      <c r="H112" s="53">
        <v>1.1000000000000001</v>
      </c>
      <c r="I112" s="53">
        <v>1.79</v>
      </c>
      <c r="J112" s="53">
        <v>1</v>
      </c>
      <c r="K112" s="53"/>
      <c r="L112" s="53"/>
      <c r="M112" s="53"/>
      <c r="N112" s="53"/>
      <c r="O112" s="53"/>
      <c r="P112" s="54"/>
      <c r="Q112" s="34"/>
      <c r="R112" s="34"/>
      <c r="S112" s="34"/>
      <c r="T112" s="34">
        <v>30</v>
      </c>
      <c r="U112" s="34"/>
      <c r="V112" s="34"/>
      <c r="W112" s="55">
        <f>(H112+I112+J112+K112)*0.19635*2</f>
        <v>1.527603</v>
      </c>
      <c r="X112" s="55">
        <f>1.2*1.2*0.4*3</f>
        <v>1.7279999999999998</v>
      </c>
      <c r="Y112" s="55"/>
      <c r="Z112" s="55">
        <f t="shared" si="34"/>
        <v>16.816799999999997</v>
      </c>
      <c r="AA112" s="55"/>
      <c r="AB112" s="55"/>
      <c r="AC112" s="55">
        <f t="shared" si="35"/>
        <v>30</v>
      </c>
      <c r="AD112" s="55">
        <f t="shared" si="36"/>
        <v>30</v>
      </c>
      <c r="AE112" s="55">
        <v>3</v>
      </c>
      <c r="AF112" s="98">
        <f t="shared" si="37"/>
        <v>189.47200000000001</v>
      </c>
    </row>
    <row r="113" spans="1:32" ht="15.75">
      <c r="A113" s="51">
        <v>96</v>
      </c>
      <c r="B113" s="52">
        <v>17</v>
      </c>
      <c r="C113" s="53">
        <v>3</v>
      </c>
      <c r="D113" s="53">
        <v>6</v>
      </c>
      <c r="E113" s="53"/>
      <c r="F113" s="53"/>
      <c r="G113" s="53"/>
      <c r="H113" s="53">
        <v>1.1000000000000001</v>
      </c>
      <c r="I113" s="53">
        <v>1.1299999999999999</v>
      </c>
      <c r="J113" s="53"/>
      <c r="K113" s="53"/>
      <c r="L113" s="53"/>
      <c r="M113" s="53"/>
      <c r="N113" s="53"/>
      <c r="O113" s="53"/>
      <c r="P113" s="54"/>
      <c r="Q113" s="34"/>
      <c r="R113" s="34"/>
      <c r="S113" s="34"/>
      <c r="T113" s="34">
        <v>17</v>
      </c>
      <c r="U113" s="34"/>
      <c r="V113" s="34"/>
      <c r="W113" s="55">
        <f>(H113+I113+J113+K113)*0.19635*2</f>
        <v>0.87572099999999997</v>
      </c>
      <c r="X113" s="55">
        <f t="shared" si="33"/>
        <v>1.1519999999999999</v>
      </c>
      <c r="Y113" s="55"/>
      <c r="Z113" s="55">
        <f t="shared" si="34"/>
        <v>10.309599999999998</v>
      </c>
      <c r="AA113" s="55"/>
      <c r="AB113" s="55"/>
      <c r="AC113" s="55">
        <f t="shared" si="35"/>
        <v>17</v>
      </c>
      <c r="AD113" s="55">
        <f t="shared" si="36"/>
        <v>17</v>
      </c>
      <c r="AE113" s="55">
        <v>2</v>
      </c>
      <c r="AF113" s="98">
        <f t="shared" si="37"/>
        <v>112.94400000000002</v>
      </c>
    </row>
    <row r="114" spans="1:32" ht="15.75">
      <c r="A114" s="51">
        <v>97</v>
      </c>
      <c r="B114" s="52">
        <v>18</v>
      </c>
      <c r="C114" s="53">
        <v>3</v>
      </c>
      <c r="D114" s="53">
        <v>6</v>
      </c>
      <c r="E114" s="53"/>
      <c r="F114" s="53"/>
      <c r="G114" s="53"/>
      <c r="H114" s="53">
        <v>1.32</v>
      </c>
      <c r="I114" s="53">
        <v>1.61</v>
      </c>
      <c r="J114" s="53"/>
      <c r="K114" s="53"/>
      <c r="L114" s="53"/>
      <c r="M114" s="53"/>
      <c r="N114" s="53"/>
      <c r="O114" s="53"/>
      <c r="P114" s="54"/>
      <c r="Q114" s="34"/>
      <c r="R114" s="34"/>
      <c r="S114" s="34"/>
      <c r="T114" s="34">
        <v>18</v>
      </c>
      <c r="U114" s="34"/>
      <c r="V114" s="34"/>
      <c r="W114" s="55">
        <f>(H114+I114+J114+K114)*0.19635*2</f>
        <v>1.1506110000000001</v>
      </c>
      <c r="X114" s="55">
        <f t="shared" si="33"/>
        <v>1.1519999999999999</v>
      </c>
      <c r="Y114" s="55"/>
      <c r="Z114" s="55">
        <f t="shared" si="34"/>
        <v>13.053599999999999</v>
      </c>
      <c r="AA114" s="55"/>
      <c r="AB114" s="55"/>
      <c r="AC114" s="55">
        <f t="shared" si="35"/>
        <v>18</v>
      </c>
      <c r="AD114" s="55">
        <f t="shared" si="36"/>
        <v>18</v>
      </c>
      <c r="AE114" s="55">
        <v>2</v>
      </c>
      <c r="AF114" s="98">
        <f t="shared" si="37"/>
        <v>138.70400000000001</v>
      </c>
    </row>
    <row r="115" spans="1:32" ht="15.75">
      <c r="A115" s="51">
        <v>51</v>
      </c>
      <c r="B115" s="52">
        <v>13</v>
      </c>
      <c r="C115" s="53">
        <v>3</v>
      </c>
      <c r="D115" s="53">
        <v>2.5</v>
      </c>
      <c r="E115" s="53"/>
      <c r="F115" s="53"/>
      <c r="G115" s="53"/>
      <c r="H115" s="53"/>
      <c r="I115" s="53"/>
      <c r="J115" s="53"/>
      <c r="K115" s="53"/>
      <c r="L115" s="53" t="s">
        <v>361</v>
      </c>
      <c r="M115" s="53"/>
      <c r="N115" s="53"/>
      <c r="O115" s="53"/>
      <c r="P115" s="54"/>
      <c r="Q115" s="34">
        <v>13</v>
      </c>
      <c r="R115" s="34"/>
      <c r="S115" s="34"/>
      <c r="T115" s="34"/>
      <c r="U115" s="34"/>
      <c r="V115" s="34"/>
      <c r="W115" s="55"/>
      <c r="X115" s="55"/>
      <c r="Y115" s="55"/>
      <c r="Z115" s="55"/>
      <c r="AA115" s="55"/>
      <c r="AB115" s="55">
        <f t="shared" ref="AB115:AB138" si="38">Q115+R115+S115+T115+U115+V115</f>
        <v>13</v>
      </c>
      <c r="AC115" s="55">
        <f t="shared" si="35"/>
        <v>13</v>
      </c>
      <c r="AD115" s="55"/>
      <c r="AE115" s="55"/>
      <c r="AF115" s="98"/>
    </row>
    <row r="116" spans="1:32" ht="15.75">
      <c r="A116" s="51">
        <v>52</v>
      </c>
      <c r="B116" s="52">
        <v>27</v>
      </c>
      <c r="C116" s="53">
        <v>3</v>
      </c>
      <c r="D116" s="53">
        <v>2.5</v>
      </c>
      <c r="E116" s="53"/>
      <c r="F116" s="53"/>
      <c r="G116" s="53"/>
      <c r="H116" s="53"/>
      <c r="I116" s="53"/>
      <c r="J116" s="53"/>
      <c r="K116" s="53"/>
      <c r="L116" s="53" t="s">
        <v>361</v>
      </c>
      <c r="M116" s="53"/>
      <c r="N116" s="53"/>
      <c r="O116" s="53"/>
      <c r="P116" s="54"/>
      <c r="Q116" s="34">
        <v>27</v>
      </c>
      <c r="R116" s="34"/>
      <c r="S116" s="34"/>
      <c r="T116" s="34"/>
      <c r="U116" s="34"/>
      <c r="V116" s="34"/>
      <c r="W116" s="55"/>
      <c r="X116" s="55"/>
      <c r="Y116" s="55"/>
      <c r="Z116" s="55"/>
      <c r="AA116" s="55"/>
      <c r="AB116" s="55">
        <f t="shared" si="38"/>
        <v>27</v>
      </c>
      <c r="AC116" s="55">
        <f t="shared" si="35"/>
        <v>27</v>
      </c>
      <c r="AD116" s="55"/>
      <c r="AE116" s="55"/>
      <c r="AF116" s="98"/>
    </row>
    <row r="117" spans="1:32" ht="15.75">
      <c r="A117" s="51">
        <v>53</v>
      </c>
      <c r="B117" s="52">
        <v>6</v>
      </c>
      <c r="C117" s="53">
        <v>3</v>
      </c>
      <c r="D117" s="53">
        <v>2.5</v>
      </c>
      <c r="E117" s="53"/>
      <c r="F117" s="53"/>
      <c r="G117" s="53"/>
      <c r="H117" s="53"/>
      <c r="I117" s="53"/>
      <c r="J117" s="53"/>
      <c r="K117" s="53"/>
      <c r="L117" s="53" t="s">
        <v>361</v>
      </c>
      <c r="M117" s="53"/>
      <c r="N117" s="53"/>
      <c r="O117" s="53"/>
      <c r="P117" s="54"/>
      <c r="Q117" s="34">
        <v>6</v>
      </c>
      <c r="R117" s="34"/>
      <c r="S117" s="34"/>
      <c r="T117" s="34"/>
      <c r="U117" s="34"/>
      <c r="V117" s="34"/>
      <c r="W117" s="55"/>
      <c r="X117" s="55"/>
      <c r="Y117" s="55"/>
      <c r="Z117" s="55"/>
      <c r="AA117" s="55"/>
      <c r="AB117" s="55">
        <f t="shared" si="38"/>
        <v>6</v>
      </c>
      <c r="AC117" s="55">
        <f t="shared" si="35"/>
        <v>6</v>
      </c>
      <c r="AD117" s="55"/>
      <c r="AE117" s="55"/>
      <c r="AF117" s="98"/>
    </row>
    <row r="118" spans="1:32" ht="15.75">
      <c r="A118" s="51">
        <v>58</v>
      </c>
      <c r="B118" s="52">
        <v>6</v>
      </c>
      <c r="C118" s="53">
        <v>3</v>
      </c>
      <c r="D118" s="53">
        <v>3</v>
      </c>
      <c r="E118" s="53"/>
      <c r="F118" s="53"/>
      <c r="G118" s="53"/>
      <c r="H118" s="53"/>
      <c r="I118" s="53"/>
      <c r="J118" s="53"/>
      <c r="K118" s="53"/>
      <c r="L118" s="53" t="s">
        <v>361</v>
      </c>
      <c r="M118" s="53"/>
      <c r="N118" s="53"/>
      <c r="O118" s="53"/>
      <c r="P118" s="54"/>
      <c r="Q118" s="34"/>
      <c r="R118" s="34">
        <v>6</v>
      </c>
      <c r="S118" s="34"/>
      <c r="T118" s="34"/>
      <c r="U118" s="34"/>
      <c r="V118" s="34"/>
      <c r="W118" s="55"/>
      <c r="X118" s="55"/>
      <c r="Y118" s="55"/>
      <c r="Z118" s="55"/>
      <c r="AA118" s="55"/>
      <c r="AB118" s="55">
        <f t="shared" si="38"/>
        <v>6</v>
      </c>
      <c r="AC118" s="55">
        <f t="shared" si="35"/>
        <v>6</v>
      </c>
      <c r="AD118" s="55"/>
      <c r="AE118" s="55"/>
      <c r="AF118" s="98"/>
    </row>
    <row r="119" spans="1:32" ht="15.75">
      <c r="A119" s="51">
        <v>59</v>
      </c>
      <c r="B119" s="52">
        <v>2</v>
      </c>
      <c r="C119" s="53">
        <v>3</v>
      </c>
      <c r="D119" s="53">
        <v>3</v>
      </c>
      <c r="E119" s="53"/>
      <c r="F119" s="53"/>
      <c r="G119" s="53"/>
      <c r="H119" s="53"/>
      <c r="I119" s="53"/>
      <c r="J119" s="53"/>
      <c r="K119" s="53"/>
      <c r="L119" s="53" t="s">
        <v>361</v>
      </c>
      <c r="M119" s="53"/>
      <c r="N119" s="53"/>
      <c r="O119" s="53"/>
      <c r="P119" s="54"/>
      <c r="Q119" s="34"/>
      <c r="R119" s="34">
        <v>2</v>
      </c>
      <c r="S119" s="34"/>
      <c r="T119" s="34"/>
      <c r="U119" s="34"/>
      <c r="V119" s="34"/>
      <c r="W119" s="55"/>
      <c r="X119" s="55"/>
      <c r="Y119" s="55"/>
      <c r="Z119" s="55"/>
      <c r="AA119" s="55"/>
      <c r="AB119" s="55">
        <f t="shared" si="38"/>
        <v>2</v>
      </c>
      <c r="AC119" s="55">
        <f t="shared" si="35"/>
        <v>2</v>
      </c>
      <c r="AD119" s="55"/>
      <c r="AE119" s="55"/>
      <c r="AF119" s="98"/>
    </row>
    <row r="120" spans="1:32" ht="15.75">
      <c r="A120" s="51">
        <v>60</v>
      </c>
      <c r="B120" s="52">
        <v>45</v>
      </c>
      <c r="C120" s="53">
        <v>3</v>
      </c>
      <c r="D120" s="53">
        <v>6</v>
      </c>
      <c r="E120" s="53"/>
      <c r="F120" s="53"/>
      <c r="G120" s="53"/>
      <c r="H120" s="53"/>
      <c r="I120" s="53"/>
      <c r="J120" s="53"/>
      <c r="K120" s="53"/>
      <c r="L120" s="53" t="s">
        <v>361</v>
      </c>
      <c r="M120" s="53"/>
      <c r="N120" s="53"/>
      <c r="O120" s="53"/>
      <c r="P120" s="54"/>
      <c r="Q120" s="34"/>
      <c r="R120" s="34"/>
      <c r="S120" s="34"/>
      <c r="T120" s="34">
        <v>45</v>
      </c>
      <c r="U120" s="34"/>
      <c r="V120" s="34"/>
      <c r="W120" s="55"/>
      <c r="X120" s="55"/>
      <c r="Y120" s="55"/>
      <c r="Z120" s="55"/>
      <c r="AA120" s="55"/>
      <c r="AB120" s="55">
        <f t="shared" si="38"/>
        <v>45</v>
      </c>
      <c r="AC120" s="55">
        <f t="shared" si="35"/>
        <v>45</v>
      </c>
      <c r="AD120" s="55"/>
      <c r="AE120" s="55"/>
      <c r="AF120" s="98"/>
    </row>
    <row r="121" spans="1:32" ht="15.75">
      <c r="A121" s="51">
        <v>61</v>
      </c>
      <c r="B121" s="52">
        <v>72</v>
      </c>
      <c r="C121" s="53">
        <v>3</v>
      </c>
      <c r="D121" s="53">
        <v>6</v>
      </c>
      <c r="E121" s="53"/>
      <c r="F121" s="53"/>
      <c r="G121" s="53"/>
      <c r="H121" s="53"/>
      <c r="I121" s="53"/>
      <c r="J121" s="53"/>
      <c r="K121" s="53"/>
      <c r="L121" s="53" t="s">
        <v>361</v>
      </c>
      <c r="M121" s="53"/>
      <c r="N121" s="53"/>
      <c r="O121" s="53"/>
      <c r="P121" s="54"/>
      <c r="Q121" s="34"/>
      <c r="R121" s="34"/>
      <c r="S121" s="34"/>
      <c r="T121" s="34">
        <v>72</v>
      </c>
      <c r="U121" s="34"/>
      <c r="V121" s="34"/>
      <c r="W121" s="55"/>
      <c r="X121" s="55"/>
      <c r="Y121" s="55"/>
      <c r="Z121" s="55"/>
      <c r="AA121" s="55"/>
      <c r="AB121" s="55">
        <f t="shared" si="38"/>
        <v>72</v>
      </c>
      <c r="AC121" s="55">
        <f t="shared" si="35"/>
        <v>72</v>
      </c>
      <c r="AD121" s="55"/>
      <c r="AE121" s="55"/>
      <c r="AF121" s="98"/>
    </row>
    <row r="122" spans="1:32" ht="15.75">
      <c r="A122" s="51">
        <v>62</v>
      </c>
      <c r="B122" s="52">
        <v>18</v>
      </c>
      <c r="C122" s="53">
        <v>3</v>
      </c>
      <c r="D122" s="53">
        <v>4</v>
      </c>
      <c r="E122" s="53"/>
      <c r="F122" s="53"/>
      <c r="G122" s="53"/>
      <c r="H122" s="53"/>
      <c r="I122" s="53"/>
      <c r="J122" s="53"/>
      <c r="K122" s="53"/>
      <c r="L122" s="53" t="s">
        <v>361</v>
      </c>
      <c r="M122" s="53"/>
      <c r="N122" s="53"/>
      <c r="O122" s="53"/>
      <c r="P122" s="54"/>
      <c r="Q122" s="34"/>
      <c r="R122" s="34"/>
      <c r="S122" s="34">
        <v>18</v>
      </c>
      <c r="T122" s="34"/>
      <c r="U122" s="34"/>
      <c r="V122" s="34"/>
      <c r="W122" s="55"/>
      <c r="X122" s="55"/>
      <c r="Y122" s="55"/>
      <c r="Z122" s="55"/>
      <c r="AA122" s="55"/>
      <c r="AB122" s="55">
        <f t="shared" si="38"/>
        <v>18</v>
      </c>
      <c r="AC122" s="55">
        <f t="shared" si="35"/>
        <v>18</v>
      </c>
      <c r="AD122" s="55"/>
      <c r="AE122" s="55"/>
      <c r="AF122" s="98"/>
    </row>
    <row r="123" spans="1:32" ht="15.75">
      <c r="A123" s="51">
        <v>63</v>
      </c>
      <c r="B123" s="52">
        <v>15</v>
      </c>
      <c r="C123" s="53">
        <v>3</v>
      </c>
      <c r="D123" s="53">
        <v>2.5</v>
      </c>
      <c r="E123" s="53"/>
      <c r="F123" s="53"/>
      <c r="G123" s="53"/>
      <c r="H123" s="53"/>
      <c r="I123" s="53"/>
      <c r="J123" s="53"/>
      <c r="K123" s="53"/>
      <c r="L123" s="53" t="s">
        <v>361</v>
      </c>
      <c r="M123" s="53"/>
      <c r="N123" s="53"/>
      <c r="O123" s="53"/>
      <c r="P123" s="54"/>
      <c r="Q123" s="34">
        <v>15</v>
      </c>
      <c r="R123" s="34"/>
      <c r="S123" s="34"/>
      <c r="T123" s="34"/>
      <c r="U123" s="34"/>
      <c r="V123" s="34"/>
      <c r="W123" s="55"/>
      <c r="X123" s="55"/>
      <c r="Y123" s="55"/>
      <c r="Z123" s="55"/>
      <c r="AA123" s="55"/>
      <c r="AB123" s="55">
        <f t="shared" si="38"/>
        <v>15</v>
      </c>
      <c r="AC123" s="55">
        <f t="shared" si="35"/>
        <v>15</v>
      </c>
      <c r="AD123" s="55"/>
      <c r="AE123" s="55"/>
      <c r="AF123" s="98"/>
    </row>
    <row r="124" spans="1:32" ht="15.75">
      <c r="A124" s="51">
        <v>64</v>
      </c>
      <c r="B124" s="52">
        <v>35</v>
      </c>
      <c r="C124" s="53">
        <v>3</v>
      </c>
      <c r="D124" s="53">
        <v>2.5</v>
      </c>
      <c r="E124" s="53"/>
      <c r="F124" s="53"/>
      <c r="G124" s="53"/>
      <c r="H124" s="53"/>
      <c r="I124" s="53"/>
      <c r="J124" s="53"/>
      <c r="K124" s="53"/>
      <c r="L124" s="53" t="s">
        <v>361</v>
      </c>
      <c r="M124" s="53"/>
      <c r="N124" s="53"/>
      <c r="O124" s="53"/>
      <c r="P124" s="54"/>
      <c r="Q124" s="34">
        <v>35</v>
      </c>
      <c r="R124" s="34"/>
      <c r="S124" s="34"/>
      <c r="T124" s="34"/>
      <c r="U124" s="34"/>
      <c r="V124" s="34"/>
      <c r="W124" s="55"/>
      <c r="X124" s="55"/>
      <c r="Y124" s="55"/>
      <c r="Z124" s="55"/>
      <c r="AA124" s="55"/>
      <c r="AB124" s="55">
        <f t="shared" si="38"/>
        <v>35</v>
      </c>
      <c r="AC124" s="55">
        <f t="shared" si="35"/>
        <v>35</v>
      </c>
      <c r="AD124" s="55"/>
      <c r="AE124" s="55"/>
      <c r="AF124" s="98"/>
    </row>
    <row r="125" spans="1:32" ht="15.75">
      <c r="A125" s="51">
        <v>66</v>
      </c>
      <c r="B125" s="52">
        <v>5</v>
      </c>
      <c r="C125" s="53">
        <v>3</v>
      </c>
      <c r="D125" s="53">
        <v>3</v>
      </c>
      <c r="E125" s="53"/>
      <c r="F125" s="53"/>
      <c r="G125" s="53"/>
      <c r="H125" s="53"/>
      <c r="I125" s="53"/>
      <c r="J125" s="53"/>
      <c r="K125" s="53"/>
      <c r="L125" s="53" t="s">
        <v>361</v>
      </c>
      <c r="M125" s="53"/>
      <c r="N125" s="53"/>
      <c r="O125" s="53"/>
      <c r="P125" s="54"/>
      <c r="Q125" s="34"/>
      <c r="R125" s="34">
        <v>5</v>
      </c>
      <c r="S125" s="34"/>
      <c r="T125" s="34"/>
      <c r="U125" s="34"/>
      <c r="V125" s="34"/>
      <c r="W125" s="55"/>
      <c r="X125" s="55"/>
      <c r="Y125" s="55"/>
      <c r="Z125" s="55"/>
      <c r="AA125" s="55"/>
      <c r="AB125" s="55">
        <f t="shared" si="38"/>
        <v>5</v>
      </c>
      <c r="AC125" s="55">
        <f t="shared" si="35"/>
        <v>5</v>
      </c>
      <c r="AD125" s="55"/>
      <c r="AE125" s="55"/>
      <c r="AF125" s="98"/>
    </row>
    <row r="126" spans="1:32" ht="15.75">
      <c r="A126" s="51">
        <v>68</v>
      </c>
      <c r="B126" s="52">
        <v>5</v>
      </c>
      <c r="C126" s="53">
        <v>3</v>
      </c>
      <c r="D126" s="53">
        <v>2.5</v>
      </c>
      <c r="E126" s="53"/>
      <c r="F126" s="53"/>
      <c r="G126" s="53"/>
      <c r="H126" s="53"/>
      <c r="I126" s="53"/>
      <c r="J126" s="53"/>
      <c r="K126" s="53"/>
      <c r="L126" s="53" t="s">
        <v>361</v>
      </c>
      <c r="M126" s="53"/>
      <c r="N126" s="53"/>
      <c r="O126" s="53"/>
      <c r="P126" s="54"/>
      <c r="Q126" s="34">
        <v>5</v>
      </c>
      <c r="R126" s="34"/>
      <c r="S126" s="34"/>
      <c r="T126" s="34"/>
      <c r="U126" s="34"/>
      <c r="V126" s="34"/>
      <c r="W126" s="55"/>
      <c r="X126" s="55"/>
      <c r="Y126" s="55"/>
      <c r="Z126" s="55"/>
      <c r="AA126" s="55"/>
      <c r="AB126" s="55">
        <f t="shared" si="38"/>
        <v>5</v>
      </c>
      <c r="AC126" s="55">
        <f t="shared" si="35"/>
        <v>5</v>
      </c>
      <c r="AD126" s="55"/>
      <c r="AE126" s="55"/>
      <c r="AF126" s="98"/>
    </row>
    <row r="127" spans="1:32" ht="15.75">
      <c r="A127" s="51">
        <v>69</v>
      </c>
      <c r="B127" s="52">
        <v>13</v>
      </c>
      <c r="C127" s="53">
        <v>3</v>
      </c>
      <c r="D127" s="53">
        <v>4</v>
      </c>
      <c r="E127" s="53"/>
      <c r="F127" s="53"/>
      <c r="G127" s="53"/>
      <c r="H127" s="53"/>
      <c r="I127" s="53"/>
      <c r="J127" s="53"/>
      <c r="K127" s="53"/>
      <c r="L127" s="53" t="s">
        <v>361</v>
      </c>
      <c r="M127" s="53"/>
      <c r="N127" s="53"/>
      <c r="O127" s="53"/>
      <c r="P127" s="54"/>
      <c r="Q127" s="34"/>
      <c r="R127" s="34"/>
      <c r="S127" s="34">
        <v>13</v>
      </c>
      <c r="T127" s="34"/>
      <c r="U127" s="34"/>
      <c r="V127" s="34"/>
      <c r="W127" s="55"/>
      <c r="X127" s="55"/>
      <c r="Y127" s="55"/>
      <c r="Z127" s="55"/>
      <c r="AA127" s="55"/>
      <c r="AB127" s="55">
        <f t="shared" si="38"/>
        <v>13</v>
      </c>
      <c r="AC127" s="55">
        <f t="shared" si="35"/>
        <v>13</v>
      </c>
      <c r="AD127" s="55"/>
      <c r="AE127" s="55"/>
      <c r="AF127" s="98"/>
    </row>
    <row r="128" spans="1:32" ht="15.75">
      <c r="A128" s="51">
        <v>70</v>
      </c>
      <c r="B128" s="52">
        <v>6.5</v>
      </c>
      <c r="C128" s="53">
        <v>3</v>
      </c>
      <c r="D128" s="53">
        <v>4</v>
      </c>
      <c r="E128" s="53"/>
      <c r="F128" s="53"/>
      <c r="G128" s="53"/>
      <c r="H128" s="53"/>
      <c r="I128" s="53"/>
      <c r="J128" s="53"/>
      <c r="K128" s="53"/>
      <c r="L128" s="53" t="s">
        <v>361</v>
      </c>
      <c r="M128" s="53"/>
      <c r="N128" s="53"/>
      <c r="O128" s="53"/>
      <c r="P128" s="54"/>
      <c r="Q128" s="34"/>
      <c r="R128" s="34"/>
      <c r="S128" s="34">
        <v>7</v>
      </c>
      <c r="T128" s="34"/>
      <c r="U128" s="34"/>
      <c r="V128" s="34"/>
      <c r="W128" s="55"/>
      <c r="X128" s="55"/>
      <c r="Y128" s="55"/>
      <c r="Z128" s="55"/>
      <c r="AA128" s="55"/>
      <c r="AB128" s="55">
        <f t="shared" si="38"/>
        <v>7</v>
      </c>
      <c r="AC128" s="55">
        <f t="shared" si="35"/>
        <v>7</v>
      </c>
      <c r="AD128" s="55"/>
      <c r="AE128" s="55"/>
      <c r="AF128" s="98"/>
    </row>
    <row r="129" spans="1:32" ht="15.75">
      <c r="A129" s="51">
        <v>71</v>
      </c>
      <c r="B129" s="52">
        <v>6</v>
      </c>
      <c r="C129" s="53">
        <v>3</v>
      </c>
      <c r="D129" s="53">
        <v>2.5</v>
      </c>
      <c r="E129" s="53"/>
      <c r="F129" s="53"/>
      <c r="G129" s="53"/>
      <c r="H129" s="53"/>
      <c r="I129" s="53"/>
      <c r="J129" s="53"/>
      <c r="K129" s="53"/>
      <c r="L129" s="53" t="s">
        <v>361</v>
      </c>
      <c r="M129" s="53"/>
      <c r="N129" s="53"/>
      <c r="O129" s="53"/>
      <c r="P129" s="54"/>
      <c r="Q129" s="34">
        <v>6</v>
      </c>
      <c r="R129" s="34"/>
      <c r="S129" s="34"/>
      <c r="T129" s="34"/>
      <c r="U129" s="34"/>
      <c r="V129" s="34"/>
      <c r="W129" s="55"/>
      <c r="X129" s="55"/>
      <c r="Y129" s="55"/>
      <c r="Z129" s="55"/>
      <c r="AA129" s="55"/>
      <c r="AB129" s="55">
        <f t="shared" si="38"/>
        <v>6</v>
      </c>
      <c r="AC129" s="55">
        <f t="shared" si="35"/>
        <v>6</v>
      </c>
      <c r="AD129" s="55"/>
      <c r="AE129" s="55"/>
      <c r="AF129" s="98"/>
    </row>
    <row r="130" spans="1:32" ht="15.75">
      <c r="A130" s="51">
        <v>72</v>
      </c>
      <c r="B130" s="52">
        <v>4</v>
      </c>
      <c r="C130" s="53">
        <v>3</v>
      </c>
      <c r="D130" s="53">
        <v>2.5</v>
      </c>
      <c r="E130" s="53"/>
      <c r="F130" s="53"/>
      <c r="G130" s="53"/>
      <c r="H130" s="53"/>
      <c r="I130" s="53"/>
      <c r="J130" s="53"/>
      <c r="K130" s="53"/>
      <c r="L130" s="53" t="s">
        <v>361</v>
      </c>
      <c r="M130" s="53"/>
      <c r="N130" s="53"/>
      <c r="O130" s="53"/>
      <c r="P130" s="54"/>
      <c r="Q130" s="34">
        <v>4</v>
      </c>
      <c r="R130" s="34"/>
      <c r="S130" s="34"/>
      <c r="T130" s="34"/>
      <c r="U130" s="34"/>
      <c r="V130" s="34"/>
      <c r="W130" s="55"/>
      <c r="X130" s="55"/>
      <c r="Y130" s="55"/>
      <c r="Z130" s="55"/>
      <c r="AA130" s="55"/>
      <c r="AB130" s="55">
        <f t="shared" si="38"/>
        <v>4</v>
      </c>
      <c r="AC130" s="55">
        <f t="shared" si="35"/>
        <v>4</v>
      </c>
      <c r="AD130" s="55"/>
      <c r="AE130" s="55"/>
      <c r="AF130" s="98"/>
    </row>
    <row r="131" spans="1:32" ht="15.75">
      <c r="A131" s="51">
        <v>73</v>
      </c>
      <c r="B131" s="52">
        <v>4</v>
      </c>
      <c r="C131" s="53">
        <v>3</v>
      </c>
      <c r="D131" s="53">
        <v>2.5</v>
      </c>
      <c r="E131" s="53"/>
      <c r="F131" s="53"/>
      <c r="G131" s="53"/>
      <c r="H131" s="53"/>
      <c r="I131" s="53"/>
      <c r="J131" s="53"/>
      <c r="K131" s="53"/>
      <c r="L131" s="53" t="s">
        <v>361</v>
      </c>
      <c r="M131" s="53"/>
      <c r="N131" s="53"/>
      <c r="O131" s="53"/>
      <c r="P131" s="54"/>
      <c r="Q131" s="34">
        <v>4</v>
      </c>
      <c r="R131" s="34"/>
      <c r="S131" s="34"/>
      <c r="T131" s="34"/>
      <c r="U131" s="34"/>
      <c r="V131" s="34"/>
      <c r="W131" s="55"/>
      <c r="X131" s="55"/>
      <c r="Y131" s="55"/>
      <c r="Z131" s="55"/>
      <c r="AA131" s="55"/>
      <c r="AB131" s="55">
        <f t="shared" si="38"/>
        <v>4</v>
      </c>
      <c r="AC131" s="55">
        <f t="shared" si="35"/>
        <v>4</v>
      </c>
      <c r="AD131" s="55"/>
      <c r="AE131" s="55"/>
      <c r="AF131" s="98"/>
    </row>
    <row r="132" spans="1:32" ht="15.75">
      <c r="A132" s="51">
        <v>76</v>
      </c>
      <c r="B132" s="52">
        <v>3</v>
      </c>
      <c r="C132" s="53">
        <v>3</v>
      </c>
      <c r="D132" s="53">
        <v>6</v>
      </c>
      <c r="E132" s="53">
        <v>3</v>
      </c>
      <c r="F132" s="53"/>
      <c r="G132" s="53"/>
      <c r="H132" s="53"/>
      <c r="I132" s="53"/>
      <c r="J132" s="53"/>
      <c r="K132" s="53"/>
      <c r="L132" s="53" t="s">
        <v>361</v>
      </c>
      <c r="M132" s="53"/>
      <c r="N132" s="53"/>
      <c r="O132" s="53"/>
      <c r="P132" s="54"/>
      <c r="Q132" s="34"/>
      <c r="R132" s="34">
        <v>3</v>
      </c>
      <c r="S132" s="34"/>
      <c r="T132" s="34">
        <v>3</v>
      </c>
      <c r="U132" s="34"/>
      <c r="V132" s="34"/>
      <c r="W132" s="55"/>
      <c r="X132" s="55"/>
      <c r="Y132" s="55"/>
      <c r="Z132" s="55"/>
      <c r="AA132" s="55"/>
      <c r="AB132" s="55">
        <f t="shared" si="38"/>
        <v>6</v>
      </c>
      <c r="AC132" s="55">
        <f t="shared" si="35"/>
        <v>6</v>
      </c>
      <c r="AD132" s="55"/>
      <c r="AE132" s="55"/>
      <c r="AF132" s="98"/>
    </row>
    <row r="133" spans="1:32" ht="15.75">
      <c r="A133" s="51">
        <v>85</v>
      </c>
      <c r="B133" s="52">
        <v>9</v>
      </c>
      <c r="C133" s="53">
        <v>3</v>
      </c>
      <c r="D133" s="53">
        <v>4</v>
      </c>
      <c r="E133" s="53"/>
      <c r="F133" s="53"/>
      <c r="G133" s="53"/>
      <c r="H133" s="53"/>
      <c r="I133" s="53"/>
      <c r="J133" s="53"/>
      <c r="K133" s="53"/>
      <c r="L133" s="53" t="s">
        <v>361</v>
      </c>
      <c r="M133" s="53"/>
      <c r="N133" s="53"/>
      <c r="O133" s="53"/>
      <c r="P133" s="54"/>
      <c r="Q133" s="34"/>
      <c r="R133" s="34"/>
      <c r="S133" s="34">
        <v>9</v>
      </c>
      <c r="T133" s="34"/>
      <c r="U133" s="34"/>
      <c r="V133" s="34"/>
      <c r="W133" s="55"/>
      <c r="X133" s="55"/>
      <c r="Y133" s="55"/>
      <c r="Z133" s="55"/>
      <c r="AA133" s="55"/>
      <c r="AB133" s="55">
        <f t="shared" si="38"/>
        <v>9</v>
      </c>
      <c r="AC133" s="55">
        <f t="shared" si="35"/>
        <v>9</v>
      </c>
      <c r="AD133" s="55"/>
      <c r="AE133" s="55"/>
      <c r="AF133" s="98"/>
    </row>
    <row r="134" spans="1:32" ht="15.75">
      <c r="A134" s="51">
        <v>86</v>
      </c>
      <c r="B134" s="52">
        <v>25</v>
      </c>
      <c r="C134" s="53">
        <v>3</v>
      </c>
      <c r="D134" s="53">
        <v>4</v>
      </c>
      <c r="E134" s="53">
        <v>6</v>
      </c>
      <c r="F134" s="53"/>
      <c r="G134" s="53"/>
      <c r="H134" s="53"/>
      <c r="I134" s="53"/>
      <c r="J134" s="53"/>
      <c r="K134" s="53"/>
      <c r="L134" s="53" t="s">
        <v>361</v>
      </c>
      <c r="M134" s="53"/>
      <c r="N134" s="53"/>
      <c r="O134" s="53"/>
      <c r="P134" s="54"/>
      <c r="Q134" s="34"/>
      <c r="R134" s="34"/>
      <c r="S134" s="34">
        <v>25</v>
      </c>
      <c r="T134" s="34">
        <v>25</v>
      </c>
      <c r="U134" s="34"/>
      <c r="V134" s="34"/>
      <c r="W134" s="55"/>
      <c r="X134" s="55"/>
      <c r="Y134" s="55"/>
      <c r="Z134" s="55"/>
      <c r="AA134" s="55"/>
      <c r="AB134" s="55">
        <f t="shared" si="38"/>
        <v>50</v>
      </c>
      <c r="AC134" s="55">
        <f t="shared" si="35"/>
        <v>50</v>
      </c>
      <c r="AD134" s="55"/>
      <c r="AE134" s="55"/>
      <c r="AF134" s="98"/>
    </row>
    <row r="135" spans="1:32" ht="15.75">
      <c r="A135" s="51">
        <v>88</v>
      </c>
      <c r="B135" s="52">
        <v>11</v>
      </c>
      <c r="C135" s="53">
        <v>3</v>
      </c>
      <c r="D135" s="53">
        <v>4</v>
      </c>
      <c r="E135" s="53">
        <v>6</v>
      </c>
      <c r="F135" s="53"/>
      <c r="G135" s="53"/>
      <c r="H135" s="53"/>
      <c r="I135" s="53"/>
      <c r="J135" s="53"/>
      <c r="K135" s="53"/>
      <c r="L135" s="53" t="s">
        <v>361</v>
      </c>
      <c r="M135" s="53"/>
      <c r="N135" s="53"/>
      <c r="O135" s="53"/>
      <c r="P135" s="54"/>
      <c r="Q135" s="34"/>
      <c r="R135" s="34"/>
      <c r="S135" s="34">
        <v>11</v>
      </c>
      <c r="T135" s="34">
        <v>11</v>
      </c>
      <c r="U135" s="34"/>
      <c r="V135" s="34"/>
      <c r="W135" s="55"/>
      <c r="X135" s="55"/>
      <c r="Y135" s="55"/>
      <c r="Z135" s="55"/>
      <c r="AA135" s="55"/>
      <c r="AB135" s="55">
        <f t="shared" si="38"/>
        <v>22</v>
      </c>
      <c r="AC135" s="55">
        <f t="shared" si="35"/>
        <v>22</v>
      </c>
      <c r="AD135" s="55"/>
      <c r="AE135" s="55"/>
      <c r="AF135" s="98"/>
    </row>
    <row r="136" spans="1:32" ht="15.75">
      <c r="A136" s="51">
        <v>89</v>
      </c>
      <c r="B136" s="52">
        <v>20</v>
      </c>
      <c r="C136" s="53">
        <v>3</v>
      </c>
      <c r="D136" s="53">
        <v>3</v>
      </c>
      <c r="E136" s="53">
        <v>4</v>
      </c>
      <c r="F136" s="53"/>
      <c r="G136" s="53"/>
      <c r="H136" s="53"/>
      <c r="I136" s="53"/>
      <c r="J136" s="53"/>
      <c r="K136" s="53"/>
      <c r="L136" s="53" t="s">
        <v>361</v>
      </c>
      <c r="M136" s="53"/>
      <c r="N136" s="53"/>
      <c r="O136" s="53"/>
      <c r="P136" s="54"/>
      <c r="Q136" s="34"/>
      <c r="R136" s="34">
        <v>20</v>
      </c>
      <c r="S136" s="34">
        <v>20</v>
      </c>
      <c r="T136" s="34"/>
      <c r="U136" s="34"/>
      <c r="V136" s="34"/>
      <c r="W136" s="55"/>
      <c r="X136" s="55"/>
      <c r="Y136" s="55"/>
      <c r="Z136" s="55"/>
      <c r="AA136" s="55"/>
      <c r="AB136" s="55">
        <f t="shared" si="38"/>
        <v>40</v>
      </c>
      <c r="AC136" s="55">
        <f t="shared" si="35"/>
        <v>40</v>
      </c>
      <c r="AD136" s="55"/>
      <c r="AE136" s="55"/>
      <c r="AF136" s="98"/>
    </row>
    <row r="137" spans="1:32" ht="15.75">
      <c r="A137" s="51">
        <v>90</v>
      </c>
      <c r="B137" s="52">
        <v>12</v>
      </c>
      <c r="C137" s="53">
        <v>3</v>
      </c>
      <c r="D137" s="53">
        <v>4</v>
      </c>
      <c r="E137" s="53">
        <v>4</v>
      </c>
      <c r="F137" s="53"/>
      <c r="G137" s="53"/>
      <c r="H137" s="53"/>
      <c r="I137" s="53"/>
      <c r="J137" s="53"/>
      <c r="K137" s="53"/>
      <c r="L137" s="53" t="s">
        <v>361</v>
      </c>
      <c r="M137" s="53"/>
      <c r="N137" s="53"/>
      <c r="O137" s="53"/>
      <c r="P137" s="54"/>
      <c r="Q137" s="34"/>
      <c r="R137" s="34"/>
      <c r="S137" s="34">
        <v>24</v>
      </c>
      <c r="T137" s="34"/>
      <c r="U137" s="34"/>
      <c r="V137" s="34"/>
      <c r="W137" s="55"/>
      <c r="X137" s="55"/>
      <c r="Y137" s="55"/>
      <c r="Z137" s="55"/>
      <c r="AA137" s="55"/>
      <c r="AB137" s="55">
        <f t="shared" si="38"/>
        <v>24</v>
      </c>
      <c r="AC137" s="55">
        <f t="shared" si="35"/>
        <v>24</v>
      </c>
      <c r="AD137" s="55"/>
      <c r="AE137" s="55"/>
      <c r="AF137" s="98"/>
    </row>
    <row r="138" spans="1:32" ht="15.75">
      <c r="A138" s="51">
        <v>91</v>
      </c>
      <c r="B138" s="52">
        <v>21</v>
      </c>
      <c r="C138" s="53">
        <v>3</v>
      </c>
      <c r="D138" s="53">
        <v>3</v>
      </c>
      <c r="E138" s="53">
        <v>4</v>
      </c>
      <c r="F138" s="53"/>
      <c r="G138" s="53"/>
      <c r="H138" s="53"/>
      <c r="I138" s="53"/>
      <c r="J138" s="53"/>
      <c r="K138" s="53"/>
      <c r="L138" s="53" t="s">
        <v>361</v>
      </c>
      <c r="M138" s="53"/>
      <c r="N138" s="53"/>
      <c r="O138" s="53"/>
      <c r="P138" s="54"/>
      <c r="Q138" s="34"/>
      <c r="R138" s="34">
        <v>21</v>
      </c>
      <c r="S138" s="34">
        <v>21</v>
      </c>
      <c r="T138" s="34"/>
      <c r="U138" s="34"/>
      <c r="V138" s="34"/>
      <c r="W138" s="55"/>
      <c r="X138" s="55"/>
      <c r="Y138" s="55"/>
      <c r="Z138" s="55"/>
      <c r="AA138" s="55"/>
      <c r="AB138" s="55">
        <f t="shared" si="38"/>
        <v>42</v>
      </c>
      <c r="AC138" s="55">
        <f t="shared" si="35"/>
        <v>42</v>
      </c>
      <c r="AD138" s="55"/>
      <c r="AE138" s="55"/>
      <c r="AF138" s="98"/>
    </row>
    <row r="139" spans="1:32" ht="15.75">
      <c r="A139" s="51">
        <v>67</v>
      </c>
      <c r="B139" s="52">
        <v>5</v>
      </c>
      <c r="C139" s="53">
        <v>3</v>
      </c>
      <c r="D139" s="53">
        <v>3</v>
      </c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 t="s">
        <v>361</v>
      </c>
      <c r="P139" s="54"/>
      <c r="Q139" s="34"/>
      <c r="R139" s="34">
        <v>5</v>
      </c>
      <c r="S139" s="34"/>
      <c r="T139" s="34"/>
      <c r="U139" s="34"/>
      <c r="V139" s="34"/>
      <c r="W139" s="55"/>
      <c r="X139" s="55"/>
      <c r="Y139" s="55">
        <f t="shared" ref="Y139:Y141" si="39">(S139*0.151)+(V139*0.39)+(R139*0.072)+(Q139*0.072)+(T139*0.152)</f>
        <v>0.36</v>
      </c>
      <c r="Z139" s="55"/>
      <c r="AA139" s="55"/>
      <c r="AB139" s="55"/>
      <c r="AC139" s="55"/>
      <c r="AD139" s="55"/>
      <c r="AE139" s="55"/>
      <c r="AF139" s="98">
        <f>(R139*8*0.996)+((R139/0.3)*1.2*0.557)</f>
        <v>50.980000000000004</v>
      </c>
    </row>
    <row r="140" spans="1:32" ht="15.75">
      <c r="A140" s="51">
        <v>77</v>
      </c>
      <c r="B140" s="52">
        <v>3</v>
      </c>
      <c r="C140" s="53">
        <v>3</v>
      </c>
      <c r="D140" s="53">
        <v>6</v>
      </c>
      <c r="E140" s="53">
        <v>3</v>
      </c>
      <c r="F140" s="53"/>
      <c r="G140" s="53"/>
      <c r="H140" s="53"/>
      <c r="I140" s="53"/>
      <c r="J140" s="53"/>
      <c r="K140" s="53"/>
      <c r="L140" s="53"/>
      <c r="M140" s="53"/>
      <c r="N140" s="53"/>
      <c r="O140" s="53" t="s">
        <v>361</v>
      </c>
      <c r="P140" s="54"/>
      <c r="Q140" s="34"/>
      <c r="R140" s="34">
        <v>3</v>
      </c>
      <c r="S140" s="34"/>
      <c r="T140" s="34">
        <v>3</v>
      </c>
      <c r="U140" s="34"/>
      <c r="V140" s="34"/>
      <c r="W140" s="55"/>
      <c r="X140" s="55"/>
      <c r="Y140" s="55">
        <f t="shared" si="39"/>
        <v>0.67199999999999993</v>
      </c>
      <c r="Z140" s="55"/>
      <c r="AA140" s="55"/>
      <c r="AB140" s="55"/>
      <c r="AC140" s="55"/>
      <c r="AD140" s="55"/>
      <c r="AE140" s="55"/>
      <c r="AF140" s="98">
        <f>(R140*8*0.996)+((R140/0.3)*1.2*0.557)+(T140*12*0.996)+((T140/0.3)*1.57*0.557)</f>
        <v>75.188900000000004</v>
      </c>
    </row>
    <row r="141" spans="1:32" ht="15.75">
      <c r="A141" s="51">
        <v>57</v>
      </c>
      <c r="B141" s="52">
        <v>7</v>
      </c>
      <c r="C141" s="53">
        <v>3</v>
      </c>
      <c r="D141" s="53">
        <v>2.5</v>
      </c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4" t="s">
        <v>361</v>
      </c>
      <c r="Q141" s="34">
        <v>7</v>
      </c>
      <c r="R141" s="34"/>
      <c r="S141" s="34"/>
      <c r="T141" s="34"/>
      <c r="U141" s="34"/>
      <c r="V141" s="34"/>
      <c r="W141" s="55"/>
      <c r="X141" s="55"/>
      <c r="Y141" s="55">
        <f t="shared" si="39"/>
        <v>0.504</v>
      </c>
      <c r="Z141" s="55"/>
      <c r="AA141" s="55">
        <f t="shared" ref="AA141" si="40">((Q141+R141)*0.8*0.4)+((S141+T141)*1*0.6)+((U141+V141)*1.2*0.9)</f>
        <v>2.2400000000000002</v>
      </c>
      <c r="AB141" s="55"/>
      <c r="AC141" s="55"/>
      <c r="AD141" s="55"/>
      <c r="AE141" s="55"/>
      <c r="AF141" s="98">
        <f>(Q141*8*0.996)+((Q141/0.3)*1.2*0.557)</f>
        <v>71.372</v>
      </c>
    </row>
    <row r="142" spans="1:32" ht="15">
      <c r="A142" s="100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589" t="s">
        <v>364</v>
      </c>
      <c r="O142" s="589"/>
      <c r="P142" s="589"/>
      <c r="Q142" s="99">
        <f>SUM(Q104:Q141)</f>
        <v>141</v>
      </c>
      <c r="R142" s="99">
        <f t="shared" ref="R142:V142" si="41">SUM(R104:R141)</f>
        <v>84</v>
      </c>
      <c r="S142" s="99">
        <f t="shared" si="41"/>
        <v>172</v>
      </c>
      <c r="T142" s="99">
        <f t="shared" si="41"/>
        <v>283</v>
      </c>
      <c r="U142" s="99">
        <f t="shared" si="41"/>
        <v>0</v>
      </c>
      <c r="V142" s="99">
        <f t="shared" si="41"/>
        <v>0</v>
      </c>
      <c r="W142" s="593">
        <f>SUM(W98:W141)</f>
        <v>12.413246999999998</v>
      </c>
      <c r="X142" s="593">
        <f>SUM(X98:X141)</f>
        <v>13.823999999999998</v>
      </c>
      <c r="Y142" s="593">
        <f>SUM(Y98:Y141)</f>
        <v>3.1679999999999997</v>
      </c>
      <c r="Z142" s="593">
        <f t="shared" ref="Z142:AF142" si="42">SUM(Z98:Z141)</f>
        <v>132.80959999999999</v>
      </c>
      <c r="AA142" s="593">
        <f t="shared" si="42"/>
        <v>9.0400000000000009</v>
      </c>
      <c r="AB142" s="593">
        <f t="shared" si="42"/>
        <v>476</v>
      </c>
      <c r="AC142" s="593">
        <f t="shared" si="42"/>
        <v>662</v>
      </c>
      <c r="AD142" s="593">
        <f t="shared" si="42"/>
        <v>186</v>
      </c>
      <c r="AE142" s="593">
        <f t="shared" si="42"/>
        <v>24</v>
      </c>
      <c r="AF142" s="587">
        <f t="shared" si="42"/>
        <v>1844.1267</v>
      </c>
    </row>
    <row r="143" spans="1:32" ht="15">
      <c r="A143" s="100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589" t="s">
        <v>376</v>
      </c>
      <c r="O143" s="589"/>
      <c r="P143" s="589"/>
      <c r="Q143" s="590">
        <v>25</v>
      </c>
      <c r="R143" s="590"/>
      <c r="S143" s="590"/>
      <c r="T143" s="590"/>
      <c r="U143" s="590"/>
      <c r="V143" s="590"/>
      <c r="W143" s="593"/>
      <c r="X143" s="593"/>
      <c r="Y143" s="593"/>
      <c r="Z143" s="593"/>
      <c r="AA143" s="593"/>
      <c r="AB143" s="593"/>
      <c r="AC143" s="593"/>
      <c r="AD143" s="593"/>
      <c r="AE143" s="593"/>
      <c r="AF143" s="587"/>
    </row>
    <row r="144" spans="1:32" ht="15.75" thickBot="1">
      <c r="A144" s="102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591" t="s">
        <v>377</v>
      </c>
      <c r="O144" s="591"/>
      <c r="P144" s="591"/>
      <c r="Q144" s="592">
        <v>9</v>
      </c>
      <c r="R144" s="592"/>
      <c r="S144" s="592"/>
      <c r="T144" s="592"/>
      <c r="U144" s="592"/>
      <c r="V144" s="592"/>
      <c r="W144" s="594"/>
      <c r="X144" s="594"/>
      <c r="Y144" s="594"/>
      <c r="Z144" s="594"/>
      <c r="AA144" s="594"/>
      <c r="AB144" s="594"/>
      <c r="AC144" s="594"/>
      <c r="AD144" s="594"/>
      <c r="AE144" s="594"/>
      <c r="AF144" s="588"/>
    </row>
  </sheetData>
  <mergeCells count="125">
    <mergeCell ref="A1:AF1"/>
    <mergeCell ref="A2:A4"/>
    <mergeCell ref="B2:B4"/>
    <mergeCell ref="C2:C4"/>
    <mergeCell ref="D2:G3"/>
    <mergeCell ref="H2:K2"/>
    <mergeCell ref="L2:L4"/>
    <mergeCell ref="M2:M4"/>
    <mergeCell ref="N2:N4"/>
    <mergeCell ref="O2:O4"/>
    <mergeCell ref="AD2:AD4"/>
    <mergeCell ref="AE2:AE4"/>
    <mergeCell ref="AF2:AF4"/>
    <mergeCell ref="P2:P4"/>
    <mergeCell ref="Q2:V2"/>
    <mergeCell ref="W2:W4"/>
    <mergeCell ref="X2:X4"/>
    <mergeCell ref="Y2:Y4"/>
    <mergeCell ref="Z2:Z4"/>
    <mergeCell ref="H3:K3"/>
    <mergeCell ref="Q3:V3"/>
    <mergeCell ref="N14:P14"/>
    <mergeCell ref="Q15:V15"/>
    <mergeCell ref="N31:P31"/>
    <mergeCell ref="W31:W33"/>
    <mergeCell ref="AA2:AA4"/>
    <mergeCell ref="AB2:AB4"/>
    <mergeCell ref="AC2:AC4"/>
    <mergeCell ref="AD31:AD33"/>
    <mergeCell ref="AE31:AE33"/>
    <mergeCell ref="AF31:AF33"/>
    <mergeCell ref="N32:P32"/>
    <mergeCell ref="Q32:V32"/>
    <mergeCell ref="N33:P33"/>
    <mergeCell ref="Q33:V33"/>
    <mergeCell ref="X31:X33"/>
    <mergeCell ref="Y31:Y33"/>
    <mergeCell ref="Z31:Z33"/>
    <mergeCell ref="AA31:AA33"/>
    <mergeCell ref="AB31:AB33"/>
    <mergeCell ref="AC31:AC33"/>
    <mergeCell ref="A37:AF37"/>
    <mergeCell ref="A38:A40"/>
    <mergeCell ref="B38:B40"/>
    <mergeCell ref="C38:C40"/>
    <mergeCell ref="D38:G39"/>
    <mergeCell ref="H38:K38"/>
    <mergeCell ref="L38:L40"/>
    <mergeCell ref="M38:M40"/>
    <mergeCell ref="N38:N40"/>
    <mergeCell ref="O38:O40"/>
    <mergeCell ref="AD38:AD40"/>
    <mergeCell ref="AE38:AE40"/>
    <mergeCell ref="AF38:AF40"/>
    <mergeCell ref="P38:P40"/>
    <mergeCell ref="Q38:V38"/>
    <mergeCell ref="W38:W40"/>
    <mergeCell ref="X38:X40"/>
    <mergeCell ref="Y38:Y40"/>
    <mergeCell ref="Z38:Z40"/>
    <mergeCell ref="H39:K39"/>
    <mergeCell ref="Q39:V39"/>
    <mergeCell ref="N52:P52"/>
    <mergeCell ref="Q53:V53"/>
    <mergeCell ref="N89:P89"/>
    <mergeCell ref="W89:W92"/>
    <mergeCell ref="AA38:AA40"/>
    <mergeCell ref="AB38:AB40"/>
    <mergeCell ref="AC38:AC40"/>
    <mergeCell ref="AD89:AD92"/>
    <mergeCell ref="AE89:AE92"/>
    <mergeCell ref="AF89:AF92"/>
    <mergeCell ref="N90:P90"/>
    <mergeCell ref="Q90:V90"/>
    <mergeCell ref="N91:P91"/>
    <mergeCell ref="Q91:V91"/>
    <mergeCell ref="N92:P92"/>
    <mergeCell ref="Q92:V92"/>
    <mergeCell ref="X89:X92"/>
    <mergeCell ref="Y89:Y92"/>
    <mergeCell ref="Z89:Z92"/>
    <mergeCell ref="AA89:AA92"/>
    <mergeCell ref="AB89:AB92"/>
    <mergeCell ref="AC89:AC92"/>
    <mergeCell ref="A94:AF94"/>
    <mergeCell ref="A95:A97"/>
    <mergeCell ref="B95:B97"/>
    <mergeCell ref="C95:C97"/>
    <mergeCell ref="D95:G96"/>
    <mergeCell ref="H95:K95"/>
    <mergeCell ref="L95:L97"/>
    <mergeCell ref="M95:M97"/>
    <mergeCell ref="N95:N97"/>
    <mergeCell ref="O95:O97"/>
    <mergeCell ref="AD95:AD97"/>
    <mergeCell ref="AE95:AE97"/>
    <mergeCell ref="AF95:AF97"/>
    <mergeCell ref="P95:P97"/>
    <mergeCell ref="Q95:V95"/>
    <mergeCell ref="W95:W97"/>
    <mergeCell ref="X95:X97"/>
    <mergeCell ref="Y95:Y97"/>
    <mergeCell ref="Z95:Z97"/>
    <mergeCell ref="H96:K96"/>
    <mergeCell ref="Q96:V96"/>
    <mergeCell ref="N101:P101"/>
    <mergeCell ref="Q102:V102"/>
    <mergeCell ref="N142:P142"/>
    <mergeCell ref="W142:W144"/>
    <mergeCell ref="AA95:AA97"/>
    <mergeCell ref="AB95:AB97"/>
    <mergeCell ref="AC95:AC97"/>
    <mergeCell ref="AD142:AD144"/>
    <mergeCell ref="AE142:AE144"/>
    <mergeCell ref="AF142:AF144"/>
    <mergeCell ref="N143:P143"/>
    <mergeCell ref="Q143:V143"/>
    <mergeCell ref="N144:P144"/>
    <mergeCell ref="Q144:V144"/>
    <mergeCell ref="X142:X144"/>
    <mergeCell ref="Y142:Y144"/>
    <mergeCell ref="Z142:Z144"/>
    <mergeCell ref="AA142:AA144"/>
    <mergeCell ref="AB142:AB144"/>
    <mergeCell ref="AC142:AC144"/>
  </mergeCells>
  <pageMargins left="0.31496062992125984" right="0.31496062992125984" top="0.55118110236220474" bottom="0.15748031496062992" header="0.31496062992125984" footer="0.31496062992125984"/>
  <pageSetup scale="50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workbookViewId="0">
      <selection activeCell="H139" sqref="H139"/>
    </sheetView>
  </sheetViews>
  <sheetFormatPr baseColWidth="10" defaultColWidth="14.6640625" defaultRowHeight="12.75"/>
  <cols>
    <col min="1" max="1" width="3.5" style="236" customWidth="1"/>
    <col min="2" max="2" width="63.6640625" style="236" bestFit="1" customWidth="1"/>
    <col min="3" max="4" width="14.6640625" style="236"/>
    <col min="5" max="5" width="15.83203125" style="236" customWidth="1"/>
    <col min="6" max="16384" width="14.6640625" style="236"/>
  </cols>
  <sheetData>
    <row r="2" spans="2:7" ht="51" customHeight="1">
      <c r="B2" s="234" t="s">
        <v>545</v>
      </c>
      <c r="C2" s="234" t="s">
        <v>517</v>
      </c>
      <c r="D2" s="235" t="s">
        <v>546</v>
      </c>
      <c r="E2" s="235" t="s">
        <v>547</v>
      </c>
    </row>
    <row r="3" spans="2:7" ht="15.6" customHeight="1">
      <c r="B3" s="237" t="s">
        <v>548</v>
      </c>
      <c r="C3" s="238"/>
      <c r="D3" s="238"/>
      <c r="E3" s="239"/>
    </row>
    <row r="4" spans="2:7">
      <c r="B4" s="240" t="s">
        <v>549</v>
      </c>
      <c r="C4" s="241" t="s">
        <v>514</v>
      </c>
      <c r="D4" s="242">
        <v>15</v>
      </c>
      <c r="E4" s="243">
        <v>602.15</v>
      </c>
      <c r="G4" s="244"/>
    </row>
    <row r="5" spans="2:7">
      <c r="B5" s="245" t="s">
        <v>550</v>
      </c>
      <c r="C5" s="246" t="s">
        <v>514</v>
      </c>
      <c r="D5" s="247">
        <v>22</v>
      </c>
      <c r="E5" s="248">
        <v>665.35</v>
      </c>
      <c r="G5" s="244"/>
    </row>
    <row r="6" spans="2:7">
      <c r="B6" s="249" t="s">
        <v>551</v>
      </c>
      <c r="C6" s="250" t="s">
        <v>514</v>
      </c>
      <c r="D6" s="251">
        <v>7</v>
      </c>
      <c r="E6" s="252">
        <v>144.19</v>
      </c>
      <c r="G6" s="244"/>
    </row>
    <row r="7" spans="2:7">
      <c r="B7" s="253" t="s">
        <v>552</v>
      </c>
      <c r="C7" s="254"/>
      <c r="D7" s="255"/>
      <c r="E7" s="256">
        <f>SUM(E4:E6)</f>
        <v>1411.69</v>
      </c>
      <c r="G7" s="244"/>
    </row>
    <row r="8" spans="2:7">
      <c r="B8" s="257"/>
      <c r="C8" s="258"/>
      <c r="D8" s="259"/>
      <c r="E8" s="260"/>
      <c r="G8" s="244"/>
    </row>
    <row r="9" spans="2:7">
      <c r="B9" s="237" t="s">
        <v>553</v>
      </c>
      <c r="C9" s="238"/>
      <c r="D9" s="261"/>
      <c r="E9" s="239"/>
      <c r="G9" s="244"/>
    </row>
    <row r="10" spans="2:7">
      <c r="B10" s="262" t="s">
        <v>554</v>
      </c>
      <c r="C10" s="241" t="s">
        <v>555</v>
      </c>
      <c r="D10" s="242">
        <v>8</v>
      </c>
      <c r="E10" s="243">
        <v>130.03</v>
      </c>
      <c r="G10" s="244"/>
    </row>
    <row r="11" spans="2:7">
      <c r="B11" s="263" t="s">
        <v>556</v>
      </c>
      <c r="C11" s="246" t="s">
        <v>555</v>
      </c>
      <c r="D11" s="247">
        <v>18</v>
      </c>
      <c r="E11" s="248">
        <v>440.95</v>
      </c>
      <c r="G11" s="244"/>
    </row>
    <row r="12" spans="2:7">
      <c r="B12" s="263" t="s">
        <v>557</v>
      </c>
      <c r="C12" s="246" t="s">
        <v>555</v>
      </c>
      <c r="D12" s="247">
        <v>10</v>
      </c>
      <c r="E12" s="248">
        <f>163.43</f>
        <v>163.43</v>
      </c>
      <c r="G12" s="244"/>
    </row>
    <row r="13" spans="2:7">
      <c r="B13" s="263" t="s">
        <v>558</v>
      </c>
      <c r="C13" s="246" t="s">
        <v>555</v>
      </c>
      <c r="D13" s="247">
        <v>10</v>
      </c>
      <c r="E13" s="248">
        <f>163.43</f>
        <v>163.43</v>
      </c>
      <c r="G13" s="244"/>
    </row>
    <row r="14" spans="2:7">
      <c r="B14" s="263" t="s">
        <v>559</v>
      </c>
      <c r="C14" s="246" t="s">
        <v>555</v>
      </c>
      <c r="D14" s="247">
        <v>7</v>
      </c>
      <c r="E14" s="248">
        <v>112.55</v>
      </c>
      <c r="G14" s="244"/>
    </row>
    <row r="15" spans="2:7">
      <c r="B15" s="264" t="s">
        <v>560</v>
      </c>
      <c r="C15" s="246" t="s">
        <v>555</v>
      </c>
      <c r="D15" s="265">
        <v>11</v>
      </c>
      <c r="E15" s="266">
        <v>186.96</v>
      </c>
      <c r="G15" s="244"/>
    </row>
    <row r="16" spans="2:7">
      <c r="B16" s="267" t="s">
        <v>561</v>
      </c>
      <c r="C16" s="250" t="s">
        <v>555</v>
      </c>
      <c r="D16" s="251">
        <v>11</v>
      </c>
      <c r="E16" s="252">
        <f>186.96</f>
        <v>186.96</v>
      </c>
      <c r="G16" s="244"/>
    </row>
    <row r="17" spans="2:7">
      <c r="B17" s="253" t="s">
        <v>562</v>
      </c>
      <c r="C17" s="254"/>
      <c r="D17" s="255"/>
      <c r="E17" s="256">
        <f>SUM(E10:E16)</f>
        <v>1384.3100000000002</v>
      </c>
      <c r="G17" s="244"/>
    </row>
    <row r="18" spans="2:7">
      <c r="B18" s="257"/>
      <c r="C18" s="258"/>
      <c r="D18" s="259"/>
      <c r="E18" s="260"/>
      <c r="G18" s="244"/>
    </row>
    <row r="19" spans="2:7">
      <c r="B19" s="237" t="s">
        <v>563</v>
      </c>
      <c r="C19" s="238"/>
      <c r="D19" s="261"/>
      <c r="E19" s="239"/>
      <c r="G19" s="244"/>
    </row>
    <row r="20" spans="2:7">
      <c r="B20" s="268" t="s">
        <v>564</v>
      </c>
      <c r="C20" s="241" t="s">
        <v>544</v>
      </c>
      <c r="D20" s="242">
        <v>36</v>
      </c>
      <c r="E20" s="243">
        <v>1093.8</v>
      </c>
      <c r="G20" s="244"/>
    </row>
    <row r="21" spans="2:7">
      <c r="B21" s="245" t="s">
        <v>565</v>
      </c>
      <c r="C21" s="246" t="s">
        <v>544</v>
      </c>
      <c r="D21" s="247">
        <v>30</v>
      </c>
      <c r="E21" s="248">
        <v>927.7</v>
      </c>
      <c r="G21" s="244"/>
    </row>
    <row r="22" spans="2:7">
      <c r="B22" s="245" t="s">
        <v>566</v>
      </c>
      <c r="C22" s="246" t="s">
        <v>544</v>
      </c>
      <c r="D22" s="247">
        <v>22</v>
      </c>
      <c r="E22" s="248">
        <v>586.82000000000005</v>
      </c>
      <c r="G22" s="244"/>
    </row>
    <row r="23" spans="2:7">
      <c r="B23" s="263" t="s">
        <v>567</v>
      </c>
      <c r="C23" s="246" t="s">
        <v>544</v>
      </c>
      <c r="D23" s="247">
        <v>18</v>
      </c>
      <c r="E23" s="248">
        <v>460.75</v>
      </c>
      <c r="G23" s="244"/>
    </row>
    <row r="24" spans="2:7">
      <c r="B24" s="263" t="s">
        <v>568</v>
      </c>
      <c r="C24" s="246" t="s">
        <v>544</v>
      </c>
      <c r="D24" s="247">
        <v>17.5</v>
      </c>
      <c r="E24" s="248">
        <v>448</v>
      </c>
      <c r="G24" s="244"/>
    </row>
    <row r="25" spans="2:7">
      <c r="B25" s="263" t="s">
        <v>569</v>
      </c>
      <c r="C25" s="246" t="s">
        <v>544</v>
      </c>
      <c r="D25" s="265">
        <v>12</v>
      </c>
      <c r="E25" s="248">
        <v>372</v>
      </c>
      <c r="G25" s="244"/>
    </row>
    <row r="26" spans="2:7">
      <c r="B26" s="263" t="s">
        <v>570</v>
      </c>
      <c r="C26" s="246" t="s">
        <v>544</v>
      </c>
      <c r="D26" s="265">
        <v>12</v>
      </c>
      <c r="E26" s="248">
        <v>372</v>
      </c>
      <c r="G26" s="244"/>
    </row>
    <row r="27" spans="2:7">
      <c r="B27" s="264" t="s">
        <v>571</v>
      </c>
      <c r="C27" s="250" t="s">
        <v>544</v>
      </c>
      <c r="D27" s="265">
        <v>10</v>
      </c>
      <c r="E27" s="266">
        <v>260.3</v>
      </c>
      <c r="G27" s="244"/>
    </row>
    <row r="28" spans="2:7">
      <c r="B28" s="264" t="s">
        <v>572</v>
      </c>
      <c r="C28" s="250" t="s">
        <v>544</v>
      </c>
      <c r="D28" s="265">
        <v>10</v>
      </c>
      <c r="E28" s="266">
        <v>260.3</v>
      </c>
      <c r="G28" s="244"/>
    </row>
    <row r="29" spans="2:7">
      <c r="B29" s="264" t="s">
        <v>573</v>
      </c>
      <c r="C29" s="250" t="s">
        <v>544</v>
      </c>
      <c r="D29" s="265">
        <v>10</v>
      </c>
      <c r="E29" s="266">
        <v>260.3</v>
      </c>
      <c r="G29" s="244"/>
    </row>
    <row r="30" spans="2:7">
      <c r="B30" s="267" t="s">
        <v>574</v>
      </c>
      <c r="C30" s="250" t="s">
        <v>544</v>
      </c>
      <c r="D30" s="265">
        <v>10</v>
      </c>
      <c r="E30" s="252">
        <f>260.3</f>
        <v>260.3</v>
      </c>
      <c r="G30" s="244"/>
    </row>
    <row r="31" spans="2:7">
      <c r="B31" s="253" t="s">
        <v>575</v>
      </c>
      <c r="C31" s="254"/>
      <c r="D31" s="255"/>
      <c r="E31" s="256">
        <f>SUM(E20:E30)</f>
        <v>5302.27</v>
      </c>
      <c r="G31" s="244"/>
    </row>
    <row r="32" spans="2:7">
      <c r="B32" s="253" t="s">
        <v>576</v>
      </c>
      <c r="C32" s="254"/>
      <c r="D32" s="254"/>
      <c r="E32" s="269">
        <f>+E7+E17+E31</f>
        <v>8098.27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</sheetPr>
  <dimension ref="A1:H191"/>
  <sheetViews>
    <sheetView showGridLines="0" view="pageBreakPreview" zoomScale="96" zoomScaleNormal="89" zoomScaleSheetLayoutView="96" workbookViewId="0">
      <selection sqref="A1:F2"/>
    </sheetView>
  </sheetViews>
  <sheetFormatPr baseColWidth="10" defaultColWidth="11.6640625" defaultRowHeight="12.75"/>
  <cols>
    <col min="1" max="1" width="10.83203125" style="451" customWidth="1"/>
    <col min="2" max="2" width="48.1640625" style="106" customWidth="1"/>
    <col min="3" max="3" width="11" style="106" customWidth="1"/>
    <col min="4" max="4" width="12.33203125" style="106" customWidth="1"/>
    <col min="5" max="5" width="19" style="469" customWidth="1"/>
    <col min="6" max="6" width="26" style="106" customWidth="1"/>
    <col min="7" max="251" width="11.6640625" style="106"/>
    <col min="252" max="252" width="1.6640625" style="106" customWidth="1"/>
    <col min="253" max="253" width="9.6640625" style="106" customWidth="1"/>
    <col min="254" max="254" width="44.33203125" style="106" customWidth="1"/>
    <col min="255" max="255" width="12.33203125" style="106" customWidth="1"/>
    <col min="256" max="256" width="15.5" style="106" customWidth="1"/>
    <col min="257" max="257" width="21" style="106" customWidth="1"/>
    <col min="258" max="258" width="21.33203125" style="106" bestFit="1" customWidth="1"/>
    <col min="259" max="507" width="11.6640625" style="106"/>
    <col min="508" max="508" width="1.6640625" style="106" customWidth="1"/>
    <col min="509" max="509" width="9.6640625" style="106" customWidth="1"/>
    <col min="510" max="510" width="44.33203125" style="106" customWidth="1"/>
    <col min="511" max="511" width="12.33203125" style="106" customWidth="1"/>
    <col min="512" max="512" width="15.5" style="106" customWidth="1"/>
    <col min="513" max="513" width="21" style="106" customWidth="1"/>
    <col min="514" max="514" width="21.33203125" style="106" bestFit="1" customWidth="1"/>
    <col min="515" max="763" width="11.6640625" style="106"/>
    <col min="764" max="764" width="1.6640625" style="106" customWidth="1"/>
    <col min="765" max="765" width="9.6640625" style="106" customWidth="1"/>
    <col min="766" max="766" width="44.33203125" style="106" customWidth="1"/>
    <col min="767" max="767" width="12.33203125" style="106" customWidth="1"/>
    <col min="768" max="768" width="15.5" style="106" customWidth="1"/>
    <col min="769" max="769" width="21" style="106" customWidth="1"/>
    <col min="770" max="770" width="21.33203125" style="106" bestFit="1" customWidth="1"/>
    <col min="771" max="1019" width="11.6640625" style="106"/>
    <col min="1020" max="1020" width="1.6640625" style="106" customWidth="1"/>
    <col min="1021" max="1021" width="9.6640625" style="106" customWidth="1"/>
    <col min="1022" max="1022" width="44.33203125" style="106" customWidth="1"/>
    <col min="1023" max="1023" width="12.33203125" style="106" customWidth="1"/>
    <col min="1024" max="1024" width="15.5" style="106" customWidth="1"/>
    <col min="1025" max="1025" width="21" style="106" customWidth="1"/>
    <col min="1026" max="1026" width="21.33203125" style="106" bestFit="1" customWidth="1"/>
    <col min="1027" max="1275" width="11.6640625" style="106"/>
    <col min="1276" max="1276" width="1.6640625" style="106" customWidth="1"/>
    <col min="1277" max="1277" width="9.6640625" style="106" customWidth="1"/>
    <col min="1278" max="1278" width="44.33203125" style="106" customWidth="1"/>
    <col min="1279" max="1279" width="12.33203125" style="106" customWidth="1"/>
    <col min="1280" max="1280" width="15.5" style="106" customWidth="1"/>
    <col min="1281" max="1281" width="21" style="106" customWidth="1"/>
    <col min="1282" max="1282" width="21.33203125" style="106" bestFit="1" customWidth="1"/>
    <col min="1283" max="1531" width="11.6640625" style="106"/>
    <col min="1532" max="1532" width="1.6640625" style="106" customWidth="1"/>
    <col min="1533" max="1533" width="9.6640625" style="106" customWidth="1"/>
    <col min="1534" max="1534" width="44.33203125" style="106" customWidth="1"/>
    <col min="1535" max="1535" width="12.33203125" style="106" customWidth="1"/>
    <col min="1536" max="1536" width="15.5" style="106" customWidth="1"/>
    <col min="1537" max="1537" width="21" style="106" customWidth="1"/>
    <col min="1538" max="1538" width="21.33203125" style="106" bestFit="1" customWidth="1"/>
    <col min="1539" max="1787" width="11.6640625" style="106"/>
    <col min="1788" max="1788" width="1.6640625" style="106" customWidth="1"/>
    <col min="1789" max="1789" width="9.6640625" style="106" customWidth="1"/>
    <col min="1790" max="1790" width="44.33203125" style="106" customWidth="1"/>
    <col min="1791" max="1791" width="12.33203125" style="106" customWidth="1"/>
    <col min="1792" max="1792" width="15.5" style="106" customWidth="1"/>
    <col min="1793" max="1793" width="21" style="106" customWidth="1"/>
    <col min="1794" max="1794" width="21.33203125" style="106" bestFit="1" customWidth="1"/>
    <col min="1795" max="2043" width="11.6640625" style="106"/>
    <col min="2044" max="2044" width="1.6640625" style="106" customWidth="1"/>
    <col min="2045" max="2045" width="9.6640625" style="106" customWidth="1"/>
    <col min="2046" max="2046" width="44.33203125" style="106" customWidth="1"/>
    <col min="2047" max="2047" width="12.33203125" style="106" customWidth="1"/>
    <col min="2048" max="2048" width="15.5" style="106" customWidth="1"/>
    <col min="2049" max="2049" width="21" style="106" customWidth="1"/>
    <col min="2050" max="2050" width="21.33203125" style="106" bestFit="1" customWidth="1"/>
    <col min="2051" max="2299" width="11.6640625" style="106"/>
    <col min="2300" max="2300" width="1.6640625" style="106" customWidth="1"/>
    <col min="2301" max="2301" width="9.6640625" style="106" customWidth="1"/>
    <col min="2302" max="2302" width="44.33203125" style="106" customWidth="1"/>
    <col min="2303" max="2303" width="12.33203125" style="106" customWidth="1"/>
    <col min="2304" max="2304" width="15.5" style="106" customWidth="1"/>
    <col min="2305" max="2305" width="21" style="106" customWidth="1"/>
    <col min="2306" max="2306" width="21.33203125" style="106" bestFit="1" customWidth="1"/>
    <col min="2307" max="2555" width="11.6640625" style="106"/>
    <col min="2556" max="2556" width="1.6640625" style="106" customWidth="1"/>
    <col min="2557" max="2557" width="9.6640625" style="106" customWidth="1"/>
    <col min="2558" max="2558" width="44.33203125" style="106" customWidth="1"/>
    <col min="2559" max="2559" width="12.33203125" style="106" customWidth="1"/>
    <col min="2560" max="2560" width="15.5" style="106" customWidth="1"/>
    <col min="2561" max="2561" width="21" style="106" customWidth="1"/>
    <col min="2562" max="2562" width="21.33203125" style="106" bestFit="1" customWidth="1"/>
    <col min="2563" max="2811" width="11.6640625" style="106"/>
    <col min="2812" max="2812" width="1.6640625" style="106" customWidth="1"/>
    <col min="2813" max="2813" width="9.6640625" style="106" customWidth="1"/>
    <col min="2814" max="2814" width="44.33203125" style="106" customWidth="1"/>
    <col min="2815" max="2815" width="12.33203125" style="106" customWidth="1"/>
    <col min="2816" max="2816" width="15.5" style="106" customWidth="1"/>
    <col min="2817" max="2817" width="21" style="106" customWidth="1"/>
    <col min="2818" max="2818" width="21.33203125" style="106" bestFit="1" customWidth="1"/>
    <col min="2819" max="3067" width="11.6640625" style="106"/>
    <col min="3068" max="3068" width="1.6640625" style="106" customWidth="1"/>
    <col min="3069" max="3069" width="9.6640625" style="106" customWidth="1"/>
    <col min="3070" max="3070" width="44.33203125" style="106" customWidth="1"/>
    <col min="3071" max="3071" width="12.33203125" style="106" customWidth="1"/>
    <col min="3072" max="3072" width="15.5" style="106" customWidth="1"/>
    <col min="3073" max="3073" width="21" style="106" customWidth="1"/>
    <col min="3074" max="3074" width="21.33203125" style="106" bestFit="1" customWidth="1"/>
    <col min="3075" max="3323" width="11.6640625" style="106"/>
    <col min="3324" max="3324" width="1.6640625" style="106" customWidth="1"/>
    <col min="3325" max="3325" width="9.6640625" style="106" customWidth="1"/>
    <col min="3326" max="3326" width="44.33203125" style="106" customWidth="1"/>
    <col min="3327" max="3327" width="12.33203125" style="106" customWidth="1"/>
    <col min="3328" max="3328" width="15.5" style="106" customWidth="1"/>
    <col min="3329" max="3329" width="21" style="106" customWidth="1"/>
    <col min="3330" max="3330" width="21.33203125" style="106" bestFit="1" customWidth="1"/>
    <col min="3331" max="3579" width="11.6640625" style="106"/>
    <col min="3580" max="3580" width="1.6640625" style="106" customWidth="1"/>
    <col min="3581" max="3581" width="9.6640625" style="106" customWidth="1"/>
    <col min="3582" max="3582" width="44.33203125" style="106" customWidth="1"/>
    <col min="3583" max="3583" width="12.33203125" style="106" customWidth="1"/>
    <col min="3584" max="3584" width="15.5" style="106" customWidth="1"/>
    <col min="3585" max="3585" width="21" style="106" customWidth="1"/>
    <col min="3586" max="3586" width="21.33203125" style="106" bestFit="1" customWidth="1"/>
    <col min="3587" max="3835" width="11.6640625" style="106"/>
    <col min="3836" max="3836" width="1.6640625" style="106" customWidth="1"/>
    <col min="3837" max="3837" width="9.6640625" style="106" customWidth="1"/>
    <col min="3838" max="3838" width="44.33203125" style="106" customWidth="1"/>
    <col min="3839" max="3839" width="12.33203125" style="106" customWidth="1"/>
    <col min="3840" max="3840" width="15.5" style="106" customWidth="1"/>
    <col min="3841" max="3841" width="21" style="106" customWidth="1"/>
    <col min="3842" max="3842" width="21.33203125" style="106" bestFit="1" customWidth="1"/>
    <col min="3843" max="4091" width="11.6640625" style="106"/>
    <col min="4092" max="4092" width="1.6640625" style="106" customWidth="1"/>
    <col min="4093" max="4093" width="9.6640625" style="106" customWidth="1"/>
    <col min="4094" max="4094" width="44.33203125" style="106" customWidth="1"/>
    <col min="4095" max="4095" width="12.33203125" style="106" customWidth="1"/>
    <col min="4096" max="4096" width="15.5" style="106" customWidth="1"/>
    <col min="4097" max="4097" width="21" style="106" customWidth="1"/>
    <col min="4098" max="4098" width="21.33203125" style="106" bestFit="1" customWidth="1"/>
    <col min="4099" max="4347" width="11.6640625" style="106"/>
    <col min="4348" max="4348" width="1.6640625" style="106" customWidth="1"/>
    <col min="4349" max="4349" width="9.6640625" style="106" customWidth="1"/>
    <col min="4350" max="4350" width="44.33203125" style="106" customWidth="1"/>
    <col min="4351" max="4351" width="12.33203125" style="106" customWidth="1"/>
    <col min="4352" max="4352" width="15.5" style="106" customWidth="1"/>
    <col min="4353" max="4353" width="21" style="106" customWidth="1"/>
    <col min="4354" max="4354" width="21.33203125" style="106" bestFit="1" customWidth="1"/>
    <col min="4355" max="4603" width="11.6640625" style="106"/>
    <col min="4604" max="4604" width="1.6640625" style="106" customWidth="1"/>
    <col min="4605" max="4605" width="9.6640625" style="106" customWidth="1"/>
    <col min="4606" max="4606" width="44.33203125" style="106" customWidth="1"/>
    <col min="4607" max="4607" width="12.33203125" style="106" customWidth="1"/>
    <col min="4608" max="4608" width="15.5" style="106" customWidth="1"/>
    <col min="4609" max="4609" width="21" style="106" customWidth="1"/>
    <col min="4610" max="4610" width="21.33203125" style="106" bestFit="1" customWidth="1"/>
    <col min="4611" max="4859" width="11.6640625" style="106"/>
    <col min="4860" max="4860" width="1.6640625" style="106" customWidth="1"/>
    <col min="4861" max="4861" width="9.6640625" style="106" customWidth="1"/>
    <col min="4862" max="4862" width="44.33203125" style="106" customWidth="1"/>
    <col min="4863" max="4863" width="12.33203125" style="106" customWidth="1"/>
    <col min="4864" max="4864" width="15.5" style="106" customWidth="1"/>
    <col min="4865" max="4865" width="21" style="106" customWidth="1"/>
    <col min="4866" max="4866" width="21.33203125" style="106" bestFit="1" customWidth="1"/>
    <col min="4867" max="5115" width="11.6640625" style="106"/>
    <col min="5116" max="5116" width="1.6640625" style="106" customWidth="1"/>
    <col min="5117" max="5117" width="9.6640625" style="106" customWidth="1"/>
    <col min="5118" max="5118" width="44.33203125" style="106" customWidth="1"/>
    <col min="5119" max="5119" width="12.33203125" style="106" customWidth="1"/>
    <col min="5120" max="5120" width="15.5" style="106" customWidth="1"/>
    <col min="5121" max="5121" width="21" style="106" customWidth="1"/>
    <col min="5122" max="5122" width="21.33203125" style="106" bestFit="1" customWidth="1"/>
    <col min="5123" max="5371" width="11.6640625" style="106"/>
    <col min="5372" max="5372" width="1.6640625" style="106" customWidth="1"/>
    <col min="5373" max="5373" width="9.6640625" style="106" customWidth="1"/>
    <col min="5374" max="5374" width="44.33203125" style="106" customWidth="1"/>
    <col min="5375" max="5375" width="12.33203125" style="106" customWidth="1"/>
    <col min="5376" max="5376" width="15.5" style="106" customWidth="1"/>
    <col min="5377" max="5377" width="21" style="106" customWidth="1"/>
    <col min="5378" max="5378" width="21.33203125" style="106" bestFit="1" customWidth="1"/>
    <col min="5379" max="5627" width="11.6640625" style="106"/>
    <col min="5628" max="5628" width="1.6640625" style="106" customWidth="1"/>
    <col min="5629" max="5629" width="9.6640625" style="106" customWidth="1"/>
    <col min="5630" max="5630" width="44.33203125" style="106" customWidth="1"/>
    <col min="5631" max="5631" width="12.33203125" style="106" customWidth="1"/>
    <col min="5632" max="5632" width="15.5" style="106" customWidth="1"/>
    <col min="5633" max="5633" width="21" style="106" customWidth="1"/>
    <col min="5634" max="5634" width="21.33203125" style="106" bestFit="1" customWidth="1"/>
    <col min="5635" max="5883" width="11.6640625" style="106"/>
    <col min="5884" max="5884" width="1.6640625" style="106" customWidth="1"/>
    <col min="5885" max="5885" width="9.6640625" style="106" customWidth="1"/>
    <col min="5886" max="5886" width="44.33203125" style="106" customWidth="1"/>
    <col min="5887" max="5887" width="12.33203125" style="106" customWidth="1"/>
    <col min="5888" max="5888" width="15.5" style="106" customWidth="1"/>
    <col min="5889" max="5889" width="21" style="106" customWidth="1"/>
    <col min="5890" max="5890" width="21.33203125" style="106" bestFit="1" customWidth="1"/>
    <col min="5891" max="6139" width="11.6640625" style="106"/>
    <col min="6140" max="6140" width="1.6640625" style="106" customWidth="1"/>
    <col min="6141" max="6141" width="9.6640625" style="106" customWidth="1"/>
    <col min="6142" max="6142" width="44.33203125" style="106" customWidth="1"/>
    <col min="6143" max="6143" width="12.33203125" style="106" customWidth="1"/>
    <col min="6144" max="6144" width="15.5" style="106" customWidth="1"/>
    <col min="6145" max="6145" width="21" style="106" customWidth="1"/>
    <col min="6146" max="6146" width="21.33203125" style="106" bestFit="1" customWidth="1"/>
    <col min="6147" max="6395" width="11.6640625" style="106"/>
    <col min="6396" max="6396" width="1.6640625" style="106" customWidth="1"/>
    <col min="6397" max="6397" width="9.6640625" style="106" customWidth="1"/>
    <col min="6398" max="6398" width="44.33203125" style="106" customWidth="1"/>
    <col min="6399" max="6399" width="12.33203125" style="106" customWidth="1"/>
    <col min="6400" max="6400" width="15.5" style="106" customWidth="1"/>
    <col min="6401" max="6401" width="21" style="106" customWidth="1"/>
    <col min="6402" max="6402" width="21.33203125" style="106" bestFit="1" customWidth="1"/>
    <col min="6403" max="6651" width="11.6640625" style="106"/>
    <col min="6652" max="6652" width="1.6640625" style="106" customWidth="1"/>
    <col min="6653" max="6653" width="9.6640625" style="106" customWidth="1"/>
    <col min="6654" max="6654" width="44.33203125" style="106" customWidth="1"/>
    <col min="6655" max="6655" width="12.33203125" style="106" customWidth="1"/>
    <col min="6656" max="6656" width="15.5" style="106" customWidth="1"/>
    <col min="6657" max="6657" width="21" style="106" customWidth="1"/>
    <col min="6658" max="6658" width="21.33203125" style="106" bestFit="1" customWidth="1"/>
    <col min="6659" max="6907" width="11.6640625" style="106"/>
    <col min="6908" max="6908" width="1.6640625" style="106" customWidth="1"/>
    <col min="6909" max="6909" width="9.6640625" style="106" customWidth="1"/>
    <col min="6910" max="6910" width="44.33203125" style="106" customWidth="1"/>
    <col min="6911" max="6911" width="12.33203125" style="106" customWidth="1"/>
    <col min="6912" max="6912" width="15.5" style="106" customWidth="1"/>
    <col min="6913" max="6913" width="21" style="106" customWidth="1"/>
    <col min="6914" max="6914" width="21.33203125" style="106" bestFit="1" customWidth="1"/>
    <col min="6915" max="7163" width="11.6640625" style="106"/>
    <col min="7164" max="7164" width="1.6640625" style="106" customWidth="1"/>
    <col min="7165" max="7165" width="9.6640625" style="106" customWidth="1"/>
    <col min="7166" max="7166" width="44.33203125" style="106" customWidth="1"/>
    <col min="7167" max="7167" width="12.33203125" style="106" customWidth="1"/>
    <col min="7168" max="7168" width="15.5" style="106" customWidth="1"/>
    <col min="7169" max="7169" width="21" style="106" customWidth="1"/>
    <col min="7170" max="7170" width="21.33203125" style="106" bestFit="1" customWidth="1"/>
    <col min="7171" max="7419" width="11.6640625" style="106"/>
    <col min="7420" max="7420" width="1.6640625" style="106" customWidth="1"/>
    <col min="7421" max="7421" width="9.6640625" style="106" customWidth="1"/>
    <col min="7422" max="7422" width="44.33203125" style="106" customWidth="1"/>
    <col min="7423" max="7423" width="12.33203125" style="106" customWidth="1"/>
    <col min="7424" max="7424" width="15.5" style="106" customWidth="1"/>
    <col min="7425" max="7425" width="21" style="106" customWidth="1"/>
    <col min="7426" max="7426" width="21.33203125" style="106" bestFit="1" customWidth="1"/>
    <col min="7427" max="7675" width="11.6640625" style="106"/>
    <col min="7676" max="7676" width="1.6640625" style="106" customWidth="1"/>
    <col min="7677" max="7677" width="9.6640625" style="106" customWidth="1"/>
    <col min="7678" max="7678" width="44.33203125" style="106" customWidth="1"/>
    <col min="7679" max="7679" width="12.33203125" style="106" customWidth="1"/>
    <col min="7680" max="7680" width="15.5" style="106" customWidth="1"/>
    <col min="7681" max="7681" width="21" style="106" customWidth="1"/>
    <col min="7682" max="7682" width="21.33203125" style="106" bestFit="1" customWidth="1"/>
    <col min="7683" max="7931" width="11.6640625" style="106"/>
    <col min="7932" max="7932" width="1.6640625" style="106" customWidth="1"/>
    <col min="7933" max="7933" width="9.6640625" style="106" customWidth="1"/>
    <col min="7934" max="7934" width="44.33203125" style="106" customWidth="1"/>
    <col min="7935" max="7935" width="12.33203125" style="106" customWidth="1"/>
    <col min="7936" max="7936" width="15.5" style="106" customWidth="1"/>
    <col min="7937" max="7937" width="21" style="106" customWidth="1"/>
    <col min="7938" max="7938" width="21.33203125" style="106" bestFit="1" customWidth="1"/>
    <col min="7939" max="8187" width="11.6640625" style="106"/>
    <col min="8188" max="8188" width="1.6640625" style="106" customWidth="1"/>
    <col min="8189" max="8189" width="9.6640625" style="106" customWidth="1"/>
    <col min="8190" max="8190" width="44.33203125" style="106" customWidth="1"/>
    <col min="8191" max="8191" width="12.33203125" style="106" customWidth="1"/>
    <col min="8192" max="8192" width="15.5" style="106" customWidth="1"/>
    <col min="8193" max="8193" width="21" style="106" customWidth="1"/>
    <col min="8194" max="8194" width="21.33203125" style="106" bestFit="1" customWidth="1"/>
    <col min="8195" max="8443" width="11.6640625" style="106"/>
    <col min="8444" max="8444" width="1.6640625" style="106" customWidth="1"/>
    <col min="8445" max="8445" width="9.6640625" style="106" customWidth="1"/>
    <col min="8446" max="8446" width="44.33203125" style="106" customWidth="1"/>
    <col min="8447" max="8447" width="12.33203125" style="106" customWidth="1"/>
    <col min="8448" max="8448" width="15.5" style="106" customWidth="1"/>
    <col min="8449" max="8449" width="21" style="106" customWidth="1"/>
    <col min="8450" max="8450" width="21.33203125" style="106" bestFit="1" customWidth="1"/>
    <col min="8451" max="8699" width="11.6640625" style="106"/>
    <col min="8700" max="8700" width="1.6640625" style="106" customWidth="1"/>
    <col min="8701" max="8701" width="9.6640625" style="106" customWidth="1"/>
    <col min="8702" max="8702" width="44.33203125" style="106" customWidth="1"/>
    <col min="8703" max="8703" width="12.33203125" style="106" customWidth="1"/>
    <col min="8704" max="8704" width="15.5" style="106" customWidth="1"/>
    <col min="8705" max="8705" width="21" style="106" customWidth="1"/>
    <col min="8706" max="8706" width="21.33203125" style="106" bestFit="1" customWidth="1"/>
    <col min="8707" max="8955" width="11.6640625" style="106"/>
    <col min="8956" max="8956" width="1.6640625" style="106" customWidth="1"/>
    <col min="8957" max="8957" width="9.6640625" style="106" customWidth="1"/>
    <col min="8958" max="8958" width="44.33203125" style="106" customWidth="1"/>
    <col min="8959" max="8959" width="12.33203125" style="106" customWidth="1"/>
    <col min="8960" max="8960" width="15.5" style="106" customWidth="1"/>
    <col min="8961" max="8961" width="21" style="106" customWidth="1"/>
    <col min="8962" max="8962" width="21.33203125" style="106" bestFit="1" customWidth="1"/>
    <col min="8963" max="9211" width="11.6640625" style="106"/>
    <col min="9212" max="9212" width="1.6640625" style="106" customWidth="1"/>
    <col min="9213" max="9213" width="9.6640625" style="106" customWidth="1"/>
    <col min="9214" max="9214" width="44.33203125" style="106" customWidth="1"/>
    <col min="9215" max="9215" width="12.33203125" style="106" customWidth="1"/>
    <col min="9216" max="9216" width="15.5" style="106" customWidth="1"/>
    <col min="9217" max="9217" width="21" style="106" customWidth="1"/>
    <col min="9218" max="9218" width="21.33203125" style="106" bestFit="1" customWidth="1"/>
    <col min="9219" max="9467" width="11.6640625" style="106"/>
    <col min="9468" max="9468" width="1.6640625" style="106" customWidth="1"/>
    <col min="9469" max="9469" width="9.6640625" style="106" customWidth="1"/>
    <col min="9470" max="9470" width="44.33203125" style="106" customWidth="1"/>
    <col min="9471" max="9471" width="12.33203125" style="106" customWidth="1"/>
    <col min="9472" max="9472" width="15.5" style="106" customWidth="1"/>
    <col min="9473" max="9473" width="21" style="106" customWidth="1"/>
    <col min="9474" max="9474" width="21.33203125" style="106" bestFit="1" customWidth="1"/>
    <col min="9475" max="9723" width="11.6640625" style="106"/>
    <col min="9724" max="9724" width="1.6640625" style="106" customWidth="1"/>
    <col min="9725" max="9725" width="9.6640625" style="106" customWidth="1"/>
    <col min="9726" max="9726" width="44.33203125" style="106" customWidth="1"/>
    <col min="9727" max="9727" width="12.33203125" style="106" customWidth="1"/>
    <col min="9728" max="9728" width="15.5" style="106" customWidth="1"/>
    <col min="9729" max="9729" width="21" style="106" customWidth="1"/>
    <col min="9730" max="9730" width="21.33203125" style="106" bestFit="1" customWidth="1"/>
    <col min="9731" max="9979" width="11.6640625" style="106"/>
    <col min="9980" max="9980" width="1.6640625" style="106" customWidth="1"/>
    <col min="9981" max="9981" width="9.6640625" style="106" customWidth="1"/>
    <col min="9982" max="9982" width="44.33203125" style="106" customWidth="1"/>
    <col min="9983" max="9983" width="12.33203125" style="106" customWidth="1"/>
    <col min="9984" max="9984" width="15.5" style="106" customWidth="1"/>
    <col min="9985" max="9985" width="21" style="106" customWidth="1"/>
    <col min="9986" max="9986" width="21.33203125" style="106" bestFit="1" customWidth="1"/>
    <col min="9987" max="10235" width="11.6640625" style="106"/>
    <col min="10236" max="10236" width="1.6640625" style="106" customWidth="1"/>
    <col min="10237" max="10237" width="9.6640625" style="106" customWidth="1"/>
    <col min="10238" max="10238" width="44.33203125" style="106" customWidth="1"/>
    <col min="10239" max="10239" width="12.33203125" style="106" customWidth="1"/>
    <col min="10240" max="10240" width="15.5" style="106" customWidth="1"/>
    <col min="10241" max="10241" width="21" style="106" customWidth="1"/>
    <col min="10242" max="10242" width="21.33203125" style="106" bestFit="1" customWidth="1"/>
    <col min="10243" max="10491" width="11.6640625" style="106"/>
    <col min="10492" max="10492" width="1.6640625" style="106" customWidth="1"/>
    <col min="10493" max="10493" width="9.6640625" style="106" customWidth="1"/>
    <col min="10494" max="10494" width="44.33203125" style="106" customWidth="1"/>
    <col min="10495" max="10495" width="12.33203125" style="106" customWidth="1"/>
    <col min="10496" max="10496" width="15.5" style="106" customWidth="1"/>
    <col min="10497" max="10497" width="21" style="106" customWidth="1"/>
    <col min="10498" max="10498" width="21.33203125" style="106" bestFit="1" customWidth="1"/>
    <col min="10499" max="10747" width="11.6640625" style="106"/>
    <col min="10748" max="10748" width="1.6640625" style="106" customWidth="1"/>
    <col min="10749" max="10749" width="9.6640625" style="106" customWidth="1"/>
    <col min="10750" max="10750" width="44.33203125" style="106" customWidth="1"/>
    <col min="10751" max="10751" width="12.33203125" style="106" customWidth="1"/>
    <col min="10752" max="10752" width="15.5" style="106" customWidth="1"/>
    <col min="10753" max="10753" width="21" style="106" customWidth="1"/>
    <col min="10754" max="10754" width="21.33203125" style="106" bestFit="1" customWidth="1"/>
    <col min="10755" max="11003" width="11.6640625" style="106"/>
    <col min="11004" max="11004" width="1.6640625" style="106" customWidth="1"/>
    <col min="11005" max="11005" width="9.6640625" style="106" customWidth="1"/>
    <col min="11006" max="11006" width="44.33203125" style="106" customWidth="1"/>
    <col min="11007" max="11007" width="12.33203125" style="106" customWidth="1"/>
    <col min="11008" max="11008" width="15.5" style="106" customWidth="1"/>
    <col min="11009" max="11009" width="21" style="106" customWidth="1"/>
    <col min="11010" max="11010" width="21.33203125" style="106" bestFit="1" customWidth="1"/>
    <col min="11011" max="11259" width="11.6640625" style="106"/>
    <col min="11260" max="11260" width="1.6640625" style="106" customWidth="1"/>
    <col min="11261" max="11261" width="9.6640625" style="106" customWidth="1"/>
    <col min="11262" max="11262" width="44.33203125" style="106" customWidth="1"/>
    <col min="11263" max="11263" width="12.33203125" style="106" customWidth="1"/>
    <col min="11264" max="11264" width="15.5" style="106" customWidth="1"/>
    <col min="11265" max="11265" width="21" style="106" customWidth="1"/>
    <col min="11266" max="11266" width="21.33203125" style="106" bestFit="1" customWidth="1"/>
    <col min="11267" max="11515" width="11.6640625" style="106"/>
    <col min="11516" max="11516" width="1.6640625" style="106" customWidth="1"/>
    <col min="11517" max="11517" width="9.6640625" style="106" customWidth="1"/>
    <col min="11518" max="11518" width="44.33203125" style="106" customWidth="1"/>
    <col min="11519" max="11519" width="12.33203125" style="106" customWidth="1"/>
    <col min="11520" max="11520" width="15.5" style="106" customWidth="1"/>
    <col min="11521" max="11521" width="21" style="106" customWidth="1"/>
    <col min="11522" max="11522" width="21.33203125" style="106" bestFit="1" customWidth="1"/>
    <col min="11523" max="11771" width="11.6640625" style="106"/>
    <col min="11772" max="11772" width="1.6640625" style="106" customWidth="1"/>
    <col min="11773" max="11773" width="9.6640625" style="106" customWidth="1"/>
    <col min="11774" max="11774" width="44.33203125" style="106" customWidth="1"/>
    <col min="11775" max="11775" width="12.33203125" style="106" customWidth="1"/>
    <col min="11776" max="11776" width="15.5" style="106" customWidth="1"/>
    <col min="11777" max="11777" width="21" style="106" customWidth="1"/>
    <col min="11778" max="11778" width="21.33203125" style="106" bestFit="1" customWidth="1"/>
    <col min="11779" max="12027" width="11.6640625" style="106"/>
    <col min="12028" max="12028" width="1.6640625" style="106" customWidth="1"/>
    <col min="12029" max="12029" width="9.6640625" style="106" customWidth="1"/>
    <col min="12030" max="12030" width="44.33203125" style="106" customWidth="1"/>
    <col min="12031" max="12031" width="12.33203125" style="106" customWidth="1"/>
    <col min="12032" max="12032" width="15.5" style="106" customWidth="1"/>
    <col min="12033" max="12033" width="21" style="106" customWidth="1"/>
    <col min="12034" max="12034" width="21.33203125" style="106" bestFit="1" customWidth="1"/>
    <col min="12035" max="12283" width="11.6640625" style="106"/>
    <col min="12284" max="12284" width="1.6640625" style="106" customWidth="1"/>
    <col min="12285" max="12285" width="9.6640625" style="106" customWidth="1"/>
    <col min="12286" max="12286" width="44.33203125" style="106" customWidth="1"/>
    <col min="12287" max="12287" width="12.33203125" style="106" customWidth="1"/>
    <col min="12288" max="12288" width="15.5" style="106" customWidth="1"/>
    <col min="12289" max="12289" width="21" style="106" customWidth="1"/>
    <col min="12290" max="12290" width="21.33203125" style="106" bestFit="1" customWidth="1"/>
    <col min="12291" max="12539" width="11.6640625" style="106"/>
    <col min="12540" max="12540" width="1.6640625" style="106" customWidth="1"/>
    <col min="12541" max="12541" width="9.6640625" style="106" customWidth="1"/>
    <col min="12542" max="12542" width="44.33203125" style="106" customWidth="1"/>
    <col min="12543" max="12543" width="12.33203125" style="106" customWidth="1"/>
    <col min="12544" max="12544" width="15.5" style="106" customWidth="1"/>
    <col min="12545" max="12545" width="21" style="106" customWidth="1"/>
    <col min="12546" max="12546" width="21.33203125" style="106" bestFit="1" customWidth="1"/>
    <col min="12547" max="12795" width="11.6640625" style="106"/>
    <col min="12796" max="12796" width="1.6640625" style="106" customWidth="1"/>
    <col min="12797" max="12797" width="9.6640625" style="106" customWidth="1"/>
    <col min="12798" max="12798" width="44.33203125" style="106" customWidth="1"/>
    <col min="12799" max="12799" width="12.33203125" style="106" customWidth="1"/>
    <col min="12800" max="12800" width="15.5" style="106" customWidth="1"/>
    <col min="12801" max="12801" width="21" style="106" customWidth="1"/>
    <col min="12802" max="12802" width="21.33203125" style="106" bestFit="1" customWidth="1"/>
    <col min="12803" max="13051" width="11.6640625" style="106"/>
    <col min="13052" max="13052" width="1.6640625" style="106" customWidth="1"/>
    <col min="13053" max="13053" width="9.6640625" style="106" customWidth="1"/>
    <col min="13054" max="13054" width="44.33203125" style="106" customWidth="1"/>
    <col min="13055" max="13055" width="12.33203125" style="106" customWidth="1"/>
    <col min="13056" max="13056" width="15.5" style="106" customWidth="1"/>
    <col min="13057" max="13057" width="21" style="106" customWidth="1"/>
    <col min="13058" max="13058" width="21.33203125" style="106" bestFit="1" customWidth="1"/>
    <col min="13059" max="13307" width="11.6640625" style="106"/>
    <col min="13308" max="13308" width="1.6640625" style="106" customWidth="1"/>
    <col min="13309" max="13309" width="9.6640625" style="106" customWidth="1"/>
    <col min="13310" max="13310" width="44.33203125" style="106" customWidth="1"/>
    <col min="13311" max="13311" width="12.33203125" style="106" customWidth="1"/>
    <col min="13312" max="13312" width="15.5" style="106" customWidth="1"/>
    <col min="13313" max="13313" width="21" style="106" customWidth="1"/>
    <col min="13314" max="13314" width="21.33203125" style="106" bestFit="1" customWidth="1"/>
    <col min="13315" max="13563" width="11.6640625" style="106"/>
    <col min="13564" max="13564" width="1.6640625" style="106" customWidth="1"/>
    <col min="13565" max="13565" width="9.6640625" style="106" customWidth="1"/>
    <col min="13566" max="13566" width="44.33203125" style="106" customWidth="1"/>
    <col min="13567" max="13567" width="12.33203125" style="106" customWidth="1"/>
    <col min="13568" max="13568" width="15.5" style="106" customWidth="1"/>
    <col min="13569" max="13569" width="21" style="106" customWidth="1"/>
    <col min="13570" max="13570" width="21.33203125" style="106" bestFit="1" customWidth="1"/>
    <col min="13571" max="13819" width="11.6640625" style="106"/>
    <col min="13820" max="13820" width="1.6640625" style="106" customWidth="1"/>
    <col min="13821" max="13821" width="9.6640625" style="106" customWidth="1"/>
    <col min="13822" max="13822" width="44.33203125" style="106" customWidth="1"/>
    <col min="13823" max="13823" width="12.33203125" style="106" customWidth="1"/>
    <col min="13824" max="13824" width="15.5" style="106" customWidth="1"/>
    <col min="13825" max="13825" width="21" style="106" customWidth="1"/>
    <col min="13826" max="13826" width="21.33203125" style="106" bestFit="1" customWidth="1"/>
    <col min="13827" max="14075" width="11.6640625" style="106"/>
    <col min="14076" max="14076" width="1.6640625" style="106" customWidth="1"/>
    <col min="14077" max="14077" width="9.6640625" style="106" customWidth="1"/>
    <col min="14078" max="14078" width="44.33203125" style="106" customWidth="1"/>
    <col min="14079" max="14079" width="12.33203125" style="106" customWidth="1"/>
    <col min="14080" max="14080" width="15.5" style="106" customWidth="1"/>
    <col min="14081" max="14081" width="21" style="106" customWidth="1"/>
    <col min="14082" max="14082" width="21.33203125" style="106" bestFit="1" customWidth="1"/>
    <col min="14083" max="14331" width="11.6640625" style="106"/>
    <col min="14332" max="14332" width="1.6640625" style="106" customWidth="1"/>
    <col min="14333" max="14333" width="9.6640625" style="106" customWidth="1"/>
    <col min="14334" max="14334" width="44.33203125" style="106" customWidth="1"/>
    <col min="14335" max="14335" width="12.33203125" style="106" customWidth="1"/>
    <col min="14336" max="14336" width="15.5" style="106" customWidth="1"/>
    <col min="14337" max="14337" width="21" style="106" customWidth="1"/>
    <col min="14338" max="14338" width="21.33203125" style="106" bestFit="1" customWidth="1"/>
    <col min="14339" max="14587" width="11.6640625" style="106"/>
    <col min="14588" max="14588" width="1.6640625" style="106" customWidth="1"/>
    <col min="14589" max="14589" width="9.6640625" style="106" customWidth="1"/>
    <col min="14590" max="14590" width="44.33203125" style="106" customWidth="1"/>
    <col min="14591" max="14591" width="12.33203125" style="106" customWidth="1"/>
    <col min="14592" max="14592" width="15.5" style="106" customWidth="1"/>
    <col min="14593" max="14593" width="21" style="106" customWidth="1"/>
    <col min="14594" max="14594" width="21.33203125" style="106" bestFit="1" customWidth="1"/>
    <col min="14595" max="14843" width="11.6640625" style="106"/>
    <col min="14844" max="14844" width="1.6640625" style="106" customWidth="1"/>
    <col min="14845" max="14845" width="9.6640625" style="106" customWidth="1"/>
    <col min="14846" max="14846" width="44.33203125" style="106" customWidth="1"/>
    <col min="14847" max="14847" width="12.33203125" style="106" customWidth="1"/>
    <col min="14848" max="14848" width="15.5" style="106" customWidth="1"/>
    <col min="14849" max="14849" width="21" style="106" customWidth="1"/>
    <col min="14850" max="14850" width="21.33203125" style="106" bestFit="1" customWidth="1"/>
    <col min="14851" max="15099" width="11.6640625" style="106"/>
    <col min="15100" max="15100" width="1.6640625" style="106" customWidth="1"/>
    <col min="15101" max="15101" width="9.6640625" style="106" customWidth="1"/>
    <col min="15102" max="15102" width="44.33203125" style="106" customWidth="1"/>
    <col min="15103" max="15103" width="12.33203125" style="106" customWidth="1"/>
    <col min="15104" max="15104" width="15.5" style="106" customWidth="1"/>
    <col min="15105" max="15105" width="21" style="106" customWidth="1"/>
    <col min="15106" max="15106" width="21.33203125" style="106" bestFit="1" customWidth="1"/>
    <col min="15107" max="15355" width="11.6640625" style="106"/>
    <col min="15356" max="15356" width="1.6640625" style="106" customWidth="1"/>
    <col min="15357" max="15357" width="9.6640625" style="106" customWidth="1"/>
    <col min="15358" max="15358" width="44.33203125" style="106" customWidth="1"/>
    <col min="15359" max="15359" width="12.33203125" style="106" customWidth="1"/>
    <col min="15360" max="15360" width="15.5" style="106" customWidth="1"/>
    <col min="15361" max="15361" width="21" style="106" customWidth="1"/>
    <col min="15362" max="15362" width="21.33203125" style="106" bestFit="1" customWidth="1"/>
    <col min="15363" max="15611" width="11.6640625" style="106"/>
    <col min="15612" max="15612" width="1.6640625" style="106" customWidth="1"/>
    <col min="15613" max="15613" width="9.6640625" style="106" customWidth="1"/>
    <col min="15614" max="15614" width="44.33203125" style="106" customWidth="1"/>
    <col min="15615" max="15615" width="12.33203125" style="106" customWidth="1"/>
    <col min="15616" max="15616" width="15.5" style="106" customWidth="1"/>
    <col min="15617" max="15617" width="21" style="106" customWidth="1"/>
    <col min="15618" max="15618" width="21.33203125" style="106" bestFit="1" customWidth="1"/>
    <col min="15619" max="15867" width="11.6640625" style="106"/>
    <col min="15868" max="15868" width="1.6640625" style="106" customWidth="1"/>
    <col min="15869" max="15869" width="9.6640625" style="106" customWidth="1"/>
    <col min="15870" max="15870" width="44.33203125" style="106" customWidth="1"/>
    <col min="15871" max="15871" width="12.33203125" style="106" customWidth="1"/>
    <col min="15872" max="15872" width="15.5" style="106" customWidth="1"/>
    <col min="15873" max="15873" width="21" style="106" customWidth="1"/>
    <col min="15874" max="15874" width="21.33203125" style="106" bestFit="1" customWidth="1"/>
    <col min="15875" max="16123" width="11.6640625" style="106"/>
    <col min="16124" max="16124" width="1.6640625" style="106" customWidth="1"/>
    <col min="16125" max="16125" width="9.6640625" style="106" customWidth="1"/>
    <col min="16126" max="16126" width="44.33203125" style="106" customWidth="1"/>
    <col min="16127" max="16127" width="12.33203125" style="106" customWidth="1"/>
    <col min="16128" max="16128" width="15.5" style="106" customWidth="1"/>
    <col min="16129" max="16129" width="21" style="106" customWidth="1"/>
    <col min="16130" max="16130" width="21.33203125" style="106" bestFit="1" customWidth="1"/>
    <col min="16131" max="16384" width="11.6640625" style="106"/>
  </cols>
  <sheetData>
    <row r="1" spans="1:6" ht="30" customHeight="1">
      <c r="A1" s="519" t="s">
        <v>1592</v>
      </c>
      <c r="B1" s="519"/>
      <c r="C1" s="519"/>
      <c r="D1" s="519"/>
      <c r="E1" s="519"/>
      <c r="F1" s="519"/>
    </row>
    <row r="2" spans="1:6" s="451" customFormat="1" ht="36.75" customHeight="1">
      <c r="A2" s="519"/>
      <c r="B2" s="519"/>
      <c r="C2" s="519"/>
      <c r="D2" s="519"/>
      <c r="E2" s="519"/>
      <c r="F2" s="519"/>
    </row>
    <row r="3" spans="1:6" s="451" customFormat="1" ht="25.5" customHeight="1">
      <c r="A3" s="520" t="s">
        <v>1534</v>
      </c>
      <c r="B3" s="520"/>
      <c r="C3" s="520"/>
      <c r="D3" s="520"/>
      <c r="E3" s="520"/>
      <c r="F3" s="520"/>
    </row>
    <row r="4" spans="1:6" ht="25.5" customHeight="1">
      <c r="A4" s="520" t="s">
        <v>1535</v>
      </c>
      <c r="B4" s="520"/>
      <c r="C4" s="520"/>
      <c r="D4" s="520"/>
      <c r="E4" s="520"/>
      <c r="F4" s="520"/>
    </row>
    <row r="5" spans="1:6" s="451" customFormat="1" ht="25.5" customHeight="1">
      <c r="A5" s="653" t="s">
        <v>1503</v>
      </c>
      <c r="B5" s="653" t="s">
        <v>7</v>
      </c>
      <c r="C5" s="653" t="s">
        <v>5</v>
      </c>
      <c r="D5" s="654" t="s">
        <v>6</v>
      </c>
      <c r="E5" s="655" t="s">
        <v>3</v>
      </c>
      <c r="F5" s="657" t="s">
        <v>465</v>
      </c>
    </row>
    <row r="6" spans="1:6" s="451" customFormat="1" ht="25.5" customHeight="1">
      <c r="A6" s="527"/>
      <c r="B6" s="527"/>
      <c r="C6" s="527"/>
      <c r="D6" s="525"/>
      <c r="E6" s="656"/>
      <c r="F6" s="586"/>
    </row>
    <row r="7" spans="1:6" s="107" customFormat="1" ht="43.5" customHeight="1">
      <c r="A7" s="652" t="s">
        <v>1537</v>
      </c>
      <c r="B7" s="652"/>
      <c r="C7" s="455"/>
      <c r="D7" s="456"/>
      <c r="E7" s="816"/>
      <c r="F7" s="817"/>
    </row>
    <row r="8" spans="1:6" s="107" customFormat="1" ht="24" customHeight="1">
      <c r="A8" s="457">
        <v>1</v>
      </c>
      <c r="B8" s="458" t="s">
        <v>1536</v>
      </c>
      <c r="C8" s="457"/>
      <c r="D8" s="456"/>
      <c r="E8" s="816"/>
      <c r="F8" s="817"/>
    </row>
    <row r="9" spans="1:6" s="107" customFormat="1" ht="37.5" customHeight="1">
      <c r="A9" s="459">
        <v>1.1000000000000001</v>
      </c>
      <c r="B9" s="460" t="s">
        <v>1585</v>
      </c>
      <c r="C9" s="459" t="s">
        <v>5</v>
      </c>
      <c r="D9" s="463">
        <v>16</v>
      </c>
      <c r="E9" s="818"/>
      <c r="F9" s="819"/>
    </row>
    <row r="10" spans="1:6" s="107" customFormat="1" ht="30.75" customHeight="1">
      <c r="A10" s="459">
        <v>1.2</v>
      </c>
      <c r="B10" s="460" t="s">
        <v>1586</v>
      </c>
      <c r="C10" s="459" t="s">
        <v>5</v>
      </c>
      <c r="D10" s="463">
        <v>2</v>
      </c>
      <c r="E10" s="818"/>
      <c r="F10" s="819"/>
    </row>
    <row r="11" spans="1:6" s="107" customFormat="1" ht="32.25" customHeight="1">
      <c r="A11" s="459">
        <v>1.3</v>
      </c>
      <c r="B11" s="460" t="s">
        <v>1587</v>
      </c>
      <c r="C11" s="459" t="s">
        <v>5</v>
      </c>
      <c r="D11" s="463">
        <v>3</v>
      </c>
      <c r="E11" s="818"/>
      <c r="F11" s="819"/>
    </row>
    <row r="12" spans="1:6" s="107" customFormat="1" ht="33" customHeight="1">
      <c r="A12" s="459">
        <v>1.4</v>
      </c>
      <c r="B12" s="460" t="s">
        <v>1588</v>
      </c>
      <c r="C12" s="459" t="s">
        <v>5</v>
      </c>
      <c r="D12" s="463">
        <v>1</v>
      </c>
      <c r="E12" s="818"/>
      <c r="F12" s="819"/>
    </row>
    <row r="13" spans="1:6" s="107" customFormat="1" ht="23.25" customHeight="1">
      <c r="A13" s="457">
        <v>2</v>
      </c>
      <c r="B13" s="458" t="s">
        <v>1538</v>
      </c>
      <c r="C13" s="457"/>
      <c r="D13" s="456"/>
      <c r="E13" s="816"/>
      <c r="F13" s="819"/>
    </row>
    <row r="14" spans="1:6" s="107" customFormat="1" ht="24.95" customHeight="1">
      <c r="A14" s="459">
        <v>2.1</v>
      </c>
      <c r="B14" s="462" t="s">
        <v>383</v>
      </c>
      <c r="C14" s="459" t="s">
        <v>5</v>
      </c>
      <c r="D14" s="463">
        <v>2</v>
      </c>
      <c r="E14" s="819"/>
      <c r="F14" s="819"/>
    </row>
    <row r="15" spans="1:6" s="107" customFormat="1" ht="24.95" customHeight="1">
      <c r="A15" s="459">
        <v>2.2000000000000002</v>
      </c>
      <c r="B15" s="462" t="s">
        <v>384</v>
      </c>
      <c r="C15" s="459" t="s">
        <v>5</v>
      </c>
      <c r="D15" s="463">
        <v>2</v>
      </c>
      <c r="E15" s="819"/>
      <c r="F15" s="819"/>
    </row>
    <row r="16" spans="1:6" s="107" customFormat="1" ht="24.95" customHeight="1">
      <c r="A16" s="459">
        <v>2.2999999999999998</v>
      </c>
      <c r="B16" s="462" t="s">
        <v>385</v>
      </c>
      <c r="C16" s="459" t="s">
        <v>0</v>
      </c>
      <c r="D16" s="463">
        <v>180</v>
      </c>
      <c r="E16" s="819"/>
      <c r="F16" s="819"/>
    </row>
    <row r="17" spans="1:6" s="107" customFormat="1" ht="24.95" customHeight="1">
      <c r="A17" s="459">
        <v>2.4</v>
      </c>
      <c r="B17" s="462" t="s">
        <v>386</v>
      </c>
      <c r="C17" s="459" t="s">
        <v>0</v>
      </c>
      <c r="D17" s="463">
        <v>8</v>
      </c>
      <c r="E17" s="819"/>
      <c r="F17" s="819"/>
    </row>
    <row r="18" spans="1:6" s="107" customFormat="1" ht="24.95" customHeight="1">
      <c r="A18" s="459">
        <v>2.5</v>
      </c>
      <c r="B18" s="462" t="s">
        <v>387</v>
      </c>
      <c r="C18" s="459" t="s">
        <v>0</v>
      </c>
      <c r="D18" s="463">
        <v>3</v>
      </c>
      <c r="E18" s="819"/>
      <c r="F18" s="819"/>
    </row>
    <row r="19" spans="1:6" s="107" customFormat="1" ht="24.95" customHeight="1">
      <c r="A19" s="459">
        <v>2.6</v>
      </c>
      <c r="B19" s="462" t="s">
        <v>388</v>
      </c>
      <c r="C19" s="459" t="s">
        <v>0</v>
      </c>
      <c r="D19" s="463">
        <v>10</v>
      </c>
      <c r="E19" s="819"/>
      <c r="F19" s="819"/>
    </row>
    <row r="20" spans="1:6" s="107" customFormat="1" ht="24.95" customHeight="1">
      <c r="A20" s="459">
        <v>2.7</v>
      </c>
      <c r="B20" s="462" t="s">
        <v>389</v>
      </c>
      <c r="C20" s="459" t="s">
        <v>0</v>
      </c>
      <c r="D20" s="463">
        <v>180</v>
      </c>
      <c r="E20" s="819"/>
      <c r="F20" s="819"/>
    </row>
    <row r="21" spans="1:6" s="107" customFormat="1" ht="24.95" customHeight="1">
      <c r="A21" s="459">
        <v>2.8</v>
      </c>
      <c r="B21" s="462" t="s">
        <v>390</v>
      </c>
      <c r="C21" s="459" t="s">
        <v>0</v>
      </c>
      <c r="D21" s="463">
        <v>450</v>
      </c>
      <c r="E21" s="819"/>
      <c r="F21" s="819"/>
    </row>
    <row r="22" spans="1:6" s="107" customFormat="1" ht="24.95" customHeight="1">
      <c r="A22" s="459">
        <v>2.9</v>
      </c>
      <c r="B22" s="462" t="s">
        <v>391</v>
      </c>
      <c r="C22" s="459" t="s">
        <v>0</v>
      </c>
      <c r="D22" s="463">
        <v>450</v>
      </c>
      <c r="E22" s="819"/>
      <c r="F22" s="819"/>
    </row>
    <row r="23" spans="1:6" s="107" customFormat="1" ht="24.95" customHeight="1">
      <c r="A23" s="465">
        <v>2.1</v>
      </c>
      <c r="B23" s="462" t="s">
        <v>392</v>
      </c>
      <c r="C23" s="459" t="s">
        <v>0</v>
      </c>
      <c r="D23" s="463">
        <v>40</v>
      </c>
      <c r="E23" s="819"/>
      <c r="F23" s="819"/>
    </row>
    <row r="24" spans="1:6" s="107" customFormat="1" ht="24" customHeight="1">
      <c r="A24" s="457">
        <v>3</v>
      </c>
      <c r="B24" s="458" t="s">
        <v>1539</v>
      </c>
      <c r="C24" s="457"/>
      <c r="D24" s="456"/>
      <c r="E24" s="816"/>
      <c r="F24" s="820"/>
    </row>
    <row r="25" spans="1:6" s="107" customFormat="1" ht="34.5" customHeight="1">
      <c r="A25" s="459">
        <v>3.1</v>
      </c>
      <c r="B25" s="460" t="s">
        <v>393</v>
      </c>
      <c r="C25" s="459" t="s">
        <v>0</v>
      </c>
      <c r="D25" s="463">
        <v>25</v>
      </c>
      <c r="E25" s="819"/>
      <c r="F25" s="819"/>
    </row>
    <row r="26" spans="1:6" s="107" customFormat="1" ht="31.5" customHeight="1">
      <c r="A26" s="459">
        <v>3.2</v>
      </c>
      <c r="B26" s="460" t="s">
        <v>394</v>
      </c>
      <c r="C26" s="459" t="s">
        <v>0</v>
      </c>
      <c r="D26" s="463">
        <v>60</v>
      </c>
      <c r="E26" s="819"/>
      <c r="F26" s="819"/>
    </row>
    <row r="27" spans="1:6" s="107" customFormat="1" ht="34.5" customHeight="1">
      <c r="A27" s="459">
        <v>3.3</v>
      </c>
      <c r="B27" s="460" t="s">
        <v>395</v>
      </c>
      <c r="C27" s="459" t="s">
        <v>0</v>
      </c>
      <c r="D27" s="463">
        <v>10</v>
      </c>
      <c r="E27" s="819"/>
      <c r="F27" s="819"/>
    </row>
    <row r="28" spans="1:6" s="107" customFormat="1" ht="36.75" customHeight="1">
      <c r="A28" s="459">
        <v>3.4</v>
      </c>
      <c r="B28" s="460" t="s">
        <v>396</v>
      </c>
      <c r="C28" s="459" t="s">
        <v>0</v>
      </c>
      <c r="D28" s="463">
        <v>10</v>
      </c>
      <c r="E28" s="819"/>
      <c r="F28" s="819"/>
    </row>
    <row r="29" spans="1:6" s="107" customFormat="1" ht="27" customHeight="1">
      <c r="A29" s="459">
        <v>3.5</v>
      </c>
      <c r="B29" s="460" t="s">
        <v>397</v>
      </c>
      <c r="C29" s="459" t="s">
        <v>0</v>
      </c>
      <c r="D29" s="463">
        <v>10</v>
      </c>
      <c r="E29" s="819"/>
      <c r="F29" s="819"/>
    </row>
    <row r="30" spans="1:6" s="107" customFormat="1" ht="29.25" customHeight="1">
      <c r="A30" s="459">
        <v>3.6</v>
      </c>
      <c r="B30" s="460" t="s">
        <v>398</v>
      </c>
      <c r="C30" s="459" t="s">
        <v>0</v>
      </c>
      <c r="D30" s="463">
        <v>91.1</v>
      </c>
      <c r="E30" s="819"/>
      <c r="F30" s="819"/>
    </row>
    <row r="31" spans="1:6" s="107" customFormat="1" ht="23.25" customHeight="1">
      <c r="A31" s="459">
        <v>3.7</v>
      </c>
      <c r="B31" s="462" t="s">
        <v>399</v>
      </c>
      <c r="C31" s="459" t="s">
        <v>0</v>
      </c>
      <c r="D31" s="463">
        <v>97.1</v>
      </c>
      <c r="E31" s="819"/>
      <c r="F31" s="819"/>
    </row>
    <row r="32" spans="1:6" s="107" customFormat="1" ht="24" customHeight="1">
      <c r="A32" s="459">
        <v>3.8</v>
      </c>
      <c r="B32" s="462" t="s">
        <v>400</v>
      </c>
      <c r="C32" s="459" t="s">
        <v>0</v>
      </c>
      <c r="D32" s="463">
        <v>73.8</v>
      </c>
      <c r="E32" s="819"/>
      <c r="F32" s="819"/>
    </row>
    <row r="33" spans="1:6" s="107" customFormat="1" ht="23.25" customHeight="1">
      <c r="A33" s="459">
        <v>3.9</v>
      </c>
      <c r="B33" s="462" t="s">
        <v>401</v>
      </c>
      <c r="C33" s="459" t="s">
        <v>0</v>
      </c>
      <c r="D33" s="463">
        <v>78</v>
      </c>
      <c r="E33" s="819"/>
      <c r="F33" s="819"/>
    </row>
    <row r="34" spans="1:6" s="107" customFormat="1" ht="24.95" customHeight="1">
      <c r="A34" s="465">
        <v>3.1</v>
      </c>
      <c r="B34" s="462" t="s">
        <v>402</v>
      </c>
      <c r="C34" s="459" t="s">
        <v>0</v>
      </c>
      <c r="D34" s="463">
        <v>25</v>
      </c>
      <c r="E34" s="819"/>
      <c r="F34" s="819"/>
    </row>
    <row r="35" spans="1:6" s="107" customFormat="1" ht="24.95" customHeight="1">
      <c r="A35" s="459">
        <v>3.11</v>
      </c>
      <c r="B35" s="462" t="s">
        <v>403</v>
      </c>
      <c r="C35" s="459" t="s">
        <v>0</v>
      </c>
      <c r="D35" s="476">
        <v>25</v>
      </c>
      <c r="E35" s="819"/>
      <c r="F35" s="819"/>
    </row>
    <row r="36" spans="1:6" s="107" customFormat="1" ht="24.95" customHeight="1">
      <c r="A36" s="465">
        <v>3.12</v>
      </c>
      <c r="B36" s="462" t="s">
        <v>404</v>
      </c>
      <c r="C36" s="459" t="s">
        <v>0</v>
      </c>
      <c r="D36" s="476">
        <v>25</v>
      </c>
      <c r="E36" s="819"/>
      <c r="F36" s="819"/>
    </row>
    <row r="37" spans="1:6" s="107" customFormat="1" ht="24.95" customHeight="1">
      <c r="A37" s="459">
        <v>3.13</v>
      </c>
      <c r="B37" s="462" t="s">
        <v>405</v>
      </c>
      <c r="C37" s="459" t="s">
        <v>0</v>
      </c>
      <c r="D37" s="476">
        <v>25</v>
      </c>
      <c r="E37" s="819"/>
      <c r="F37" s="819"/>
    </row>
    <row r="38" spans="1:6" s="107" customFormat="1" ht="32.25" customHeight="1">
      <c r="A38" s="465">
        <v>3.14</v>
      </c>
      <c r="B38" s="462" t="s">
        <v>406</v>
      </c>
      <c r="C38" s="459" t="s">
        <v>0</v>
      </c>
      <c r="D38" s="476">
        <v>175</v>
      </c>
      <c r="E38" s="819"/>
      <c r="F38" s="819"/>
    </row>
    <row r="39" spans="1:6" s="107" customFormat="1" ht="30.75" customHeight="1">
      <c r="A39" s="459">
        <v>3.15</v>
      </c>
      <c r="B39" s="462" t="s">
        <v>407</v>
      </c>
      <c r="C39" s="459" t="s">
        <v>0</v>
      </c>
      <c r="D39" s="476">
        <v>172</v>
      </c>
      <c r="E39" s="819"/>
      <c r="F39" s="819"/>
    </row>
    <row r="40" spans="1:6" s="107" customFormat="1" ht="30.75" customHeight="1">
      <c r="A40" s="465">
        <v>3.16</v>
      </c>
      <c r="B40" s="462" t="s">
        <v>408</v>
      </c>
      <c r="C40" s="459" t="s">
        <v>0</v>
      </c>
      <c r="D40" s="476">
        <v>150</v>
      </c>
      <c r="E40" s="819"/>
      <c r="F40" s="819"/>
    </row>
    <row r="41" spans="1:6" s="107" customFormat="1" ht="30" customHeight="1">
      <c r="A41" s="459">
        <v>3.17</v>
      </c>
      <c r="B41" s="462" t="s">
        <v>409</v>
      </c>
      <c r="C41" s="459" t="s">
        <v>0</v>
      </c>
      <c r="D41" s="476">
        <v>8</v>
      </c>
      <c r="E41" s="819"/>
      <c r="F41" s="819"/>
    </row>
    <row r="42" spans="1:6" s="107" customFormat="1" ht="24.95" customHeight="1">
      <c r="A42" s="465">
        <v>3.18</v>
      </c>
      <c r="B42" s="462" t="s">
        <v>410</v>
      </c>
      <c r="C42" s="459" t="s">
        <v>0</v>
      </c>
      <c r="D42" s="476">
        <v>15</v>
      </c>
      <c r="E42" s="819"/>
      <c r="F42" s="819"/>
    </row>
    <row r="43" spans="1:6" s="107" customFormat="1" ht="24.95" customHeight="1">
      <c r="A43" s="459">
        <v>3.19</v>
      </c>
      <c r="B43" s="462" t="s">
        <v>411</v>
      </c>
      <c r="C43" s="459" t="s">
        <v>0</v>
      </c>
      <c r="D43" s="476">
        <v>15</v>
      </c>
      <c r="E43" s="819"/>
      <c r="F43" s="819"/>
    </row>
    <row r="44" spans="1:6" s="107" customFormat="1" ht="24.95" customHeight="1">
      <c r="A44" s="465">
        <v>3.2</v>
      </c>
      <c r="B44" s="462" t="s">
        <v>412</v>
      </c>
      <c r="C44" s="459" t="s">
        <v>0</v>
      </c>
      <c r="D44" s="476">
        <v>6</v>
      </c>
      <c r="E44" s="819"/>
      <c r="F44" s="819"/>
    </row>
    <row r="45" spans="1:6" s="107" customFormat="1" ht="24.95" customHeight="1">
      <c r="A45" s="459">
        <v>3.21</v>
      </c>
      <c r="B45" s="462" t="s">
        <v>413</v>
      </c>
      <c r="C45" s="459" t="s">
        <v>0</v>
      </c>
      <c r="D45" s="476">
        <v>6</v>
      </c>
      <c r="E45" s="819"/>
      <c r="F45" s="819"/>
    </row>
    <row r="46" spans="1:6" s="107" customFormat="1" ht="24.95" customHeight="1">
      <c r="A46" s="465">
        <v>3.22</v>
      </c>
      <c r="B46" s="462" t="s">
        <v>414</v>
      </c>
      <c r="C46" s="459" t="s">
        <v>0</v>
      </c>
      <c r="D46" s="476">
        <v>8</v>
      </c>
      <c r="E46" s="819"/>
      <c r="F46" s="819"/>
    </row>
    <row r="47" spans="1:6" s="107" customFormat="1" ht="26.25" customHeight="1">
      <c r="A47" s="459">
        <v>3.23</v>
      </c>
      <c r="B47" s="462" t="s">
        <v>415</v>
      </c>
      <c r="C47" s="459" t="s">
        <v>0</v>
      </c>
      <c r="D47" s="476">
        <v>10</v>
      </c>
      <c r="E47" s="819"/>
      <c r="F47" s="819"/>
    </row>
    <row r="48" spans="1:6" s="107" customFormat="1" ht="21" customHeight="1">
      <c r="A48" s="459">
        <v>3.31</v>
      </c>
      <c r="B48" s="462" t="s">
        <v>416</v>
      </c>
      <c r="C48" s="459" t="s">
        <v>0</v>
      </c>
      <c r="D48" s="476">
        <v>3</v>
      </c>
      <c r="E48" s="819"/>
      <c r="F48" s="819"/>
    </row>
    <row r="49" spans="1:6" s="107" customFormat="1" ht="30.75" customHeight="1">
      <c r="A49" s="465">
        <v>3.3199999999999901</v>
      </c>
      <c r="B49" s="462" t="s">
        <v>417</v>
      </c>
      <c r="C49" s="459" t="s">
        <v>0</v>
      </c>
      <c r="D49" s="476">
        <v>15</v>
      </c>
      <c r="E49" s="819"/>
      <c r="F49" s="819"/>
    </row>
    <row r="50" spans="1:6" s="107" customFormat="1" ht="30.75" customHeight="1">
      <c r="A50" s="459">
        <v>3.33</v>
      </c>
      <c r="B50" s="462" t="s">
        <v>418</v>
      </c>
      <c r="C50" s="459" t="s">
        <v>0</v>
      </c>
      <c r="D50" s="476">
        <v>15</v>
      </c>
      <c r="E50" s="819"/>
      <c r="F50" s="819"/>
    </row>
    <row r="51" spans="1:6" s="107" customFormat="1" ht="30" customHeight="1">
      <c r="A51" s="465">
        <v>3.3399999999999901</v>
      </c>
      <c r="B51" s="462" t="s">
        <v>419</v>
      </c>
      <c r="C51" s="459" t="s">
        <v>0</v>
      </c>
      <c r="D51" s="476">
        <v>15</v>
      </c>
      <c r="E51" s="819"/>
      <c r="F51" s="819"/>
    </row>
    <row r="52" spans="1:6" s="107" customFormat="1" ht="33.75" customHeight="1">
      <c r="A52" s="459">
        <v>3.35</v>
      </c>
      <c r="B52" s="462" t="s">
        <v>420</v>
      </c>
      <c r="C52" s="459" t="s">
        <v>0</v>
      </c>
      <c r="D52" s="476">
        <v>15</v>
      </c>
      <c r="E52" s="819"/>
      <c r="F52" s="819"/>
    </row>
    <row r="53" spans="1:6" s="107" customFormat="1" ht="38.25" customHeight="1">
      <c r="A53" s="465">
        <v>3.3599999999999901</v>
      </c>
      <c r="B53" s="462" t="s">
        <v>421</v>
      </c>
      <c r="C53" s="459" t="s">
        <v>0</v>
      </c>
      <c r="D53" s="476">
        <v>68</v>
      </c>
      <c r="E53" s="819"/>
      <c r="F53" s="819"/>
    </row>
    <row r="54" spans="1:6" s="107" customFormat="1" ht="23.25" customHeight="1">
      <c r="A54" s="457">
        <v>4</v>
      </c>
      <c r="B54" s="458" t="s">
        <v>422</v>
      </c>
      <c r="C54" s="457"/>
      <c r="D54" s="456"/>
      <c r="E54" s="816"/>
      <c r="F54" s="819"/>
    </row>
    <row r="55" spans="1:6" s="107" customFormat="1" ht="20.100000000000001" customHeight="1">
      <c r="A55" s="457">
        <v>4.0999999999999996</v>
      </c>
      <c r="B55" s="458" t="s">
        <v>423</v>
      </c>
      <c r="C55" s="457"/>
      <c r="D55" s="456"/>
      <c r="E55" s="816"/>
      <c r="F55" s="819"/>
    </row>
    <row r="56" spans="1:6" s="107" customFormat="1" ht="33.75" customHeight="1">
      <c r="A56" s="459" t="s">
        <v>643</v>
      </c>
      <c r="B56" s="460" t="s">
        <v>424</v>
      </c>
      <c r="C56" s="459" t="s">
        <v>5</v>
      </c>
      <c r="D56" s="476">
        <v>1</v>
      </c>
      <c r="E56" s="818"/>
      <c r="F56" s="819"/>
    </row>
    <row r="57" spans="1:6" s="107" customFormat="1" ht="31.5" customHeight="1">
      <c r="A57" s="459" t="s">
        <v>644</v>
      </c>
      <c r="B57" s="460" t="s">
        <v>425</v>
      </c>
      <c r="C57" s="459" t="s">
        <v>5</v>
      </c>
      <c r="D57" s="476">
        <v>1</v>
      </c>
      <c r="E57" s="818"/>
      <c r="F57" s="819"/>
    </row>
    <row r="58" spans="1:6" s="107" customFormat="1" ht="49.5" customHeight="1">
      <c r="A58" s="459" t="s">
        <v>1086</v>
      </c>
      <c r="B58" s="460" t="s">
        <v>426</v>
      </c>
      <c r="C58" s="459" t="s">
        <v>5</v>
      </c>
      <c r="D58" s="476">
        <v>1</v>
      </c>
      <c r="E58" s="818"/>
      <c r="F58" s="819"/>
    </row>
    <row r="59" spans="1:6" s="107" customFormat="1" ht="114.75" customHeight="1">
      <c r="A59" s="459" t="s">
        <v>1087</v>
      </c>
      <c r="B59" s="460" t="s">
        <v>427</v>
      </c>
      <c r="C59" s="459" t="s">
        <v>5</v>
      </c>
      <c r="D59" s="476">
        <v>1</v>
      </c>
      <c r="E59" s="818"/>
      <c r="F59" s="819"/>
    </row>
    <row r="60" spans="1:6" s="107" customFormat="1" ht="27" customHeight="1">
      <c r="A60" s="459" t="s">
        <v>1088</v>
      </c>
      <c r="B60" s="462" t="s">
        <v>428</v>
      </c>
      <c r="C60" s="459" t="s">
        <v>5</v>
      </c>
      <c r="D60" s="476">
        <v>1</v>
      </c>
      <c r="E60" s="818"/>
      <c r="F60" s="819"/>
    </row>
    <row r="61" spans="1:6" s="107" customFormat="1" ht="27" customHeight="1">
      <c r="A61" s="459" t="s">
        <v>1089</v>
      </c>
      <c r="B61" s="462" t="s">
        <v>429</v>
      </c>
      <c r="C61" s="459" t="s">
        <v>5</v>
      </c>
      <c r="D61" s="476">
        <v>1</v>
      </c>
      <c r="E61" s="818"/>
      <c r="F61" s="819"/>
    </row>
    <row r="62" spans="1:6" s="107" customFormat="1" ht="49.5" customHeight="1">
      <c r="A62" s="459" t="s">
        <v>1090</v>
      </c>
      <c r="B62" s="460" t="s">
        <v>1545</v>
      </c>
      <c r="C62" s="459" t="s">
        <v>5</v>
      </c>
      <c r="D62" s="476">
        <v>1</v>
      </c>
      <c r="E62" s="818"/>
      <c r="F62" s="819"/>
    </row>
    <row r="63" spans="1:6" s="107" customFormat="1" ht="20.100000000000001" customHeight="1">
      <c r="A63" s="457">
        <v>4.2</v>
      </c>
      <c r="B63" s="461" t="s">
        <v>430</v>
      </c>
      <c r="C63" s="457"/>
      <c r="D63" s="467"/>
      <c r="E63" s="818"/>
      <c r="F63" s="819"/>
    </row>
    <row r="64" spans="1:6" s="107" customFormat="1" ht="33.75" customHeight="1">
      <c r="A64" s="459" t="s">
        <v>645</v>
      </c>
      <c r="B64" s="460" t="s">
        <v>431</v>
      </c>
      <c r="C64" s="459" t="s">
        <v>5</v>
      </c>
      <c r="D64" s="463">
        <v>1</v>
      </c>
      <c r="E64" s="818"/>
      <c r="F64" s="819"/>
    </row>
    <row r="65" spans="1:6" s="107" customFormat="1" ht="20.100000000000001" customHeight="1">
      <c r="A65" s="459" t="s">
        <v>646</v>
      </c>
      <c r="B65" s="462" t="s">
        <v>432</v>
      </c>
      <c r="C65" s="459" t="s">
        <v>5</v>
      </c>
      <c r="D65" s="463">
        <v>2</v>
      </c>
      <c r="E65" s="818"/>
      <c r="F65" s="819"/>
    </row>
    <row r="66" spans="1:6" s="107" customFormat="1" ht="20.100000000000001" customHeight="1">
      <c r="A66" s="459" t="s">
        <v>647</v>
      </c>
      <c r="B66" s="462" t="s">
        <v>433</v>
      </c>
      <c r="C66" s="459" t="s">
        <v>5</v>
      </c>
      <c r="D66" s="463">
        <v>1</v>
      </c>
      <c r="E66" s="818"/>
      <c r="F66" s="819"/>
    </row>
    <row r="67" spans="1:6" s="107" customFormat="1" ht="39" customHeight="1">
      <c r="A67" s="459" t="s">
        <v>648</v>
      </c>
      <c r="B67" s="460" t="s">
        <v>434</v>
      </c>
      <c r="C67" s="459" t="s">
        <v>5</v>
      </c>
      <c r="D67" s="463">
        <v>4</v>
      </c>
      <c r="E67" s="818"/>
      <c r="F67" s="819"/>
    </row>
    <row r="68" spans="1:6" s="107" customFormat="1" ht="36" customHeight="1">
      <c r="A68" s="459" t="s">
        <v>649</v>
      </c>
      <c r="B68" s="460" t="s">
        <v>435</v>
      </c>
      <c r="C68" s="459" t="s">
        <v>5</v>
      </c>
      <c r="D68" s="463">
        <v>1</v>
      </c>
      <c r="E68" s="818"/>
      <c r="F68" s="819"/>
    </row>
    <row r="69" spans="1:6" s="107" customFormat="1" ht="30.75" customHeight="1">
      <c r="A69" s="459" t="s">
        <v>650</v>
      </c>
      <c r="B69" s="460" t="s">
        <v>436</v>
      </c>
      <c r="C69" s="459" t="s">
        <v>5</v>
      </c>
      <c r="D69" s="463">
        <v>2</v>
      </c>
      <c r="E69" s="818"/>
      <c r="F69" s="819"/>
    </row>
    <row r="70" spans="1:6" s="107" customFormat="1" ht="23.25" customHeight="1">
      <c r="A70" s="459" t="s">
        <v>651</v>
      </c>
      <c r="B70" s="460" t="s">
        <v>437</v>
      </c>
      <c r="C70" s="459" t="s">
        <v>5</v>
      </c>
      <c r="D70" s="463">
        <v>2</v>
      </c>
      <c r="E70" s="818"/>
      <c r="F70" s="819"/>
    </row>
    <row r="71" spans="1:6" s="107" customFormat="1" ht="30.75" customHeight="1">
      <c r="A71" s="459" t="s">
        <v>1540</v>
      </c>
      <c r="B71" s="462" t="s">
        <v>1546</v>
      </c>
      <c r="C71" s="459" t="s">
        <v>5</v>
      </c>
      <c r="D71" s="476">
        <v>1</v>
      </c>
      <c r="E71" s="818"/>
      <c r="F71" s="819"/>
    </row>
    <row r="72" spans="1:6" s="107" customFormat="1" ht="20.100000000000001" customHeight="1">
      <c r="A72" s="457">
        <v>4.3</v>
      </c>
      <c r="B72" s="458" t="s">
        <v>438</v>
      </c>
      <c r="C72" s="457"/>
      <c r="D72" s="467"/>
      <c r="E72" s="818"/>
      <c r="F72" s="819"/>
    </row>
    <row r="73" spans="1:6" s="107" customFormat="1" ht="30" customHeight="1">
      <c r="A73" s="459" t="s">
        <v>652</v>
      </c>
      <c r="B73" s="460" t="s">
        <v>431</v>
      </c>
      <c r="C73" s="459" t="s">
        <v>5</v>
      </c>
      <c r="D73" s="463">
        <v>1</v>
      </c>
      <c r="E73" s="818"/>
      <c r="F73" s="819"/>
    </row>
    <row r="74" spans="1:6" s="107" customFormat="1" ht="24.75" customHeight="1">
      <c r="A74" s="459" t="s">
        <v>653</v>
      </c>
      <c r="B74" s="460" t="s">
        <v>1562</v>
      </c>
      <c r="C74" s="459" t="s">
        <v>5</v>
      </c>
      <c r="D74" s="463">
        <v>2</v>
      </c>
      <c r="E74" s="818"/>
      <c r="F74" s="819"/>
    </row>
    <row r="75" spans="1:6" s="107" customFormat="1" ht="31.5" customHeight="1">
      <c r="A75" s="459" t="s">
        <v>654</v>
      </c>
      <c r="B75" s="460" t="s">
        <v>434</v>
      </c>
      <c r="C75" s="459" t="s">
        <v>5</v>
      </c>
      <c r="D75" s="463">
        <v>4</v>
      </c>
      <c r="E75" s="818"/>
      <c r="F75" s="819"/>
    </row>
    <row r="76" spans="1:6" s="107" customFormat="1" ht="33.75" customHeight="1">
      <c r="A76" s="459" t="s">
        <v>655</v>
      </c>
      <c r="B76" s="460" t="s">
        <v>435</v>
      </c>
      <c r="C76" s="459" t="s">
        <v>5</v>
      </c>
      <c r="D76" s="463">
        <v>1</v>
      </c>
      <c r="E76" s="818"/>
      <c r="F76" s="819"/>
    </row>
    <row r="77" spans="1:6" s="107" customFormat="1" ht="33.75" customHeight="1">
      <c r="A77" s="459" t="s">
        <v>657</v>
      </c>
      <c r="B77" s="460" t="s">
        <v>436</v>
      </c>
      <c r="C77" s="459" t="s">
        <v>5</v>
      </c>
      <c r="D77" s="463">
        <v>2</v>
      </c>
      <c r="E77" s="818"/>
      <c r="F77" s="819"/>
    </row>
    <row r="78" spans="1:6" s="107" customFormat="1" ht="20.100000000000001" customHeight="1">
      <c r="A78" s="457">
        <v>4.4000000000000004</v>
      </c>
      <c r="B78" s="458" t="s">
        <v>439</v>
      </c>
      <c r="C78" s="457"/>
      <c r="D78" s="467"/>
      <c r="E78" s="818"/>
      <c r="F78" s="819"/>
    </row>
    <row r="79" spans="1:6" s="107" customFormat="1" ht="32.25" customHeight="1">
      <c r="A79" s="459" t="s">
        <v>118</v>
      </c>
      <c r="B79" s="460" t="s">
        <v>431</v>
      </c>
      <c r="C79" s="459" t="s">
        <v>5</v>
      </c>
      <c r="D79" s="463">
        <v>1</v>
      </c>
      <c r="E79" s="818"/>
      <c r="F79" s="819"/>
    </row>
    <row r="80" spans="1:6" s="107" customFormat="1" ht="29.25" customHeight="1">
      <c r="A80" s="459" t="s">
        <v>660</v>
      </c>
      <c r="B80" s="460" t="s">
        <v>432</v>
      </c>
      <c r="C80" s="459" t="s">
        <v>5</v>
      </c>
      <c r="D80" s="463">
        <v>2</v>
      </c>
      <c r="E80" s="818"/>
      <c r="F80" s="819"/>
    </row>
    <row r="81" spans="1:6" s="107" customFormat="1" ht="35.25" customHeight="1">
      <c r="A81" s="459" t="s">
        <v>120</v>
      </c>
      <c r="B81" s="460" t="s">
        <v>434</v>
      </c>
      <c r="C81" s="459" t="s">
        <v>5</v>
      </c>
      <c r="D81" s="463">
        <v>2</v>
      </c>
      <c r="E81" s="818"/>
      <c r="F81" s="819"/>
    </row>
    <row r="82" spans="1:6" s="107" customFormat="1" ht="30.75" customHeight="1">
      <c r="A82" s="459" t="s">
        <v>661</v>
      </c>
      <c r="B82" s="460" t="s">
        <v>435</v>
      </c>
      <c r="C82" s="459" t="s">
        <v>5</v>
      </c>
      <c r="D82" s="463">
        <v>1</v>
      </c>
      <c r="E82" s="818"/>
      <c r="F82" s="819"/>
    </row>
    <row r="83" spans="1:6" s="107" customFormat="1" ht="30.75" customHeight="1">
      <c r="A83" s="459" t="s">
        <v>662</v>
      </c>
      <c r="B83" s="460" t="s">
        <v>440</v>
      </c>
      <c r="C83" s="459" t="s">
        <v>5</v>
      </c>
      <c r="D83" s="463">
        <v>2</v>
      </c>
      <c r="E83" s="818"/>
      <c r="F83" s="819"/>
    </row>
    <row r="84" spans="1:6" s="107" customFormat="1" ht="20.100000000000001" customHeight="1">
      <c r="A84" s="457">
        <v>4.5</v>
      </c>
      <c r="B84" s="458" t="s">
        <v>441</v>
      </c>
      <c r="C84" s="457"/>
      <c r="D84" s="467"/>
      <c r="E84" s="818"/>
      <c r="F84" s="819"/>
    </row>
    <row r="85" spans="1:6" s="466" customFormat="1" ht="39" customHeight="1">
      <c r="A85" s="459" t="s">
        <v>678</v>
      </c>
      <c r="B85" s="460" t="s">
        <v>442</v>
      </c>
      <c r="C85" s="459" t="s">
        <v>5</v>
      </c>
      <c r="D85" s="463">
        <v>1</v>
      </c>
      <c r="E85" s="818"/>
      <c r="F85" s="819"/>
    </row>
    <row r="86" spans="1:6" s="466" customFormat="1" ht="24.95" customHeight="1">
      <c r="A86" s="459" t="s">
        <v>679</v>
      </c>
      <c r="B86" s="460" t="s">
        <v>432</v>
      </c>
      <c r="C86" s="459" t="s">
        <v>5</v>
      </c>
      <c r="D86" s="463">
        <v>5</v>
      </c>
      <c r="E86" s="818"/>
      <c r="F86" s="819"/>
    </row>
    <row r="87" spans="1:6" s="466" customFormat="1" ht="24.95" customHeight="1">
      <c r="A87" s="459" t="s">
        <v>1118</v>
      </c>
      <c r="B87" s="460" t="s">
        <v>433</v>
      </c>
      <c r="C87" s="459" t="s">
        <v>5</v>
      </c>
      <c r="D87" s="463">
        <v>2</v>
      </c>
      <c r="E87" s="818"/>
      <c r="F87" s="819"/>
    </row>
    <row r="88" spans="1:6" s="466" customFormat="1" ht="32.25" customHeight="1">
      <c r="A88" s="459" t="s">
        <v>1119</v>
      </c>
      <c r="B88" s="460" t="s">
        <v>443</v>
      </c>
      <c r="C88" s="459" t="s">
        <v>5</v>
      </c>
      <c r="D88" s="463">
        <v>11</v>
      </c>
      <c r="E88" s="818"/>
      <c r="F88" s="819"/>
    </row>
    <row r="89" spans="1:6" s="466" customFormat="1" ht="35.25" customHeight="1">
      <c r="A89" s="459" t="s">
        <v>1120</v>
      </c>
      <c r="B89" s="460" t="s">
        <v>444</v>
      </c>
      <c r="C89" s="459" t="s">
        <v>5</v>
      </c>
      <c r="D89" s="476">
        <v>4</v>
      </c>
      <c r="E89" s="818"/>
      <c r="F89" s="819"/>
    </row>
    <row r="90" spans="1:6" s="466" customFormat="1" ht="35.25" customHeight="1">
      <c r="A90" s="459" t="s">
        <v>1121</v>
      </c>
      <c r="B90" s="460" t="s">
        <v>434</v>
      </c>
      <c r="C90" s="459" t="s">
        <v>5</v>
      </c>
      <c r="D90" s="476">
        <v>2</v>
      </c>
      <c r="E90" s="818"/>
      <c r="F90" s="819"/>
    </row>
    <row r="91" spans="1:6" s="466" customFormat="1" ht="31.5" customHeight="1">
      <c r="A91" s="459" t="s">
        <v>1122</v>
      </c>
      <c r="B91" s="460" t="s">
        <v>435</v>
      </c>
      <c r="C91" s="459" t="s">
        <v>5</v>
      </c>
      <c r="D91" s="476">
        <v>7</v>
      </c>
      <c r="E91" s="818"/>
      <c r="F91" s="819"/>
    </row>
    <row r="92" spans="1:6" s="466" customFormat="1" ht="33.75" customHeight="1">
      <c r="A92" s="459" t="s">
        <v>1123</v>
      </c>
      <c r="B92" s="460" t="s">
        <v>445</v>
      </c>
      <c r="C92" s="459" t="s">
        <v>5</v>
      </c>
      <c r="D92" s="476">
        <v>1</v>
      </c>
      <c r="E92" s="818"/>
      <c r="F92" s="819"/>
    </row>
    <row r="93" spans="1:6" s="466" customFormat="1" ht="33.75" customHeight="1">
      <c r="A93" s="459" t="s">
        <v>1124</v>
      </c>
      <c r="B93" s="460" t="s">
        <v>436</v>
      </c>
      <c r="C93" s="459" t="s">
        <v>5</v>
      </c>
      <c r="D93" s="476">
        <v>9</v>
      </c>
      <c r="E93" s="818"/>
      <c r="F93" s="819"/>
    </row>
    <row r="94" spans="1:6" s="466" customFormat="1" ht="34.5" customHeight="1">
      <c r="A94" s="459" t="s">
        <v>1541</v>
      </c>
      <c r="B94" s="460" t="s">
        <v>446</v>
      </c>
      <c r="C94" s="459" t="s">
        <v>5</v>
      </c>
      <c r="D94" s="476">
        <v>3</v>
      </c>
      <c r="E94" s="818"/>
      <c r="F94" s="819"/>
    </row>
    <row r="95" spans="1:6" s="466" customFormat="1" ht="24.95" customHeight="1">
      <c r="A95" s="459" t="s">
        <v>1542</v>
      </c>
      <c r="B95" s="460" t="s">
        <v>437</v>
      </c>
      <c r="C95" s="459" t="s">
        <v>5</v>
      </c>
      <c r="D95" s="476">
        <v>10</v>
      </c>
      <c r="E95" s="818"/>
      <c r="F95" s="819"/>
    </row>
    <row r="96" spans="1:6" s="466" customFormat="1" ht="24.95" customHeight="1">
      <c r="A96" s="459" t="s">
        <v>1543</v>
      </c>
      <c r="B96" s="460" t="s">
        <v>1546</v>
      </c>
      <c r="C96" s="459" t="s">
        <v>5</v>
      </c>
      <c r="D96" s="476">
        <v>9</v>
      </c>
      <c r="E96" s="818"/>
      <c r="F96" s="819"/>
    </row>
    <row r="97" spans="1:6" s="107" customFormat="1" ht="20.100000000000001" customHeight="1">
      <c r="A97" s="457">
        <v>5</v>
      </c>
      <c r="B97" s="458" t="s">
        <v>447</v>
      </c>
      <c r="C97" s="457"/>
      <c r="D97" s="495"/>
      <c r="E97" s="818"/>
      <c r="F97" s="819"/>
    </row>
    <row r="98" spans="1:6" s="107" customFormat="1" ht="29.25" customHeight="1">
      <c r="A98" s="459">
        <v>5.0999999999999996</v>
      </c>
      <c r="B98" s="460" t="s">
        <v>434</v>
      </c>
      <c r="C98" s="459" t="s">
        <v>5</v>
      </c>
      <c r="D98" s="476">
        <v>1</v>
      </c>
      <c r="E98" s="818"/>
      <c r="F98" s="819"/>
    </row>
    <row r="99" spans="1:6" s="107" customFormat="1" ht="38.25" customHeight="1">
      <c r="A99" s="459">
        <v>5.2</v>
      </c>
      <c r="B99" s="460" t="s">
        <v>436</v>
      </c>
      <c r="C99" s="459" t="s">
        <v>5</v>
      </c>
      <c r="D99" s="476">
        <v>1</v>
      </c>
      <c r="E99" s="818"/>
      <c r="F99" s="819"/>
    </row>
    <row r="100" spans="1:6" s="107" customFormat="1" ht="30" customHeight="1">
      <c r="A100" s="457">
        <v>6</v>
      </c>
      <c r="B100" s="458" t="s">
        <v>448</v>
      </c>
      <c r="C100" s="457"/>
      <c r="D100" s="495"/>
      <c r="E100" s="818"/>
      <c r="F100" s="819"/>
    </row>
    <row r="101" spans="1:6" s="107" customFormat="1" ht="24.95" customHeight="1">
      <c r="A101" s="459">
        <v>6.1</v>
      </c>
      <c r="B101" s="462" t="s">
        <v>449</v>
      </c>
      <c r="C101" s="459" t="s">
        <v>5</v>
      </c>
      <c r="D101" s="476">
        <v>46</v>
      </c>
      <c r="E101" s="818"/>
      <c r="F101" s="819"/>
    </row>
    <row r="102" spans="1:6" s="107" customFormat="1" ht="24.95" customHeight="1">
      <c r="A102" s="459">
        <v>6.2</v>
      </c>
      <c r="B102" s="462" t="s">
        <v>450</v>
      </c>
      <c r="C102" s="459" t="s">
        <v>0</v>
      </c>
      <c r="D102" s="476">
        <v>180</v>
      </c>
      <c r="E102" s="818"/>
      <c r="F102" s="819"/>
    </row>
    <row r="103" spans="1:6" s="107" customFormat="1" ht="24.95" customHeight="1">
      <c r="A103" s="459">
        <v>6.3</v>
      </c>
      <c r="B103" s="462" t="s">
        <v>451</v>
      </c>
      <c r="C103" s="459" t="s">
        <v>452</v>
      </c>
      <c r="D103" s="476">
        <v>306.7</v>
      </c>
      <c r="E103" s="818"/>
      <c r="F103" s="819"/>
    </row>
    <row r="104" spans="1:6" s="107" customFormat="1" ht="24.95" customHeight="1">
      <c r="A104" s="459">
        <v>6.4</v>
      </c>
      <c r="B104" s="462" t="s">
        <v>453</v>
      </c>
      <c r="C104" s="459" t="s">
        <v>5</v>
      </c>
      <c r="D104" s="476">
        <v>50</v>
      </c>
      <c r="E104" s="818"/>
      <c r="F104" s="819"/>
    </row>
    <row r="105" spans="1:6" s="107" customFormat="1" ht="24.95" customHeight="1">
      <c r="A105" s="459">
        <v>6.5</v>
      </c>
      <c r="B105" s="462" t="s">
        <v>454</v>
      </c>
      <c r="C105" s="459" t="s">
        <v>5</v>
      </c>
      <c r="D105" s="476">
        <v>22</v>
      </c>
      <c r="E105" s="818"/>
      <c r="F105" s="819"/>
    </row>
    <row r="106" spans="1:6" s="107" customFormat="1" ht="24.95" customHeight="1">
      <c r="A106" s="459">
        <v>6.6</v>
      </c>
      <c r="B106" s="462" t="s">
        <v>455</v>
      </c>
      <c r="C106" s="459" t="s">
        <v>5</v>
      </c>
      <c r="D106" s="476">
        <v>46</v>
      </c>
      <c r="E106" s="818"/>
      <c r="F106" s="819"/>
    </row>
    <row r="107" spans="1:6" s="107" customFormat="1" ht="21.75" customHeight="1">
      <c r="A107" s="457">
        <v>7</v>
      </c>
      <c r="B107" s="458" t="s">
        <v>456</v>
      </c>
      <c r="C107" s="457"/>
      <c r="D107" s="495"/>
      <c r="E107" s="818"/>
      <c r="F107" s="819"/>
    </row>
    <row r="108" spans="1:6" s="107" customFormat="1" ht="43.5" customHeight="1">
      <c r="A108" s="459">
        <v>7.1</v>
      </c>
      <c r="B108" s="462" t="s">
        <v>1548</v>
      </c>
      <c r="C108" s="459" t="s">
        <v>5</v>
      </c>
      <c r="D108" s="476">
        <v>4</v>
      </c>
      <c r="E108" s="818"/>
      <c r="F108" s="819"/>
    </row>
    <row r="109" spans="1:6" s="107" customFormat="1" ht="24" customHeight="1">
      <c r="A109" s="459">
        <v>7.2</v>
      </c>
      <c r="B109" s="462" t="s">
        <v>458</v>
      </c>
      <c r="C109" s="459" t="s">
        <v>5</v>
      </c>
      <c r="D109" s="476">
        <v>11</v>
      </c>
      <c r="E109" s="818"/>
      <c r="F109" s="819"/>
    </row>
    <row r="110" spans="1:6" s="107" customFormat="1" ht="26.25" customHeight="1">
      <c r="A110" s="459">
        <v>7.3</v>
      </c>
      <c r="B110" s="462" t="s">
        <v>459</v>
      </c>
      <c r="C110" s="459" t="s">
        <v>0</v>
      </c>
      <c r="D110" s="476">
        <v>80</v>
      </c>
      <c r="E110" s="818"/>
      <c r="F110" s="819"/>
    </row>
    <row r="111" spans="1:6" s="107" customFormat="1" ht="25.5" customHeight="1">
      <c r="A111" s="459">
        <v>7.4</v>
      </c>
      <c r="B111" s="462" t="s">
        <v>385</v>
      </c>
      <c r="C111" s="459" t="s">
        <v>0</v>
      </c>
      <c r="D111" s="476">
        <v>20</v>
      </c>
      <c r="E111" s="818"/>
      <c r="F111" s="819"/>
    </row>
    <row r="112" spans="1:6" s="107" customFormat="1" ht="24" customHeight="1">
      <c r="A112" s="457">
        <v>8</v>
      </c>
      <c r="B112" s="458" t="s">
        <v>460</v>
      </c>
      <c r="C112" s="457"/>
      <c r="D112" s="495"/>
      <c r="E112" s="818"/>
      <c r="F112" s="819"/>
    </row>
    <row r="113" spans="1:8" s="107" customFormat="1" ht="33.75" customHeight="1">
      <c r="A113" s="459">
        <v>8.1</v>
      </c>
      <c r="B113" s="460" t="s">
        <v>1551</v>
      </c>
      <c r="C113" s="459" t="s">
        <v>5</v>
      </c>
      <c r="D113" s="476">
        <v>1</v>
      </c>
      <c r="E113" s="818"/>
      <c r="F113" s="819"/>
    </row>
    <row r="114" spans="1:8" s="107" customFormat="1" ht="31.5" customHeight="1">
      <c r="A114" s="459">
        <v>8.1999999999999993</v>
      </c>
      <c r="B114" s="460" t="s">
        <v>1552</v>
      </c>
      <c r="C114" s="459" t="s">
        <v>5</v>
      </c>
      <c r="D114" s="476">
        <v>6</v>
      </c>
      <c r="E114" s="818"/>
      <c r="F114" s="819"/>
    </row>
    <row r="115" spans="1:8" s="107" customFormat="1" ht="30.75" customHeight="1">
      <c r="A115" s="459">
        <v>8.3000000000000007</v>
      </c>
      <c r="B115" s="460" t="s">
        <v>444</v>
      </c>
      <c r="C115" s="459" t="s">
        <v>5</v>
      </c>
      <c r="D115" s="463">
        <v>2</v>
      </c>
      <c r="E115" s="818"/>
      <c r="F115" s="819"/>
    </row>
    <row r="116" spans="1:8" s="107" customFormat="1" ht="32.25" customHeight="1">
      <c r="A116" s="459">
        <v>8.4</v>
      </c>
      <c r="B116" s="460" t="s">
        <v>436</v>
      </c>
      <c r="C116" s="459" t="s">
        <v>5</v>
      </c>
      <c r="D116" s="463">
        <v>1</v>
      </c>
      <c r="E116" s="818"/>
      <c r="F116" s="819"/>
    </row>
    <row r="117" spans="1:8" s="107" customFormat="1" ht="36.75" customHeight="1">
      <c r="A117" s="459">
        <v>8.5</v>
      </c>
      <c r="B117" s="460" t="s">
        <v>431</v>
      </c>
      <c r="C117" s="459" t="s">
        <v>5</v>
      </c>
      <c r="D117" s="463">
        <v>1</v>
      </c>
      <c r="E117" s="818"/>
      <c r="F117" s="819"/>
    </row>
    <row r="118" spans="1:8" s="107" customFormat="1" ht="31.5" customHeight="1">
      <c r="A118" s="459">
        <v>8.6</v>
      </c>
      <c r="B118" s="460" t="s">
        <v>388</v>
      </c>
      <c r="C118" s="459" t="s">
        <v>0</v>
      </c>
      <c r="D118" s="463">
        <v>100</v>
      </c>
      <c r="E118" s="818"/>
      <c r="F118" s="819"/>
    </row>
    <row r="119" spans="1:8" s="107" customFormat="1" ht="31.5" customHeight="1">
      <c r="A119" s="459">
        <v>8.6999999999999993</v>
      </c>
      <c r="B119" s="460" t="s">
        <v>461</v>
      </c>
      <c r="C119" s="459" t="s">
        <v>0</v>
      </c>
      <c r="D119" s="463">
        <v>100</v>
      </c>
      <c r="E119" s="818"/>
      <c r="F119" s="819"/>
    </row>
    <row r="120" spans="1:8" s="107" customFormat="1" ht="32.25" customHeight="1">
      <c r="A120" s="459">
        <v>8.8000000000000007</v>
      </c>
      <c r="B120" s="460" t="s">
        <v>437</v>
      </c>
      <c r="C120" s="459" t="s">
        <v>5</v>
      </c>
      <c r="D120" s="463">
        <v>6</v>
      </c>
      <c r="E120" s="818"/>
      <c r="F120" s="819"/>
    </row>
    <row r="121" spans="1:8" s="107" customFormat="1" ht="36" customHeight="1">
      <c r="A121" s="459">
        <v>8.9</v>
      </c>
      <c r="B121" s="460" t="s">
        <v>462</v>
      </c>
      <c r="C121" s="459" t="s">
        <v>5</v>
      </c>
      <c r="D121" s="463">
        <v>100</v>
      </c>
      <c r="E121" s="818"/>
      <c r="F121" s="819"/>
    </row>
    <row r="122" spans="1:8" s="107" customFormat="1" ht="30.75" customHeight="1">
      <c r="A122" s="465">
        <v>8.1</v>
      </c>
      <c r="B122" s="460" t="s">
        <v>463</v>
      </c>
      <c r="C122" s="459" t="s">
        <v>5</v>
      </c>
      <c r="D122" s="463">
        <v>2</v>
      </c>
      <c r="E122" s="818"/>
      <c r="F122" s="819"/>
    </row>
    <row r="123" spans="1:8" s="107" customFormat="1" ht="34.5" customHeight="1">
      <c r="A123" s="459">
        <v>8.11</v>
      </c>
      <c r="B123" s="460" t="s">
        <v>464</v>
      </c>
      <c r="C123" s="459" t="s">
        <v>5</v>
      </c>
      <c r="D123" s="463">
        <v>1</v>
      </c>
      <c r="E123" s="818"/>
      <c r="F123" s="819"/>
    </row>
    <row r="124" spans="1:8" s="107" customFormat="1" ht="32.25" customHeight="1">
      <c r="A124" s="465">
        <v>8.1199999999999992</v>
      </c>
      <c r="B124" s="460" t="s">
        <v>1554</v>
      </c>
      <c r="C124" s="459" t="s">
        <v>5</v>
      </c>
      <c r="D124" s="463">
        <v>3</v>
      </c>
      <c r="E124" s="818"/>
      <c r="F124" s="819"/>
      <c r="G124" s="108"/>
      <c r="H124" s="108"/>
    </row>
    <row r="125" spans="1:8" s="107" customFormat="1" ht="29.25" customHeight="1">
      <c r="A125" s="459">
        <v>8.1300000000000008</v>
      </c>
      <c r="B125" s="460" t="s">
        <v>1553</v>
      </c>
      <c r="C125" s="459" t="s">
        <v>5</v>
      </c>
      <c r="D125" s="463">
        <v>1</v>
      </c>
      <c r="E125" s="818"/>
      <c r="F125" s="819"/>
      <c r="G125" s="108"/>
      <c r="H125" s="108"/>
    </row>
    <row r="126" spans="1:8" s="452" customFormat="1" ht="42.75" customHeight="1">
      <c r="A126" s="652" t="s">
        <v>1555</v>
      </c>
      <c r="B126" s="652"/>
      <c r="C126" s="455"/>
      <c r="D126" s="456"/>
      <c r="E126" s="816"/>
      <c r="F126" s="817"/>
      <c r="G126" s="453"/>
      <c r="H126" s="453"/>
    </row>
    <row r="127" spans="1:8" s="452" customFormat="1" ht="32.25" customHeight="1">
      <c r="A127" s="478">
        <v>9</v>
      </c>
      <c r="B127" s="479" t="s">
        <v>1556</v>
      </c>
      <c r="C127" s="455"/>
      <c r="D127" s="456"/>
      <c r="E127" s="816"/>
      <c r="F127" s="817"/>
      <c r="G127" s="453"/>
      <c r="H127" s="453"/>
    </row>
    <row r="128" spans="1:8" s="452" customFormat="1" ht="39" customHeight="1">
      <c r="A128" s="480">
        <v>9.1</v>
      </c>
      <c r="B128" s="460" t="s">
        <v>477</v>
      </c>
      <c r="C128" s="459" t="s">
        <v>5</v>
      </c>
      <c r="D128" s="476">
        <v>1</v>
      </c>
      <c r="E128" s="819"/>
      <c r="F128" s="819"/>
      <c r="G128" s="453"/>
      <c r="H128" s="453"/>
    </row>
    <row r="129" spans="1:8" s="452" customFormat="1" ht="36" customHeight="1">
      <c r="A129" s="480">
        <v>9.1999999999999993</v>
      </c>
      <c r="B129" s="460" t="s">
        <v>1560</v>
      </c>
      <c r="C129" s="459" t="s">
        <v>5</v>
      </c>
      <c r="D129" s="476">
        <v>1</v>
      </c>
      <c r="E129" s="819"/>
      <c r="F129" s="819"/>
      <c r="G129" s="453"/>
      <c r="H129" s="453"/>
    </row>
    <row r="130" spans="1:8" s="452" customFormat="1" ht="45" customHeight="1">
      <c r="A130" s="480">
        <v>9.3000000000000007</v>
      </c>
      <c r="B130" s="460" t="s">
        <v>1559</v>
      </c>
      <c r="C130" s="459" t="s">
        <v>5</v>
      </c>
      <c r="D130" s="476">
        <v>1</v>
      </c>
      <c r="E130" s="819"/>
      <c r="F130" s="819"/>
      <c r="G130" s="453"/>
      <c r="H130" s="453"/>
    </row>
    <row r="131" spans="1:8" s="452" customFormat="1" ht="40.5" customHeight="1">
      <c r="A131" s="480">
        <v>9.4</v>
      </c>
      <c r="B131" s="460" t="s">
        <v>1558</v>
      </c>
      <c r="C131" s="459" t="s">
        <v>5</v>
      </c>
      <c r="D131" s="476">
        <v>2</v>
      </c>
      <c r="E131" s="819"/>
      <c r="F131" s="819"/>
      <c r="G131" s="453"/>
      <c r="H131" s="453"/>
    </row>
    <row r="132" spans="1:8" s="452" customFormat="1" ht="24.95" customHeight="1">
      <c r="A132" s="455">
        <v>10</v>
      </c>
      <c r="B132" s="477" t="s">
        <v>1557</v>
      </c>
      <c r="C132" s="459"/>
      <c r="D132" s="463"/>
      <c r="E132" s="821"/>
      <c r="F132" s="819"/>
      <c r="G132" s="453"/>
      <c r="H132" s="453"/>
    </row>
    <row r="133" spans="1:8" s="452" customFormat="1" ht="24.95" customHeight="1">
      <c r="A133" s="480">
        <v>10.1</v>
      </c>
      <c r="B133" s="462" t="s">
        <v>478</v>
      </c>
      <c r="C133" s="459" t="s">
        <v>67</v>
      </c>
      <c r="D133" s="463">
        <v>27</v>
      </c>
      <c r="E133" s="819"/>
      <c r="F133" s="819"/>
      <c r="G133" s="453"/>
      <c r="H133" s="453"/>
    </row>
    <row r="134" spans="1:8" s="452" customFormat="1" ht="24.95" customHeight="1">
      <c r="A134" s="480">
        <v>10.199999999999999</v>
      </c>
      <c r="B134" s="462" t="s">
        <v>479</v>
      </c>
      <c r="C134" s="459" t="s">
        <v>67</v>
      </c>
      <c r="D134" s="463">
        <v>15</v>
      </c>
      <c r="E134" s="819"/>
      <c r="F134" s="819"/>
      <c r="G134" s="453"/>
      <c r="H134" s="453"/>
    </row>
    <row r="135" spans="1:8" s="452" customFormat="1" ht="24.95" customHeight="1">
      <c r="A135" s="480">
        <v>10.3</v>
      </c>
      <c r="B135" s="462" t="s">
        <v>480</v>
      </c>
      <c r="C135" s="459" t="s">
        <v>5</v>
      </c>
      <c r="D135" s="463">
        <v>9</v>
      </c>
      <c r="E135" s="819"/>
      <c r="F135" s="819"/>
      <c r="G135" s="453"/>
      <c r="H135" s="453"/>
    </row>
    <row r="136" spans="1:8" s="452" customFormat="1" ht="34.5" customHeight="1">
      <c r="A136" s="480">
        <v>10.4</v>
      </c>
      <c r="B136" s="460" t="s">
        <v>481</v>
      </c>
      <c r="C136" s="459" t="s">
        <v>5</v>
      </c>
      <c r="D136" s="463">
        <v>2</v>
      </c>
      <c r="E136" s="819"/>
      <c r="F136" s="819"/>
      <c r="G136" s="453"/>
      <c r="H136" s="453"/>
    </row>
    <row r="137" spans="1:8" s="452" customFormat="1" ht="32.25" customHeight="1">
      <c r="A137" s="480">
        <v>10.5</v>
      </c>
      <c r="B137" s="460" t="s">
        <v>482</v>
      </c>
      <c r="C137" s="459" t="s">
        <v>67</v>
      </c>
      <c r="D137" s="463">
        <v>350</v>
      </c>
      <c r="E137" s="819"/>
      <c r="F137" s="819"/>
      <c r="G137" s="453"/>
      <c r="H137" s="453"/>
    </row>
    <row r="138" spans="1:8" s="452" customFormat="1" ht="35.25" customHeight="1">
      <c r="A138" s="482">
        <v>10.6</v>
      </c>
      <c r="B138" s="460" t="s">
        <v>463</v>
      </c>
      <c r="C138" s="459" t="s">
        <v>5</v>
      </c>
      <c r="D138" s="463">
        <v>2</v>
      </c>
      <c r="E138" s="819"/>
      <c r="F138" s="819"/>
      <c r="G138" s="453"/>
      <c r="H138" s="453"/>
    </row>
    <row r="139" spans="1:8" s="452" customFormat="1" ht="36" customHeight="1">
      <c r="A139" s="480">
        <v>10.7</v>
      </c>
      <c r="B139" s="460" t="s">
        <v>483</v>
      </c>
      <c r="C139" s="459" t="s">
        <v>5</v>
      </c>
      <c r="D139" s="463">
        <v>3</v>
      </c>
      <c r="E139" s="819"/>
      <c r="F139" s="819"/>
      <c r="G139" s="453"/>
      <c r="H139" s="453"/>
    </row>
    <row r="140" spans="1:8" s="452" customFormat="1" ht="33.75" customHeight="1">
      <c r="A140" s="482">
        <v>10.8</v>
      </c>
      <c r="B140" s="460" t="s">
        <v>464</v>
      </c>
      <c r="C140" s="459" t="s">
        <v>5</v>
      </c>
      <c r="D140" s="463">
        <v>2</v>
      </c>
      <c r="E140" s="819"/>
      <c r="F140" s="819"/>
      <c r="G140" s="453"/>
      <c r="H140" s="453"/>
    </row>
    <row r="141" spans="1:8" s="452" customFormat="1" ht="31.5" customHeight="1">
      <c r="A141" s="480">
        <v>10.9</v>
      </c>
      <c r="B141" s="460" t="s">
        <v>484</v>
      </c>
      <c r="C141" s="459" t="s">
        <v>5</v>
      </c>
      <c r="D141" s="463">
        <v>2</v>
      </c>
      <c r="E141" s="819"/>
      <c r="F141" s="819"/>
      <c r="G141" s="453"/>
      <c r="H141" s="453"/>
    </row>
    <row r="142" spans="1:8" s="452" customFormat="1" ht="31.5" customHeight="1">
      <c r="A142" s="481">
        <v>10.1</v>
      </c>
      <c r="B142" s="460" t="s">
        <v>485</v>
      </c>
      <c r="C142" s="459" t="s">
        <v>5</v>
      </c>
      <c r="D142" s="463">
        <v>7</v>
      </c>
      <c r="E142" s="819"/>
      <c r="F142" s="819"/>
      <c r="G142" s="453"/>
      <c r="H142" s="453"/>
    </row>
    <row r="143" spans="1:8" s="452" customFormat="1" ht="31.5" customHeight="1">
      <c r="A143" s="480">
        <v>10.11</v>
      </c>
      <c r="B143" s="460" t="s">
        <v>486</v>
      </c>
      <c r="C143" s="459" t="s">
        <v>67</v>
      </c>
      <c r="D143" s="463">
        <v>750</v>
      </c>
      <c r="E143" s="819"/>
      <c r="F143" s="819"/>
      <c r="G143" s="453"/>
      <c r="H143" s="453"/>
    </row>
    <row r="144" spans="1:8" s="452" customFormat="1" ht="21.75" customHeight="1">
      <c r="A144" s="521" t="s">
        <v>1563</v>
      </c>
      <c r="B144" s="522"/>
      <c r="C144" s="522"/>
      <c r="D144" s="522"/>
      <c r="E144" s="523"/>
      <c r="F144" s="670"/>
      <c r="G144" s="453"/>
      <c r="H144" s="453"/>
    </row>
    <row r="145" spans="1:8" s="452" customFormat="1" ht="21" customHeight="1">
      <c r="A145" s="442"/>
      <c r="B145" s="443"/>
      <c r="C145" s="443"/>
      <c r="D145" s="443"/>
      <c r="E145" s="443"/>
      <c r="F145" s="443"/>
      <c r="G145" s="453"/>
      <c r="H145" s="453"/>
    </row>
    <row r="146" spans="1:8" s="452" customFormat="1" ht="21.75" customHeight="1">
      <c r="A146" s="518" t="s">
        <v>226</v>
      </c>
      <c r="B146" s="518"/>
      <c r="C146" s="518"/>
      <c r="D146" s="518"/>
      <c r="E146" s="518"/>
      <c r="F146" s="518"/>
      <c r="G146" s="453"/>
      <c r="H146" s="453"/>
    </row>
    <row r="147" spans="1:8" s="452" customFormat="1" ht="20.25" customHeight="1">
      <c r="A147" s="526" t="s">
        <v>1503</v>
      </c>
      <c r="B147" s="526" t="s">
        <v>7</v>
      </c>
      <c r="C147" s="526" t="s">
        <v>5</v>
      </c>
      <c r="D147" s="524" t="s">
        <v>6</v>
      </c>
      <c r="E147" s="528" t="s">
        <v>3</v>
      </c>
      <c r="F147" s="585" t="s">
        <v>465</v>
      </c>
      <c r="G147" s="453"/>
      <c r="H147" s="453"/>
    </row>
    <row r="148" spans="1:8" s="452" customFormat="1" ht="20.25" customHeight="1">
      <c r="A148" s="527"/>
      <c r="B148" s="527"/>
      <c r="C148" s="527"/>
      <c r="D148" s="525"/>
      <c r="E148" s="529"/>
      <c r="F148" s="586"/>
      <c r="G148" s="453"/>
      <c r="H148" s="453"/>
    </row>
    <row r="149" spans="1:8" s="452" customFormat="1" ht="43.5" customHeight="1">
      <c r="A149" s="652" t="s">
        <v>1537</v>
      </c>
      <c r="B149" s="652"/>
      <c r="C149" s="474"/>
      <c r="D149" s="475"/>
      <c r="E149" s="822"/>
      <c r="F149" s="823"/>
      <c r="G149" s="453"/>
      <c r="H149" s="453"/>
    </row>
    <row r="150" spans="1:8" s="452" customFormat="1" ht="20.25" customHeight="1">
      <c r="A150" s="474">
        <v>1</v>
      </c>
      <c r="B150" s="458" t="s">
        <v>423</v>
      </c>
      <c r="C150" s="474"/>
      <c r="D150" s="475"/>
      <c r="E150" s="822"/>
      <c r="F150" s="823"/>
      <c r="G150" s="453"/>
      <c r="H150" s="453"/>
    </row>
    <row r="151" spans="1:8" s="107" customFormat="1" ht="33.75" customHeight="1">
      <c r="A151" s="459">
        <v>1.1000000000000001</v>
      </c>
      <c r="B151" s="460" t="s">
        <v>466</v>
      </c>
      <c r="C151" s="471" t="s">
        <v>5</v>
      </c>
      <c r="D151" s="490">
        <v>1</v>
      </c>
      <c r="E151" s="819"/>
      <c r="F151" s="819"/>
      <c r="G151" s="108"/>
      <c r="H151" s="108"/>
    </row>
    <row r="152" spans="1:8" s="107" customFormat="1" ht="32.25" customHeight="1">
      <c r="A152" s="459">
        <v>1.2</v>
      </c>
      <c r="B152" s="460" t="s">
        <v>467</v>
      </c>
      <c r="C152" s="471" t="s">
        <v>5</v>
      </c>
      <c r="D152" s="490">
        <v>1</v>
      </c>
      <c r="E152" s="819"/>
      <c r="F152" s="819"/>
    </row>
    <row r="153" spans="1:8" s="107" customFormat="1" ht="38.25">
      <c r="A153" s="459">
        <v>1.3</v>
      </c>
      <c r="B153" s="460" t="s">
        <v>468</v>
      </c>
      <c r="C153" s="471" t="s">
        <v>5</v>
      </c>
      <c r="D153" s="490">
        <v>1</v>
      </c>
      <c r="E153" s="819"/>
      <c r="F153" s="819"/>
    </row>
    <row r="154" spans="1:8" s="107" customFormat="1" ht="102">
      <c r="A154" s="459">
        <v>1.4</v>
      </c>
      <c r="B154" s="460" t="s">
        <v>469</v>
      </c>
      <c r="C154" s="471" t="s">
        <v>5</v>
      </c>
      <c r="D154" s="490">
        <v>1</v>
      </c>
      <c r="E154" s="819"/>
      <c r="F154" s="819"/>
    </row>
    <row r="155" spans="1:8" s="107" customFormat="1" ht="24.75" customHeight="1">
      <c r="A155" s="459">
        <v>1.5</v>
      </c>
      <c r="B155" s="460" t="s">
        <v>470</v>
      </c>
      <c r="C155" s="471" t="s">
        <v>5</v>
      </c>
      <c r="D155" s="490">
        <v>1</v>
      </c>
      <c r="E155" s="819"/>
      <c r="F155" s="819"/>
    </row>
    <row r="156" spans="1:8" s="107" customFormat="1" ht="32.25" customHeight="1">
      <c r="A156" s="459">
        <v>1.6</v>
      </c>
      <c r="B156" s="460" t="s">
        <v>471</v>
      </c>
      <c r="C156" s="471" t="s">
        <v>5</v>
      </c>
      <c r="D156" s="490">
        <v>1</v>
      </c>
      <c r="E156" s="819"/>
      <c r="F156" s="819"/>
    </row>
    <row r="157" spans="1:8" s="107" customFormat="1" ht="23.25" customHeight="1">
      <c r="A157" s="459">
        <v>1.7</v>
      </c>
      <c r="B157" s="460" t="s">
        <v>328</v>
      </c>
      <c r="C157" s="471" t="s">
        <v>5</v>
      </c>
      <c r="D157" s="490">
        <v>1</v>
      </c>
      <c r="E157" s="819"/>
      <c r="F157" s="819"/>
    </row>
    <row r="158" spans="1:8" s="107" customFormat="1" ht="28.5" customHeight="1">
      <c r="A158" s="459">
        <v>1.8</v>
      </c>
      <c r="B158" s="489" t="s">
        <v>1547</v>
      </c>
      <c r="C158" s="471" t="s">
        <v>5</v>
      </c>
      <c r="D158" s="490">
        <v>10</v>
      </c>
      <c r="E158" s="819"/>
      <c r="F158" s="819"/>
    </row>
    <row r="159" spans="1:8" s="107" customFormat="1" ht="23.25" customHeight="1">
      <c r="A159" s="457">
        <v>2</v>
      </c>
      <c r="B159" s="458" t="s">
        <v>456</v>
      </c>
      <c r="C159" s="473"/>
      <c r="D159" s="491"/>
      <c r="E159" s="819"/>
      <c r="F159" s="819"/>
    </row>
    <row r="160" spans="1:8" s="107" customFormat="1" ht="33.75" customHeight="1">
      <c r="A160" s="459">
        <v>2.1</v>
      </c>
      <c r="B160" s="460" t="s">
        <v>457</v>
      </c>
      <c r="C160" s="471" t="s">
        <v>5</v>
      </c>
      <c r="D160" s="490">
        <v>4</v>
      </c>
      <c r="E160" s="819"/>
      <c r="F160" s="819"/>
    </row>
    <row r="161" spans="1:6" s="107" customFormat="1" ht="24.75" customHeight="1">
      <c r="A161" s="457">
        <v>3</v>
      </c>
      <c r="B161" s="458" t="s">
        <v>460</v>
      </c>
      <c r="C161" s="473"/>
      <c r="D161" s="491"/>
      <c r="E161" s="819"/>
      <c r="F161" s="819"/>
    </row>
    <row r="162" spans="1:6" s="107" customFormat="1" ht="35.25" customHeight="1">
      <c r="A162" s="459">
        <v>3.1</v>
      </c>
      <c r="B162" s="460" t="s">
        <v>1549</v>
      </c>
      <c r="C162" s="471" t="s">
        <v>5</v>
      </c>
      <c r="D162" s="490">
        <v>1</v>
      </c>
      <c r="E162" s="819"/>
      <c r="F162" s="819"/>
    </row>
    <row r="163" spans="1:6" s="107" customFormat="1" ht="36" customHeight="1">
      <c r="A163" s="459">
        <v>3.2</v>
      </c>
      <c r="B163" s="470" t="s">
        <v>1550</v>
      </c>
      <c r="C163" s="471" t="s">
        <v>5</v>
      </c>
      <c r="D163" s="490">
        <v>6</v>
      </c>
      <c r="E163" s="819"/>
      <c r="F163" s="819"/>
    </row>
    <row r="164" spans="1:6" s="107" customFormat="1" ht="25.5" customHeight="1">
      <c r="A164" s="457">
        <v>4</v>
      </c>
      <c r="B164" s="458" t="s">
        <v>1544</v>
      </c>
      <c r="C164" s="464"/>
      <c r="D164" s="472"/>
      <c r="E164" s="819"/>
      <c r="F164" s="819"/>
    </row>
    <row r="165" spans="1:6" s="107" customFormat="1" ht="31.5" customHeight="1">
      <c r="A165" s="459">
        <v>4.0999999999999996</v>
      </c>
      <c r="B165" s="462" t="s">
        <v>472</v>
      </c>
      <c r="C165" s="459" t="s">
        <v>330</v>
      </c>
      <c r="D165" s="465">
        <v>1</v>
      </c>
      <c r="E165" s="819"/>
      <c r="F165" s="819"/>
    </row>
    <row r="166" spans="1:6" s="107" customFormat="1" ht="30" customHeight="1">
      <c r="A166" s="459">
        <v>4.2</v>
      </c>
      <c r="B166" s="462" t="s">
        <v>332</v>
      </c>
      <c r="C166" s="459" t="s">
        <v>330</v>
      </c>
      <c r="D166" s="465">
        <v>1</v>
      </c>
      <c r="E166" s="819"/>
      <c r="F166" s="819"/>
    </row>
    <row r="167" spans="1:6" s="452" customFormat="1" ht="30" customHeight="1">
      <c r="A167" s="652" t="s">
        <v>1555</v>
      </c>
      <c r="B167" s="652"/>
      <c r="C167" s="459"/>
      <c r="D167" s="465"/>
      <c r="E167" s="819"/>
      <c r="F167" s="819"/>
    </row>
    <row r="168" spans="1:6" s="452" customFormat="1" ht="30" customHeight="1">
      <c r="A168" s="492">
        <v>5</v>
      </c>
      <c r="B168" s="493" t="s">
        <v>1561</v>
      </c>
      <c r="C168" s="459"/>
      <c r="D168" s="465"/>
      <c r="E168" s="819"/>
      <c r="F168" s="819"/>
    </row>
    <row r="169" spans="1:6" s="452" customFormat="1" ht="36.75" customHeight="1">
      <c r="A169" s="483">
        <v>5.0999999999999996</v>
      </c>
      <c r="B169" s="470" t="s">
        <v>473</v>
      </c>
      <c r="C169" s="459" t="s">
        <v>5</v>
      </c>
      <c r="D169" s="476">
        <v>1</v>
      </c>
      <c r="E169" s="819"/>
      <c r="F169" s="819"/>
    </row>
    <row r="170" spans="1:6" s="452" customFormat="1" ht="42" customHeight="1">
      <c r="A170" s="483">
        <v>5.2</v>
      </c>
      <c r="B170" s="470" t="s">
        <v>1566</v>
      </c>
      <c r="C170" s="459" t="s">
        <v>5</v>
      </c>
      <c r="D170" s="476">
        <v>1</v>
      </c>
      <c r="E170" s="819"/>
      <c r="F170" s="819"/>
    </row>
    <row r="171" spans="1:6" s="452" customFormat="1" ht="30" customHeight="1">
      <c r="A171" s="483">
        <v>5.3</v>
      </c>
      <c r="B171" s="470" t="s">
        <v>474</v>
      </c>
      <c r="C171" s="459" t="s">
        <v>5</v>
      </c>
      <c r="D171" s="476">
        <v>1</v>
      </c>
      <c r="E171" s="819"/>
      <c r="F171" s="819"/>
    </row>
    <row r="172" spans="1:6" s="452" customFormat="1" ht="37.5" customHeight="1">
      <c r="A172" s="483">
        <v>5.4</v>
      </c>
      <c r="B172" s="470" t="s">
        <v>475</v>
      </c>
      <c r="C172" s="459" t="s">
        <v>5</v>
      </c>
      <c r="D172" s="476">
        <v>2</v>
      </c>
      <c r="E172" s="819"/>
      <c r="F172" s="819"/>
    </row>
    <row r="173" spans="1:6" s="452" customFormat="1" ht="30" customHeight="1">
      <c r="A173" s="494">
        <v>6</v>
      </c>
      <c r="B173" s="488" t="s">
        <v>1544</v>
      </c>
      <c r="C173" s="457"/>
      <c r="D173" s="465"/>
      <c r="E173" s="819"/>
      <c r="F173" s="819"/>
    </row>
    <row r="174" spans="1:6" s="452" customFormat="1" ht="30" customHeight="1">
      <c r="A174" s="483">
        <v>6.1</v>
      </c>
      <c r="B174" s="470" t="s">
        <v>329</v>
      </c>
      <c r="C174" s="459" t="s">
        <v>330</v>
      </c>
      <c r="D174" s="465">
        <v>1</v>
      </c>
      <c r="E174" s="819"/>
      <c r="F174" s="819"/>
    </row>
    <row r="175" spans="1:6" s="452" customFormat="1" ht="30" customHeight="1">
      <c r="A175" s="483">
        <v>6.2</v>
      </c>
      <c r="B175" s="470" t="s">
        <v>331</v>
      </c>
      <c r="C175" s="459" t="s">
        <v>330</v>
      </c>
      <c r="D175" s="465">
        <v>1</v>
      </c>
      <c r="E175" s="819"/>
      <c r="F175" s="819"/>
    </row>
    <row r="176" spans="1:6" s="452" customFormat="1" ht="35.25" customHeight="1">
      <c r="A176" s="483">
        <v>6.3</v>
      </c>
      <c r="B176" s="470" t="s">
        <v>476</v>
      </c>
      <c r="C176" s="459" t="s">
        <v>330</v>
      </c>
      <c r="D176" s="465">
        <v>1</v>
      </c>
      <c r="E176" s="819"/>
      <c r="F176" s="819"/>
    </row>
    <row r="177" spans="1:6" s="452" customFormat="1" ht="20.25" customHeight="1">
      <c r="A177" s="483"/>
      <c r="B177" s="484"/>
      <c r="C177" s="485"/>
      <c r="D177" s="486"/>
      <c r="E177" s="496"/>
      <c r="F177" s="487"/>
    </row>
    <row r="178" spans="1:6" s="111" customFormat="1" ht="18.75" customHeight="1">
      <c r="A178" s="521" t="s">
        <v>1522</v>
      </c>
      <c r="B178" s="522"/>
      <c r="C178" s="522"/>
      <c r="D178" s="522"/>
      <c r="E178" s="523"/>
      <c r="F178" s="670"/>
    </row>
    <row r="179" spans="1:6" s="111" customFormat="1" ht="18.75" customHeight="1">
      <c r="A179" s="454"/>
      <c r="B179" s="109"/>
      <c r="C179" s="109"/>
      <c r="D179" s="109"/>
      <c r="E179" s="468"/>
      <c r="F179" s="110"/>
    </row>
    <row r="180" spans="1:6" s="111" customFormat="1" ht="24.95" customHeight="1">
      <c r="A180" s="575" t="s">
        <v>1563</v>
      </c>
      <c r="B180" s="576"/>
      <c r="C180" s="576"/>
      <c r="D180" s="576"/>
      <c r="E180" s="577"/>
      <c r="F180" s="674"/>
    </row>
    <row r="181" spans="1:6" s="111" customFormat="1" ht="24.95" customHeight="1">
      <c r="A181" s="445"/>
      <c r="B181" s="448" t="s">
        <v>1593</v>
      </c>
      <c r="C181" s="676"/>
      <c r="D181" s="660" t="s">
        <v>1596</v>
      </c>
      <c r="E181" s="658"/>
      <c r="F181" s="678"/>
    </row>
    <row r="182" spans="1:6" s="111" customFormat="1" ht="24.95" customHeight="1">
      <c r="A182" s="445"/>
      <c r="B182" s="448" t="s">
        <v>1594</v>
      </c>
      <c r="C182" s="676"/>
      <c r="D182" s="660" t="s">
        <v>1596</v>
      </c>
      <c r="E182" s="498"/>
      <c r="F182" s="678"/>
    </row>
    <row r="183" spans="1:6" s="111" customFormat="1" ht="24.95" customHeight="1">
      <c r="A183" s="445"/>
      <c r="B183" s="448" t="s">
        <v>1595</v>
      </c>
      <c r="C183" s="676"/>
      <c r="D183" s="660" t="s">
        <v>1596</v>
      </c>
      <c r="E183" s="498"/>
      <c r="F183" s="678"/>
    </row>
    <row r="184" spans="1:6" s="111" customFormat="1" ht="24.95" customHeight="1">
      <c r="A184" s="445"/>
      <c r="B184" s="448" t="s">
        <v>1234</v>
      </c>
      <c r="C184" s="659">
        <v>19</v>
      </c>
      <c r="D184" s="661" t="s">
        <v>1596</v>
      </c>
      <c r="E184" s="764"/>
      <c r="F184" s="678"/>
    </row>
    <row r="185" spans="1:6" s="111" customFormat="1" ht="24.95" customHeight="1">
      <c r="A185" s="444"/>
      <c r="B185" s="447"/>
      <c r="C185" s="449" t="s">
        <v>1564</v>
      </c>
      <c r="D185" s="578"/>
      <c r="E185" s="579"/>
      <c r="F185" s="677"/>
    </row>
    <row r="186" spans="1:6" s="111" customFormat="1" ht="24.95" customHeight="1">
      <c r="A186" s="580"/>
      <c r="B186" s="581"/>
      <c r="C186" s="581"/>
      <c r="D186" s="581"/>
      <c r="E186" s="582"/>
      <c r="F186" s="677"/>
    </row>
    <row r="187" spans="1:6" s="111" customFormat="1" ht="24.95" customHeight="1">
      <c r="A187" s="444"/>
      <c r="B187" s="447"/>
      <c r="C187" s="449" t="str">
        <f>A178</f>
        <v>SUBTOTAL COSTO DIRECTO SUMINISTROS</v>
      </c>
      <c r="D187" s="578"/>
      <c r="E187" s="579"/>
      <c r="F187" s="677"/>
    </row>
    <row r="188" spans="1:6" s="111" customFormat="1" ht="24.95" customHeight="1">
      <c r="A188" s="444"/>
      <c r="B188" s="448" t="s">
        <v>303</v>
      </c>
      <c r="C188" s="676"/>
      <c r="D188" s="660" t="s">
        <v>1596</v>
      </c>
      <c r="E188" s="658"/>
      <c r="F188" s="678"/>
    </row>
    <row r="189" spans="1:6" s="111" customFormat="1" ht="24.95" customHeight="1">
      <c r="A189" s="444"/>
      <c r="B189" s="446"/>
      <c r="C189" s="450" t="s">
        <v>1533</v>
      </c>
      <c r="D189" s="583"/>
      <c r="E189" s="584"/>
      <c r="F189" s="677"/>
    </row>
    <row r="190" spans="1:6" s="111" customFormat="1" ht="24.95" customHeight="1">
      <c r="A190" s="580"/>
      <c r="B190" s="581"/>
      <c r="C190" s="581"/>
      <c r="D190" s="581"/>
      <c r="E190" s="582"/>
      <c r="F190" s="677"/>
    </row>
    <row r="191" spans="1:6" s="112" customFormat="1" ht="24" customHeight="1">
      <c r="A191" s="521" t="s">
        <v>1565</v>
      </c>
      <c r="B191" s="522"/>
      <c r="C191" s="522" t="s">
        <v>305</v>
      </c>
      <c r="D191" s="522"/>
      <c r="E191" s="523"/>
      <c r="F191" s="673"/>
    </row>
  </sheetData>
  <sheetProtection formatCells="0" formatColumns="0" formatRows="0" insertColumns="0" insertRows="0" insertHyperlinks="0" deleteColumns="0" deleteRows="0" sort="0" autoFilter="0" pivotTables="0"/>
  <mergeCells count="29">
    <mergeCell ref="A126:B126"/>
    <mergeCell ref="A144:E144"/>
    <mergeCell ref="A149:B149"/>
    <mergeCell ref="A167:B167"/>
    <mergeCell ref="D187:E187"/>
    <mergeCell ref="A147:A148"/>
    <mergeCell ref="B147:B148"/>
    <mergeCell ref="C147:C148"/>
    <mergeCell ref="D147:D148"/>
    <mergeCell ref="E147:E148"/>
    <mergeCell ref="A178:E178"/>
    <mergeCell ref="A180:E180"/>
    <mergeCell ref="A146:F146"/>
    <mergeCell ref="D189:E189"/>
    <mergeCell ref="A190:E190"/>
    <mergeCell ref="A191:E191"/>
    <mergeCell ref="D185:E185"/>
    <mergeCell ref="A186:E186"/>
    <mergeCell ref="E5:E6"/>
    <mergeCell ref="F5:F6"/>
    <mergeCell ref="A1:F2"/>
    <mergeCell ref="A3:F3"/>
    <mergeCell ref="A4:F4"/>
    <mergeCell ref="A7:B7"/>
    <mergeCell ref="A5:A6"/>
    <mergeCell ref="B5:B6"/>
    <mergeCell ref="C5:C6"/>
    <mergeCell ref="D5:D6"/>
    <mergeCell ref="F147:F148"/>
  </mergeCells>
  <printOptions horizontalCentered="1" verticalCentered="1"/>
  <pageMargins left="0.98425196850393704" right="0.98425196850393704" top="0.78740157480314965" bottom="1.1811023622047245" header="0.98425196850393704" footer="0.98425196850393704"/>
  <pageSetup scale="58" fitToHeight="10" orientation="portrait" r:id="rId1"/>
  <headerFooter>
    <oddFooter>Página &amp;P</oddFooter>
  </headerFooter>
  <rowBreaks count="2" manualBreakCount="2">
    <brk id="112" max="16383" man="1"/>
    <brk id="15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28"/>
  <sheetViews>
    <sheetView tabSelected="1" view="pageBreakPreview" zoomScale="95" zoomScaleNormal="85" zoomScaleSheetLayoutView="95" workbookViewId="0">
      <selection activeCell="B21" sqref="B21"/>
    </sheetView>
  </sheetViews>
  <sheetFormatPr baseColWidth="10" defaultColWidth="12" defaultRowHeight="11.25"/>
  <cols>
    <col min="1" max="1" width="61.1640625" customWidth="1"/>
    <col min="2" max="2" width="32.5" bestFit="1" customWidth="1"/>
    <col min="3" max="3" width="16.33203125" customWidth="1"/>
    <col min="6" max="6" width="16.1640625" customWidth="1"/>
  </cols>
  <sheetData>
    <row r="1" spans="1:2" ht="4.9000000000000004" customHeight="1" thickBot="1"/>
    <row r="2" spans="1:2" ht="40.5" customHeight="1">
      <c r="A2" s="514" t="s">
        <v>1591</v>
      </c>
      <c r="B2" s="515"/>
    </row>
    <row r="3" spans="1:2" ht="39" customHeight="1">
      <c r="A3" s="516"/>
      <c r="B3" s="517"/>
    </row>
    <row r="4" spans="1:2" ht="16.5" customHeight="1">
      <c r="A4" s="512"/>
      <c r="B4" s="513"/>
    </row>
    <row r="5" spans="1:2" ht="23.25" customHeight="1">
      <c r="A5" s="510" t="s">
        <v>1567</v>
      </c>
      <c r="B5" s="511"/>
    </row>
    <row r="6" spans="1:2" ht="24.75" customHeight="1">
      <c r="A6" s="510" t="s">
        <v>1570</v>
      </c>
      <c r="B6" s="511"/>
    </row>
    <row r="7" spans="1:2" ht="18.75" customHeight="1">
      <c r="A7" s="499" t="s">
        <v>7</v>
      </c>
      <c r="B7" s="500" t="s">
        <v>1572</v>
      </c>
    </row>
    <row r="8" spans="1:2" ht="34.9" customHeight="1">
      <c r="A8" s="501" t="s">
        <v>1568</v>
      </c>
      <c r="B8" s="824"/>
    </row>
    <row r="9" spans="1:2" ht="36.6" customHeight="1">
      <c r="A9" s="501" t="s">
        <v>1569</v>
      </c>
      <c r="B9" s="824"/>
    </row>
    <row r="10" spans="1:2" ht="31.5" customHeight="1">
      <c r="A10" s="501" t="s">
        <v>1571</v>
      </c>
      <c r="B10" s="824"/>
    </row>
    <row r="11" spans="1:2" ht="21.4" customHeight="1">
      <c r="A11" s="502" t="s">
        <v>1573</v>
      </c>
      <c r="B11" s="825"/>
    </row>
    <row r="12" spans="1:2" ht="21.4" customHeight="1">
      <c r="A12" s="503"/>
      <c r="B12" s="504"/>
    </row>
    <row r="13" spans="1:2" ht="21.4" customHeight="1">
      <c r="A13" s="510" t="s">
        <v>1567</v>
      </c>
      <c r="B13" s="511"/>
    </row>
    <row r="14" spans="1:2" ht="21.4" customHeight="1">
      <c r="A14" s="510" t="s">
        <v>1574</v>
      </c>
      <c r="B14" s="511"/>
    </row>
    <row r="15" spans="1:2" ht="22.5" customHeight="1">
      <c r="A15" s="499" t="s">
        <v>7</v>
      </c>
      <c r="B15" s="500" t="s">
        <v>1572</v>
      </c>
    </row>
    <row r="16" spans="1:2" ht="33" customHeight="1">
      <c r="A16" s="505" t="s">
        <v>1568</v>
      </c>
      <c r="B16" s="824"/>
    </row>
    <row r="17" spans="1:2" ht="39" customHeight="1">
      <c r="A17" s="505" t="s">
        <v>1569</v>
      </c>
      <c r="B17" s="824"/>
    </row>
    <row r="18" spans="1:2" ht="33.75" customHeight="1">
      <c r="A18" s="505" t="s">
        <v>1571</v>
      </c>
      <c r="B18" s="824"/>
    </row>
    <row r="19" spans="1:2" ht="22.15" customHeight="1">
      <c r="A19" s="502" t="s">
        <v>1575</v>
      </c>
      <c r="B19" s="825"/>
    </row>
    <row r="20" spans="1:2" ht="22.15" customHeight="1">
      <c r="A20" s="503"/>
      <c r="B20" s="504"/>
    </row>
    <row r="21" spans="1:2" ht="32.25" customHeight="1">
      <c r="A21" s="506" t="s">
        <v>1576</v>
      </c>
      <c r="B21" s="826"/>
    </row>
    <row r="22" spans="1:2" ht="12" thickBot="1">
      <c r="A22" s="507"/>
      <c r="B22" s="508"/>
    </row>
    <row r="23" spans="1:2" ht="12.75">
      <c r="B23" s="215"/>
    </row>
    <row r="25" spans="1:2" ht="12.75">
      <c r="B25" s="215"/>
    </row>
    <row r="26" spans="1:2" ht="12.75">
      <c r="B26" s="215"/>
    </row>
    <row r="28" spans="1:2">
      <c r="B28" s="497"/>
    </row>
  </sheetData>
  <sheetProtection algorithmName="SHA-512" hashValue="MKC7b69bAFzYwoftz7fXDEd4A2hKdttw3/uuIH+prYFe1eL3COAXuXMiFRy7Pts05nk1H3yIroKzO9+rQIWFkQ==" saltValue="5wFSRclrBwbjdxcOU5f8XQ==" spinCount="100000" sheet="1" formatCells="0" formatColumns="0" formatRows="0" insertColumns="0" insertRows="0" insertHyperlinks="0" deleteColumns="0" deleteRows="0" sort="0" autoFilter="0" pivotTables="0"/>
  <mergeCells count="6">
    <mergeCell ref="A14:B14"/>
    <mergeCell ref="A4:B4"/>
    <mergeCell ref="A6:B6"/>
    <mergeCell ref="A2:B3"/>
    <mergeCell ref="A5:B5"/>
    <mergeCell ref="A13:B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00"/>
  <sheetViews>
    <sheetView showGridLines="0" view="pageBreakPreview" topLeftCell="A175" zoomScale="91" zoomScaleNormal="96" zoomScaleSheetLayoutView="91" zoomScalePageLayoutView="140" workbookViewId="0">
      <selection sqref="A1:F2"/>
    </sheetView>
  </sheetViews>
  <sheetFormatPr baseColWidth="10" defaultColWidth="12" defaultRowHeight="12.75"/>
  <cols>
    <col min="1" max="1" width="11.6640625" style="686" customWidth="1"/>
    <col min="2" max="2" width="64.33203125" style="686" customWidth="1"/>
    <col min="3" max="3" width="11" style="686" customWidth="1"/>
    <col min="4" max="4" width="15.33203125" style="686" customWidth="1"/>
    <col min="5" max="5" width="23.33203125" style="761" bestFit="1" customWidth="1"/>
    <col min="6" max="6" width="26" style="761" customWidth="1"/>
    <col min="7" max="7" width="12" style="686"/>
    <col min="8" max="8" width="29.33203125" style="686" customWidth="1"/>
    <col min="9" max="16384" width="12" style="686"/>
  </cols>
  <sheetData>
    <row r="1" spans="1:6" s="682" customFormat="1" ht="52.5" customHeight="1">
      <c r="A1" s="679" t="s">
        <v>1592</v>
      </c>
      <c r="B1" s="680"/>
      <c r="C1" s="680"/>
      <c r="D1" s="680"/>
      <c r="E1" s="680"/>
      <c r="F1" s="681"/>
    </row>
    <row r="2" spans="1:6" ht="33.75" customHeight="1">
      <c r="A2" s="683"/>
      <c r="B2" s="684"/>
      <c r="C2" s="684"/>
      <c r="D2" s="684"/>
      <c r="E2" s="684"/>
      <c r="F2" s="685"/>
    </row>
    <row r="3" spans="1:6" s="690" customFormat="1" ht="27.75" customHeight="1">
      <c r="A3" s="687" t="s">
        <v>1504</v>
      </c>
      <c r="B3" s="688"/>
      <c r="C3" s="688"/>
      <c r="D3" s="688"/>
      <c r="E3" s="688"/>
      <c r="F3" s="689"/>
    </row>
    <row r="4" spans="1:6" s="691" customFormat="1" ht="25.5" customHeight="1">
      <c r="A4" s="687" t="s">
        <v>225</v>
      </c>
      <c r="B4" s="688"/>
      <c r="C4" s="688"/>
      <c r="D4" s="688"/>
      <c r="E4" s="688"/>
      <c r="F4" s="689"/>
    </row>
    <row r="5" spans="1:6" s="691" customFormat="1" ht="20.25" customHeight="1">
      <c r="A5" s="692" t="s">
        <v>1503</v>
      </c>
      <c r="B5" s="692" t="s">
        <v>7</v>
      </c>
      <c r="C5" s="692" t="s">
        <v>5</v>
      </c>
      <c r="D5" s="693" t="s">
        <v>6</v>
      </c>
      <c r="E5" s="694" t="s">
        <v>3</v>
      </c>
      <c r="F5" s="695" t="s">
        <v>465</v>
      </c>
    </row>
    <row r="6" spans="1:6" s="691" customFormat="1" ht="17.25" customHeight="1">
      <c r="A6" s="696"/>
      <c r="B6" s="696"/>
      <c r="C6" s="696"/>
      <c r="D6" s="697"/>
      <c r="E6" s="698"/>
      <c r="F6" s="699"/>
    </row>
    <row r="7" spans="1:6" ht="20.100000000000001" customHeight="1">
      <c r="A7" s="700">
        <v>1</v>
      </c>
      <c r="B7" s="701" t="s">
        <v>1502</v>
      </c>
      <c r="C7" s="702"/>
      <c r="D7" s="703"/>
      <c r="E7" s="662"/>
      <c r="F7" s="663"/>
    </row>
    <row r="8" spans="1:6" ht="20.100000000000001" customHeight="1">
      <c r="A8" s="704">
        <v>1.1000000000000001</v>
      </c>
      <c r="B8" s="705" t="s">
        <v>8</v>
      </c>
      <c r="C8" s="706" t="s">
        <v>67</v>
      </c>
      <c r="D8" s="707">
        <v>54655.77</v>
      </c>
      <c r="E8" s="664"/>
      <c r="F8" s="665"/>
    </row>
    <row r="9" spans="1:6" s="711" customFormat="1" ht="20.100000000000001" customHeight="1">
      <c r="A9" s="708">
        <v>2</v>
      </c>
      <c r="B9" s="709" t="s">
        <v>13</v>
      </c>
      <c r="C9" s="710"/>
      <c r="D9" s="707"/>
      <c r="E9" s="666"/>
      <c r="F9" s="665"/>
    </row>
    <row r="10" spans="1:6" ht="20.100000000000001" customHeight="1">
      <c r="A10" s="704">
        <v>2.1</v>
      </c>
      <c r="B10" s="705" t="s">
        <v>1525</v>
      </c>
      <c r="C10" s="706" t="s">
        <v>1</v>
      </c>
      <c r="D10" s="707">
        <v>21229.800000000003</v>
      </c>
      <c r="E10" s="667"/>
      <c r="F10" s="665"/>
    </row>
    <row r="11" spans="1:6" ht="20.100000000000001" customHeight="1">
      <c r="A11" s="704">
        <v>2.2000000000000002</v>
      </c>
      <c r="B11" s="705" t="s">
        <v>1498</v>
      </c>
      <c r="C11" s="706" t="s">
        <v>1</v>
      </c>
      <c r="D11" s="707">
        <v>9098.49</v>
      </c>
      <c r="E11" s="667"/>
      <c r="F11" s="665"/>
    </row>
    <row r="12" spans="1:6" ht="20.100000000000001" customHeight="1">
      <c r="A12" s="704">
        <v>2.2999999999999998</v>
      </c>
      <c r="B12" s="705" t="s">
        <v>1501</v>
      </c>
      <c r="C12" s="706" t="s">
        <v>1</v>
      </c>
      <c r="D12" s="707">
        <v>1525.71</v>
      </c>
      <c r="E12" s="667"/>
      <c r="F12" s="665"/>
    </row>
    <row r="13" spans="1:6" s="711" customFormat="1" ht="20.100000000000001" customHeight="1">
      <c r="A13" s="708">
        <v>3</v>
      </c>
      <c r="B13" s="709" t="s">
        <v>18</v>
      </c>
      <c r="C13" s="710"/>
      <c r="D13" s="707"/>
      <c r="E13" s="666"/>
      <c r="F13" s="665"/>
    </row>
    <row r="14" spans="1:6" ht="20.100000000000001" customHeight="1">
      <c r="A14" s="704">
        <v>3.1</v>
      </c>
      <c r="B14" s="705" t="s">
        <v>11</v>
      </c>
      <c r="C14" s="706" t="s">
        <v>1</v>
      </c>
      <c r="D14" s="707">
        <v>11435.79</v>
      </c>
      <c r="E14" s="664"/>
      <c r="F14" s="665"/>
    </row>
    <row r="15" spans="1:6" ht="20.100000000000001" customHeight="1">
      <c r="A15" s="704">
        <v>3.2</v>
      </c>
      <c r="B15" s="705" t="s">
        <v>76</v>
      </c>
      <c r="C15" s="706" t="s">
        <v>1</v>
      </c>
      <c r="D15" s="707">
        <v>16529.189999999999</v>
      </c>
      <c r="E15" s="664"/>
      <c r="F15" s="665"/>
    </row>
    <row r="16" spans="1:6" ht="31.5" customHeight="1">
      <c r="A16" s="704">
        <v>3.3</v>
      </c>
      <c r="B16" s="712" t="s">
        <v>1580</v>
      </c>
      <c r="C16" s="706" t="s">
        <v>1</v>
      </c>
      <c r="D16" s="707">
        <v>5742.74</v>
      </c>
      <c r="E16" s="664"/>
      <c r="F16" s="665"/>
    </row>
    <row r="17" spans="1:6" ht="30" customHeight="1">
      <c r="A17" s="704">
        <v>3.4</v>
      </c>
      <c r="B17" s="712" t="s">
        <v>1581</v>
      </c>
      <c r="C17" s="706" t="s">
        <v>1</v>
      </c>
      <c r="D17" s="707">
        <f>187.62+248.93</f>
        <v>436.55</v>
      </c>
      <c r="E17" s="664"/>
      <c r="F17" s="665"/>
    </row>
    <row r="18" spans="1:6" ht="24" customHeight="1">
      <c r="A18" s="704">
        <v>3.5</v>
      </c>
      <c r="B18" s="713" t="s">
        <v>1499</v>
      </c>
      <c r="C18" s="706" t="s">
        <v>1</v>
      </c>
      <c r="D18" s="707">
        <v>1525.71</v>
      </c>
      <c r="E18" s="664"/>
      <c r="F18" s="665"/>
    </row>
    <row r="19" spans="1:6" ht="34.5" customHeight="1">
      <c r="A19" s="704">
        <v>3.6</v>
      </c>
      <c r="B19" s="712" t="s">
        <v>1582</v>
      </c>
      <c r="C19" s="706" t="s">
        <v>1</v>
      </c>
      <c r="D19" s="707">
        <f>7995.47+7329.33</f>
        <v>15324.8</v>
      </c>
      <c r="E19" s="664"/>
      <c r="F19" s="665"/>
    </row>
    <row r="20" spans="1:6" ht="24.75" customHeight="1">
      <c r="A20" s="704">
        <v>3.7</v>
      </c>
      <c r="B20" s="705" t="s">
        <v>68</v>
      </c>
      <c r="C20" s="706" t="s">
        <v>1</v>
      </c>
      <c r="D20" s="707">
        <f>3790.96+3292.98</f>
        <v>7083.9400000000005</v>
      </c>
      <c r="E20" s="664"/>
      <c r="F20" s="665"/>
    </row>
    <row r="21" spans="1:6" s="711" customFormat="1" ht="22.5" customHeight="1">
      <c r="A21" s="708">
        <v>4</v>
      </c>
      <c r="B21" s="709" t="s">
        <v>15</v>
      </c>
      <c r="C21" s="710"/>
      <c r="D21" s="707"/>
      <c r="E21" s="666"/>
      <c r="F21" s="665"/>
    </row>
    <row r="22" spans="1:6" ht="20.100000000000001" customHeight="1">
      <c r="A22" s="704">
        <v>4.0999999999999996</v>
      </c>
      <c r="B22" s="705" t="s">
        <v>24</v>
      </c>
      <c r="C22" s="706" t="s">
        <v>67</v>
      </c>
      <c r="D22" s="707">
        <v>7335.73</v>
      </c>
      <c r="E22" s="664"/>
      <c r="F22" s="665"/>
    </row>
    <row r="23" spans="1:6" ht="20.100000000000001" customHeight="1">
      <c r="A23" s="704">
        <v>4.2</v>
      </c>
      <c r="B23" s="705" t="s">
        <v>16</v>
      </c>
      <c r="C23" s="706" t="s">
        <v>67</v>
      </c>
      <c r="D23" s="707">
        <v>19666.86</v>
      </c>
      <c r="E23" s="664"/>
      <c r="F23" s="665"/>
    </row>
    <row r="24" spans="1:6" ht="20.100000000000001" customHeight="1">
      <c r="A24" s="704">
        <v>4.3</v>
      </c>
      <c r="B24" s="705" t="s">
        <v>23</v>
      </c>
      <c r="C24" s="706" t="s">
        <v>67</v>
      </c>
      <c r="D24" s="707">
        <v>20559.11</v>
      </c>
      <c r="E24" s="664"/>
      <c r="F24" s="665"/>
    </row>
    <row r="25" spans="1:6" ht="20.100000000000001" customHeight="1">
      <c r="A25" s="704">
        <v>4.4000000000000004</v>
      </c>
      <c r="B25" s="705" t="s">
        <v>210</v>
      </c>
      <c r="C25" s="706" t="s">
        <v>67</v>
      </c>
      <c r="D25" s="707">
        <v>7094.07</v>
      </c>
      <c r="E25" s="664"/>
      <c r="F25" s="665"/>
    </row>
    <row r="26" spans="1:6" s="711" customFormat="1" ht="20.100000000000001" customHeight="1">
      <c r="A26" s="708">
        <v>5</v>
      </c>
      <c r="B26" s="709" t="s">
        <v>211</v>
      </c>
      <c r="C26" s="710"/>
      <c r="D26" s="707"/>
      <c r="E26" s="666"/>
      <c r="F26" s="665"/>
    </row>
    <row r="27" spans="1:6" ht="32.25" customHeight="1">
      <c r="A27" s="704">
        <v>5.0999999999999996</v>
      </c>
      <c r="B27" s="705" t="s">
        <v>1514</v>
      </c>
      <c r="C27" s="706" t="s">
        <v>10</v>
      </c>
      <c r="D27" s="707">
        <v>34</v>
      </c>
      <c r="E27" s="664"/>
      <c r="F27" s="665"/>
    </row>
    <row r="28" spans="1:6" ht="32.25" customHeight="1">
      <c r="A28" s="704">
        <v>5.2</v>
      </c>
      <c r="B28" s="705" t="s">
        <v>1515</v>
      </c>
      <c r="C28" s="706" t="s">
        <v>10</v>
      </c>
      <c r="D28" s="707">
        <v>40</v>
      </c>
      <c r="E28" s="664"/>
      <c r="F28" s="665"/>
    </row>
    <row r="29" spans="1:6" ht="33.75" customHeight="1">
      <c r="A29" s="704">
        <v>5.3</v>
      </c>
      <c r="B29" s="705" t="s">
        <v>1516</v>
      </c>
      <c r="C29" s="706" t="s">
        <v>10</v>
      </c>
      <c r="D29" s="707">
        <f>47+61</f>
        <v>108</v>
      </c>
      <c r="E29" s="664"/>
      <c r="F29" s="665"/>
    </row>
    <row r="30" spans="1:6" ht="20.100000000000001" customHeight="1">
      <c r="A30" s="704">
        <v>5.4</v>
      </c>
      <c r="B30" s="705" t="s">
        <v>1506</v>
      </c>
      <c r="C30" s="706" t="s">
        <v>10</v>
      </c>
      <c r="D30" s="707">
        <v>3</v>
      </c>
      <c r="E30" s="664"/>
      <c r="F30" s="665"/>
    </row>
    <row r="31" spans="1:6" ht="20.100000000000001" customHeight="1">
      <c r="A31" s="704">
        <v>5.5</v>
      </c>
      <c r="B31" s="705" t="s">
        <v>119</v>
      </c>
      <c r="C31" s="706" t="s">
        <v>10</v>
      </c>
      <c r="D31" s="707">
        <v>14</v>
      </c>
      <c r="E31" s="664"/>
      <c r="F31" s="665"/>
    </row>
    <row r="32" spans="1:6" ht="20.100000000000001" customHeight="1">
      <c r="A32" s="704">
        <v>5.6</v>
      </c>
      <c r="B32" s="705" t="s">
        <v>121</v>
      </c>
      <c r="C32" s="706" t="s">
        <v>10</v>
      </c>
      <c r="D32" s="707">
        <v>8</v>
      </c>
      <c r="E32" s="664"/>
      <c r="F32" s="665"/>
    </row>
    <row r="33" spans="1:6" ht="20.100000000000001" customHeight="1">
      <c r="A33" s="704">
        <v>5.7</v>
      </c>
      <c r="B33" s="705" t="s">
        <v>123</v>
      </c>
      <c r="C33" s="706" t="s">
        <v>10</v>
      </c>
      <c r="D33" s="707">
        <v>33</v>
      </c>
      <c r="E33" s="664"/>
      <c r="F33" s="665"/>
    </row>
    <row r="34" spans="1:6" ht="20.100000000000001" customHeight="1">
      <c r="A34" s="704">
        <v>5.8</v>
      </c>
      <c r="B34" s="705" t="s">
        <v>125</v>
      </c>
      <c r="C34" s="706" t="s">
        <v>10</v>
      </c>
      <c r="D34" s="707">
        <v>21</v>
      </c>
      <c r="E34" s="664"/>
      <c r="F34" s="665"/>
    </row>
    <row r="35" spans="1:6" ht="20.100000000000001" customHeight="1">
      <c r="A35" s="704">
        <v>5.9</v>
      </c>
      <c r="B35" s="705" t="s">
        <v>126</v>
      </c>
      <c r="C35" s="706" t="s">
        <v>10</v>
      </c>
      <c r="D35" s="707">
        <v>35</v>
      </c>
      <c r="E35" s="664"/>
      <c r="F35" s="665"/>
    </row>
    <row r="36" spans="1:6" ht="20.100000000000001" customHeight="1">
      <c r="A36" s="714">
        <v>5.0999999999999996</v>
      </c>
      <c r="B36" s="705" t="s">
        <v>111</v>
      </c>
      <c r="C36" s="706" t="s">
        <v>10</v>
      </c>
      <c r="D36" s="707">
        <v>78</v>
      </c>
      <c r="E36" s="664"/>
      <c r="F36" s="665"/>
    </row>
    <row r="37" spans="1:6" ht="20.100000000000001" customHeight="1">
      <c r="A37" s="704">
        <v>5.1100000000000003</v>
      </c>
      <c r="B37" s="705" t="s">
        <v>82</v>
      </c>
      <c r="C37" s="706" t="s">
        <v>10</v>
      </c>
      <c r="D37" s="707">
        <v>98</v>
      </c>
      <c r="E37" s="664"/>
      <c r="F37" s="665"/>
    </row>
    <row r="38" spans="1:6" ht="20.100000000000001" customHeight="1">
      <c r="A38" s="714">
        <v>5.12</v>
      </c>
      <c r="B38" s="705" t="s">
        <v>84</v>
      </c>
      <c r="C38" s="706" t="s">
        <v>10</v>
      </c>
      <c r="D38" s="707">
        <v>58</v>
      </c>
      <c r="E38" s="664"/>
      <c r="F38" s="665"/>
    </row>
    <row r="39" spans="1:6" ht="20.100000000000001" customHeight="1">
      <c r="A39" s="704">
        <v>5.13</v>
      </c>
      <c r="B39" s="705" t="s">
        <v>128</v>
      </c>
      <c r="C39" s="706" t="s">
        <v>10</v>
      </c>
      <c r="D39" s="707">
        <f>48+39</f>
        <v>87</v>
      </c>
      <c r="E39" s="664"/>
      <c r="F39" s="665"/>
    </row>
    <row r="40" spans="1:6" ht="20.100000000000001" customHeight="1">
      <c r="A40" s="714">
        <v>5.14</v>
      </c>
      <c r="B40" s="705" t="s">
        <v>86</v>
      </c>
      <c r="C40" s="706" t="s">
        <v>10</v>
      </c>
      <c r="D40" s="707">
        <v>58</v>
      </c>
      <c r="E40" s="664"/>
      <c r="F40" s="665"/>
    </row>
    <row r="41" spans="1:6" ht="20.100000000000001" customHeight="1">
      <c r="A41" s="704">
        <v>5.15</v>
      </c>
      <c r="B41" s="705" t="s">
        <v>88</v>
      </c>
      <c r="C41" s="706" t="s">
        <v>10</v>
      </c>
      <c r="D41" s="707">
        <v>98</v>
      </c>
      <c r="E41" s="664"/>
      <c r="F41" s="665"/>
    </row>
    <row r="42" spans="1:6" ht="20.100000000000001" customHeight="1">
      <c r="A42" s="714">
        <v>5.16</v>
      </c>
      <c r="B42" s="705" t="s">
        <v>90</v>
      </c>
      <c r="C42" s="706" t="s">
        <v>10</v>
      </c>
      <c r="D42" s="707">
        <v>74</v>
      </c>
      <c r="E42" s="664"/>
      <c r="F42" s="665"/>
    </row>
    <row r="43" spans="1:6" ht="20.100000000000001" customHeight="1">
      <c r="A43" s="704">
        <v>5.17</v>
      </c>
      <c r="B43" s="705" t="s">
        <v>91</v>
      </c>
      <c r="C43" s="706" t="s">
        <v>10</v>
      </c>
      <c r="D43" s="707">
        <f>29+8</f>
        <v>37</v>
      </c>
      <c r="E43" s="664"/>
      <c r="F43" s="665"/>
    </row>
    <row r="44" spans="1:6" ht="20.100000000000001" customHeight="1">
      <c r="A44" s="714">
        <v>5.1800000000000104</v>
      </c>
      <c r="B44" s="705" t="s">
        <v>92</v>
      </c>
      <c r="C44" s="706" t="s">
        <v>10</v>
      </c>
      <c r="D44" s="707">
        <v>50</v>
      </c>
      <c r="E44" s="664"/>
      <c r="F44" s="665"/>
    </row>
    <row r="45" spans="1:6" ht="20.100000000000001" customHeight="1">
      <c r="A45" s="704">
        <v>5.1900000000000102</v>
      </c>
      <c r="B45" s="705" t="s">
        <v>93</v>
      </c>
      <c r="C45" s="706" t="s">
        <v>10</v>
      </c>
      <c r="D45" s="707">
        <v>59</v>
      </c>
      <c r="E45" s="664"/>
      <c r="F45" s="665"/>
    </row>
    <row r="46" spans="1:6" ht="20.100000000000001" customHeight="1">
      <c r="A46" s="714">
        <v>5.2000000000000099</v>
      </c>
      <c r="B46" s="705" t="s">
        <v>94</v>
      </c>
      <c r="C46" s="706" t="s">
        <v>10</v>
      </c>
      <c r="D46" s="707">
        <v>28</v>
      </c>
      <c r="E46" s="664"/>
      <c r="F46" s="665"/>
    </row>
    <row r="47" spans="1:6" ht="20.100000000000001" customHeight="1">
      <c r="A47" s="704">
        <v>5.2100000000000097</v>
      </c>
      <c r="B47" s="705" t="s">
        <v>117</v>
      </c>
      <c r="C47" s="706" t="s">
        <v>10</v>
      </c>
      <c r="D47" s="707">
        <v>27</v>
      </c>
      <c r="E47" s="664"/>
      <c r="F47" s="665"/>
    </row>
    <row r="48" spans="1:6" ht="20.100000000000001" customHeight="1">
      <c r="A48" s="714">
        <v>5.2200000000000104</v>
      </c>
      <c r="B48" s="705" t="s">
        <v>139</v>
      </c>
      <c r="C48" s="706" t="s">
        <v>10</v>
      </c>
      <c r="D48" s="707">
        <v>14</v>
      </c>
      <c r="E48" s="664"/>
      <c r="F48" s="665"/>
    </row>
    <row r="49" spans="1:6" ht="20.100000000000001" customHeight="1">
      <c r="A49" s="704">
        <v>5.2300000000000102</v>
      </c>
      <c r="B49" s="705" t="s">
        <v>96</v>
      </c>
      <c r="C49" s="706" t="s">
        <v>10</v>
      </c>
      <c r="D49" s="707">
        <v>46</v>
      </c>
      <c r="E49" s="664"/>
      <c r="F49" s="665"/>
    </row>
    <row r="50" spans="1:6" ht="20.100000000000001" customHeight="1">
      <c r="A50" s="714">
        <v>5.24000000000001</v>
      </c>
      <c r="B50" s="705" t="s">
        <v>97</v>
      </c>
      <c r="C50" s="706" t="s">
        <v>10</v>
      </c>
      <c r="D50" s="707">
        <v>163</v>
      </c>
      <c r="E50" s="664"/>
      <c r="F50" s="665"/>
    </row>
    <row r="51" spans="1:6" ht="20.100000000000001" customHeight="1">
      <c r="A51" s="704">
        <v>5.2500000000000098</v>
      </c>
      <c r="B51" s="705" t="s">
        <v>130</v>
      </c>
      <c r="C51" s="706" t="s">
        <v>10</v>
      </c>
      <c r="D51" s="707">
        <v>11</v>
      </c>
      <c r="E51" s="664"/>
      <c r="F51" s="665"/>
    </row>
    <row r="52" spans="1:6" ht="20.100000000000001" customHeight="1">
      <c r="A52" s="714">
        <v>5.2600000000000096</v>
      </c>
      <c r="B52" s="705" t="s">
        <v>115</v>
      </c>
      <c r="C52" s="706" t="s">
        <v>10</v>
      </c>
      <c r="D52" s="707">
        <v>26</v>
      </c>
      <c r="E52" s="664"/>
      <c r="F52" s="665"/>
    </row>
    <row r="53" spans="1:6" ht="20.100000000000001" customHeight="1">
      <c r="A53" s="704">
        <v>5.2700000000000102</v>
      </c>
      <c r="B53" s="705" t="s">
        <v>1577</v>
      </c>
      <c r="C53" s="706" t="s">
        <v>10</v>
      </c>
      <c r="D53" s="707">
        <v>17</v>
      </c>
      <c r="E53" s="664"/>
      <c r="F53" s="665"/>
    </row>
    <row r="54" spans="1:6" ht="20.100000000000001" customHeight="1">
      <c r="A54" s="714">
        <v>5.28000000000001</v>
      </c>
      <c r="B54" s="705" t="s">
        <v>1578</v>
      </c>
      <c r="C54" s="706" t="s">
        <v>10</v>
      </c>
      <c r="D54" s="707">
        <v>3</v>
      </c>
      <c r="E54" s="664"/>
      <c r="F54" s="665"/>
    </row>
    <row r="55" spans="1:6" ht="20.100000000000001" customHeight="1">
      <c r="A55" s="704">
        <v>5.2900000000000098</v>
      </c>
      <c r="B55" s="705" t="s">
        <v>112</v>
      </c>
      <c r="C55" s="706" t="s">
        <v>10</v>
      </c>
      <c r="D55" s="707">
        <v>93</v>
      </c>
      <c r="E55" s="664"/>
      <c r="F55" s="665"/>
    </row>
    <row r="56" spans="1:6" ht="20.100000000000001" customHeight="1">
      <c r="A56" s="714">
        <v>5.3000000000000096</v>
      </c>
      <c r="B56" s="705" t="s">
        <v>131</v>
      </c>
      <c r="C56" s="706" t="s">
        <v>10</v>
      </c>
      <c r="D56" s="707">
        <v>76</v>
      </c>
      <c r="E56" s="664"/>
      <c r="F56" s="665"/>
    </row>
    <row r="57" spans="1:6" ht="20.100000000000001" customHeight="1">
      <c r="A57" s="704">
        <v>5.3100000000000103</v>
      </c>
      <c r="B57" s="705" t="s">
        <v>113</v>
      </c>
      <c r="C57" s="706" t="s">
        <v>10</v>
      </c>
      <c r="D57" s="707">
        <v>44</v>
      </c>
      <c r="E57" s="664"/>
      <c r="F57" s="665"/>
    </row>
    <row r="58" spans="1:6" ht="20.100000000000001" customHeight="1">
      <c r="A58" s="714">
        <v>5.3200000000000101</v>
      </c>
      <c r="B58" s="705" t="s">
        <v>99</v>
      </c>
      <c r="C58" s="706" t="s">
        <v>10</v>
      </c>
      <c r="D58" s="707">
        <v>90</v>
      </c>
      <c r="E58" s="664"/>
      <c r="F58" s="665"/>
    </row>
    <row r="59" spans="1:6" ht="20.100000000000001" customHeight="1">
      <c r="A59" s="704">
        <v>5.3300000000000196</v>
      </c>
      <c r="B59" s="705" t="s">
        <v>114</v>
      </c>
      <c r="C59" s="706" t="s">
        <v>10</v>
      </c>
      <c r="D59" s="707">
        <v>4</v>
      </c>
      <c r="E59" s="664"/>
      <c r="F59" s="665"/>
    </row>
    <row r="60" spans="1:6" ht="20.100000000000001" customHeight="1">
      <c r="A60" s="714">
        <v>5.3400000000000203</v>
      </c>
      <c r="B60" s="705" t="s">
        <v>100</v>
      </c>
      <c r="C60" s="706" t="s">
        <v>10</v>
      </c>
      <c r="D60" s="707">
        <v>15</v>
      </c>
      <c r="E60" s="664"/>
      <c r="F60" s="665"/>
    </row>
    <row r="61" spans="1:6" ht="20.100000000000001" customHeight="1">
      <c r="A61" s="704">
        <v>5.3500000000000201</v>
      </c>
      <c r="B61" s="705" t="s">
        <v>220</v>
      </c>
      <c r="C61" s="706" t="s">
        <v>10</v>
      </c>
      <c r="D61" s="707">
        <v>221</v>
      </c>
      <c r="E61" s="664"/>
      <c r="F61" s="665"/>
    </row>
    <row r="62" spans="1:6" ht="20.100000000000001" customHeight="1">
      <c r="A62" s="714">
        <v>5.3600000000000199</v>
      </c>
      <c r="B62" s="705" t="s">
        <v>219</v>
      </c>
      <c r="C62" s="706" t="s">
        <v>10</v>
      </c>
      <c r="D62" s="707">
        <v>591</v>
      </c>
      <c r="E62" s="664"/>
      <c r="F62" s="665"/>
    </row>
    <row r="63" spans="1:6" ht="20.100000000000001" customHeight="1">
      <c r="A63" s="704">
        <v>5.3700000000000196</v>
      </c>
      <c r="B63" s="705" t="s">
        <v>218</v>
      </c>
      <c r="C63" s="706" t="s">
        <v>10</v>
      </c>
      <c r="D63" s="707">
        <v>619</v>
      </c>
      <c r="E63" s="664"/>
      <c r="F63" s="665"/>
    </row>
    <row r="64" spans="1:6" ht="20.100000000000001" customHeight="1">
      <c r="A64" s="714">
        <v>5.3800000000000203</v>
      </c>
      <c r="B64" s="705" t="s">
        <v>217</v>
      </c>
      <c r="C64" s="706" t="s">
        <v>10</v>
      </c>
      <c r="D64" s="707">
        <f>144+68</f>
        <v>212</v>
      </c>
      <c r="E64" s="664"/>
      <c r="F64" s="665"/>
    </row>
    <row r="65" spans="1:6" ht="20.100000000000001" customHeight="1">
      <c r="A65" s="704">
        <v>5.3900000000000201</v>
      </c>
      <c r="B65" s="705" t="s">
        <v>278</v>
      </c>
      <c r="C65" s="706" t="s">
        <v>10</v>
      </c>
      <c r="D65" s="707">
        <f>111+59</f>
        <v>170</v>
      </c>
      <c r="E65" s="664"/>
      <c r="F65" s="665"/>
    </row>
    <row r="66" spans="1:6" ht="20.100000000000001" customHeight="1">
      <c r="A66" s="714">
        <v>5.4000000000000199</v>
      </c>
      <c r="B66" s="705" t="s">
        <v>1505</v>
      </c>
      <c r="C66" s="706" t="s">
        <v>10</v>
      </c>
      <c r="D66" s="707">
        <v>52</v>
      </c>
      <c r="E66" s="664"/>
      <c r="F66" s="665"/>
    </row>
    <row r="67" spans="1:6" ht="20.100000000000001" customHeight="1">
      <c r="A67" s="704">
        <v>5.4100000000000197</v>
      </c>
      <c r="B67" s="705" t="s">
        <v>1519</v>
      </c>
      <c r="C67" s="706" t="s">
        <v>10</v>
      </c>
      <c r="D67" s="707">
        <v>78</v>
      </c>
      <c r="E67" s="664"/>
      <c r="F67" s="665"/>
    </row>
    <row r="68" spans="1:6" ht="20.100000000000001" customHeight="1">
      <c r="A68" s="708">
        <v>6</v>
      </c>
      <c r="B68" s="709" t="s">
        <v>20</v>
      </c>
      <c r="C68" s="706"/>
      <c r="D68" s="707"/>
      <c r="E68" s="664"/>
      <c r="F68" s="665"/>
    </row>
    <row r="69" spans="1:6" ht="20.25" customHeight="1">
      <c r="A69" s="704">
        <v>6.1</v>
      </c>
      <c r="B69" s="705" t="s">
        <v>1508</v>
      </c>
      <c r="C69" s="706" t="s">
        <v>1</v>
      </c>
      <c r="D69" s="707">
        <v>451.14</v>
      </c>
      <c r="E69" s="664"/>
      <c r="F69" s="665"/>
    </row>
    <row r="70" spans="1:6" ht="20.25" customHeight="1">
      <c r="A70" s="704">
        <v>6.2</v>
      </c>
      <c r="B70" s="705" t="s">
        <v>1507</v>
      </c>
      <c r="C70" s="706" t="s">
        <v>1</v>
      </c>
      <c r="D70" s="707">
        <v>46.1</v>
      </c>
      <c r="E70" s="664"/>
      <c r="F70" s="665"/>
    </row>
    <row r="71" spans="1:6" ht="20.100000000000001" customHeight="1">
      <c r="A71" s="708">
        <v>7</v>
      </c>
      <c r="B71" s="709" t="s">
        <v>12</v>
      </c>
      <c r="C71" s="706"/>
      <c r="D71" s="707"/>
      <c r="E71" s="664"/>
      <c r="F71" s="665"/>
    </row>
    <row r="72" spans="1:6" ht="20.100000000000001" customHeight="1">
      <c r="A72" s="704">
        <v>7.1</v>
      </c>
      <c r="B72" s="705" t="s">
        <v>1528</v>
      </c>
      <c r="C72" s="706" t="s">
        <v>4</v>
      </c>
      <c r="D72" s="707">
        <v>41944.6</v>
      </c>
      <c r="E72" s="664"/>
      <c r="F72" s="665"/>
    </row>
    <row r="73" spans="1:6" ht="20.100000000000001" customHeight="1">
      <c r="A73" s="708">
        <v>8</v>
      </c>
      <c r="B73" s="709" t="s">
        <v>21</v>
      </c>
      <c r="C73" s="706"/>
      <c r="D73" s="707"/>
      <c r="E73" s="664"/>
      <c r="F73" s="665"/>
    </row>
    <row r="74" spans="1:6" ht="20.100000000000001" customHeight="1">
      <c r="A74" s="704">
        <v>8.1</v>
      </c>
      <c r="B74" s="705" t="s">
        <v>25</v>
      </c>
      <c r="C74" s="706" t="s">
        <v>10</v>
      </c>
      <c r="D74" s="707">
        <v>182</v>
      </c>
      <c r="E74" s="664"/>
      <c r="F74" s="665"/>
    </row>
    <row r="75" spans="1:6" ht="20.100000000000001" customHeight="1">
      <c r="A75" s="708">
        <v>9</v>
      </c>
      <c r="B75" s="709" t="s">
        <v>26</v>
      </c>
      <c r="C75" s="706"/>
      <c r="D75" s="707"/>
      <c r="E75" s="664"/>
      <c r="F75" s="665"/>
    </row>
    <row r="76" spans="1:6" ht="20.100000000000001" customHeight="1">
      <c r="A76" s="704">
        <v>9.1</v>
      </c>
      <c r="B76" s="705" t="s">
        <v>27</v>
      </c>
      <c r="C76" s="706" t="s">
        <v>10</v>
      </c>
      <c r="D76" s="707">
        <v>7942</v>
      </c>
      <c r="E76" s="664"/>
      <c r="F76" s="665"/>
    </row>
    <row r="77" spans="1:6" ht="20.100000000000001" customHeight="1">
      <c r="A77" s="708">
        <v>10</v>
      </c>
      <c r="B77" s="709" t="s">
        <v>1233</v>
      </c>
      <c r="C77" s="706"/>
      <c r="D77" s="707"/>
      <c r="E77" s="664"/>
      <c r="F77" s="665"/>
    </row>
    <row r="78" spans="1:6" ht="30" customHeight="1">
      <c r="A78" s="704">
        <v>10.1</v>
      </c>
      <c r="B78" s="715" t="s">
        <v>1517</v>
      </c>
      <c r="C78" s="706" t="s">
        <v>10</v>
      </c>
      <c r="D78" s="707">
        <v>17</v>
      </c>
      <c r="E78" s="664"/>
      <c r="F78" s="665"/>
    </row>
    <row r="79" spans="1:6" ht="20.100000000000001" customHeight="1">
      <c r="A79" s="708">
        <v>11</v>
      </c>
      <c r="B79" s="709" t="s">
        <v>28</v>
      </c>
      <c r="C79" s="706"/>
      <c r="D79" s="707"/>
      <c r="E79" s="664"/>
      <c r="F79" s="665"/>
    </row>
    <row r="80" spans="1:6" ht="154.5" customHeight="1">
      <c r="A80" s="716">
        <v>11.1</v>
      </c>
      <c r="B80" s="715" t="s">
        <v>1583</v>
      </c>
      <c r="C80" s="706" t="s">
        <v>10</v>
      </c>
      <c r="D80" s="707">
        <v>7942</v>
      </c>
      <c r="E80" s="664"/>
      <c r="F80" s="665"/>
    </row>
    <row r="81" spans="1:6" ht="33" customHeight="1">
      <c r="A81" s="704">
        <v>11.3</v>
      </c>
      <c r="B81" s="715" t="s">
        <v>302</v>
      </c>
      <c r="C81" s="706" t="s">
        <v>10</v>
      </c>
      <c r="D81" s="707">
        <v>16</v>
      </c>
      <c r="E81" s="664"/>
      <c r="F81" s="665"/>
    </row>
    <row r="82" spans="1:6" ht="33.75" customHeight="1">
      <c r="A82" s="704">
        <v>11.4</v>
      </c>
      <c r="B82" s="715" t="s">
        <v>582</v>
      </c>
      <c r="C82" s="706" t="s">
        <v>10</v>
      </c>
      <c r="D82" s="707">
        <v>6</v>
      </c>
      <c r="E82" s="664"/>
      <c r="F82" s="665"/>
    </row>
    <row r="83" spans="1:6" s="711" customFormat="1" ht="20.100000000000001" customHeight="1">
      <c r="A83" s="708">
        <v>12</v>
      </c>
      <c r="B83" s="709" t="s">
        <v>142</v>
      </c>
      <c r="C83" s="710"/>
      <c r="D83" s="707"/>
      <c r="E83" s="666"/>
      <c r="F83" s="668"/>
    </row>
    <row r="84" spans="1:6" ht="35.25" customHeight="1">
      <c r="A84" s="704"/>
      <c r="B84" s="709" t="s">
        <v>1511</v>
      </c>
      <c r="C84" s="706"/>
      <c r="D84" s="707"/>
      <c r="E84" s="664"/>
      <c r="F84" s="665"/>
    </row>
    <row r="85" spans="1:6" ht="30.75" customHeight="1">
      <c r="A85" s="704">
        <v>12.1</v>
      </c>
      <c r="B85" s="712" t="s">
        <v>54</v>
      </c>
      <c r="C85" s="706" t="s">
        <v>10</v>
      </c>
      <c r="D85" s="707">
        <v>19</v>
      </c>
      <c r="E85" s="667"/>
      <c r="F85" s="665"/>
    </row>
    <row r="86" spans="1:6" ht="20.100000000000001" customHeight="1">
      <c r="A86" s="704">
        <v>12.2</v>
      </c>
      <c r="B86" s="717" t="s">
        <v>1509</v>
      </c>
      <c r="C86" s="706" t="s">
        <v>10</v>
      </c>
      <c r="D86" s="707">
        <v>19</v>
      </c>
      <c r="E86" s="667"/>
      <c r="F86" s="665"/>
    </row>
    <row r="87" spans="1:6" ht="20.100000000000001" customHeight="1">
      <c r="A87" s="704">
        <v>12.3</v>
      </c>
      <c r="B87" s="717" t="s">
        <v>56</v>
      </c>
      <c r="C87" s="706" t="s">
        <v>10</v>
      </c>
      <c r="D87" s="707">
        <v>19</v>
      </c>
      <c r="E87" s="667"/>
      <c r="F87" s="665"/>
    </row>
    <row r="88" spans="1:6" ht="20.100000000000001" customHeight="1">
      <c r="A88" s="704">
        <v>12.4</v>
      </c>
      <c r="B88" s="717" t="s">
        <v>57</v>
      </c>
      <c r="C88" s="706" t="s">
        <v>10</v>
      </c>
      <c r="D88" s="707">
        <v>10</v>
      </c>
      <c r="E88" s="667"/>
      <c r="F88" s="665"/>
    </row>
    <row r="89" spans="1:6" ht="20.100000000000001" customHeight="1">
      <c r="A89" s="704">
        <v>12.5</v>
      </c>
      <c r="B89" s="717" t="s">
        <v>58</v>
      </c>
      <c r="C89" s="706" t="s">
        <v>10</v>
      </c>
      <c r="D89" s="707">
        <v>11</v>
      </c>
      <c r="E89" s="667"/>
      <c r="F89" s="665"/>
    </row>
    <row r="90" spans="1:6" ht="20.100000000000001" customHeight="1">
      <c r="A90" s="704">
        <v>12.6</v>
      </c>
      <c r="B90" s="717" t="s">
        <v>198</v>
      </c>
      <c r="C90" s="706" t="s">
        <v>10</v>
      </c>
      <c r="D90" s="707">
        <v>19</v>
      </c>
      <c r="E90" s="667"/>
      <c r="F90" s="665"/>
    </row>
    <row r="91" spans="1:6" ht="20.100000000000001" customHeight="1">
      <c r="A91" s="704">
        <v>12.7</v>
      </c>
      <c r="B91" s="717" t="s">
        <v>59</v>
      </c>
      <c r="C91" s="706" t="s">
        <v>10</v>
      </c>
      <c r="D91" s="707">
        <v>19</v>
      </c>
      <c r="E91" s="667"/>
      <c r="F91" s="665"/>
    </row>
    <row r="92" spans="1:6" ht="20.100000000000001" customHeight="1">
      <c r="A92" s="704">
        <v>12.8</v>
      </c>
      <c r="B92" s="717" t="s">
        <v>60</v>
      </c>
      <c r="C92" s="706" t="s">
        <v>10</v>
      </c>
      <c r="D92" s="707">
        <v>19</v>
      </c>
      <c r="E92" s="664"/>
      <c r="F92" s="665"/>
    </row>
    <row r="93" spans="1:6" ht="20.100000000000001" customHeight="1">
      <c r="A93" s="704">
        <v>12.9</v>
      </c>
      <c r="B93" s="717" t="s">
        <v>61</v>
      </c>
      <c r="C93" s="706" t="s">
        <v>67</v>
      </c>
      <c r="D93" s="707">
        <v>14.5</v>
      </c>
      <c r="E93" s="664"/>
      <c r="F93" s="665"/>
    </row>
    <row r="94" spans="1:6" ht="20.100000000000001" customHeight="1">
      <c r="A94" s="714">
        <v>12.1</v>
      </c>
      <c r="B94" s="717" t="s">
        <v>62</v>
      </c>
      <c r="C94" s="706" t="s">
        <v>10</v>
      </c>
      <c r="D94" s="707">
        <v>19</v>
      </c>
      <c r="E94" s="664"/>
      <c r="F94" s="665"/>
    </row>
    <row r="95" spans="1:6" ht="20.100000000000001" customHeight="1">
      <c r="A95" s="714">
        <v>12.11</v>
      </c>
      <c r="B95" s="717" t="s">
        <v>63</v>
      </c>
      <c r="C95" s="706" t="s">
        <v>2</v>
      </c>
      <c r="D95" s="707">
        <v>2.62</v>
      </c>
      <c r="E95" s="664"/>
      <c r="F95" s="665"/>
    </row>
    <row r="96" spans="1:6" ht="20.100000000000001" customHeight="1">
      <c r="A96" s="704">
        <v>12.12</v>
      </c>
      <c r="B96" s="705" t="s">
        <v>64</v>
      </c>
      <c r="C96" s="706" t="s">
        <v>10</v>
      </c>
      <c r="D96" s="707">
        <v>10</v>
      </c>
      <c r="E96" s="664"/>
      <c r="F96" s="665"/>
    </row>
    <row r="97" spans="1:6" ht="20.100000000000001" customHeight="1">
      <c r="A97" s="708">
        <v>13</v>
      </c>
      <c r="B97" s="709" t="s">
        <v>1510</v>
      </c>
      <c r="C97" s="706"/>
      <c r="D97" s="707"/>
      <c r="E97" s="669"/>
      <c r="F97" s="665"/>
    </row>
    <row r="98" spans="1:6" ht="20.100000000000001" customHeight="1">
      <c r="A98" s="704">
        <v>13.1</v>
      </c>
      <c r="B98" s="705" t="s">
        <v>1512</v>
      </c>
      <c r="C98" s="706" t="s">
        <v>10</v>
      </c>
      <c r="D98" s="707">
        <v>10</v>
      </c>
      <c r="E98" s="669"/>
      <c r="F98" s="665"/>
    </row>
    <row r="99" spans="1:6" ht="20.100000000000001" customHeight="1">
      <c r="A99" s="704">
        <v>13.2</v>
      </c>
      <c r="B99" s="705" t="s">
        <v>14</v>
      </c>
      <c r="C99" s="706" t="s">
        <v>67</v>
      </c>
      <c r="D99" s="707">
        <v>19</v>
      </c>
      <c r="E99" s="669"/>
      <c r="F99" s="665"/>
    </row>
    <row r="100" spans="1:6" s="719" customFormat="1" ht="20.100000000000001" customHeight="1">
      <c r="A100" s="718" t="s">
        <v>1521</v>
      </c>
      <c r="B100" s="718"/>
      <c r="C100" s="718"/>
      <c r="D100" s="718"/>
      <c r="E100" s="718"/>
      <c r="F100" s="670"/>
    </row>
    <row r="101" spans="1:6" s="719" customFormat="1" ht="20.100000000000001" customHeight="1">
      <c r="A101" s="720"/>
      <c r="B101" s="721"/>
      <c r="C101" s="721"/>
      <c r="D101" s="721"/>
      <c r="E101" s="721"/>
      <c r="F101" s="722"/>
    </row>
    <row r="102" spans="1:6" s="724" customFormat="1" ht="20.100000000000001" customHeight="1">
      <c r="A102" s="723" t="s">
        <v>226</v>
      </c>
      <c r="B102" s="723"/>
      <c r="C102" s="723"/>
      <c r="D102" s="723"/>
      <c r="E102" s="723"/>
      <c r="F102" s="723"/>
    </row>
    <row r="103" spans="1:6" s="724" customFormat="1" ht="20.100000000000001" customHeight="1">
      <c r="A103" s="725" t="s">
        <v>1503</v>
      </c>
      <c r="B103" s="725" t="s">
        <v>7</v>
      </c>
      <c r="C103" s="725" t="s">
        <v>5</v>
      </c>
      <c r="D103" s="726" t="s">
        <v>6</v>
      </c>
      <c r="E103" s="727" t="s">
        <v>3</v>
      </c>
      <c r="F103" s="728" t="s">
        <v>465</v>
      </c>
    </row>
    <row r="104" spans="1:6" s="724" customFormat="1" ht="20.100000000000001" customHeight="1">
      <c r="A104" s="725"/>
      <c r="B104" s="725"/>
      <c r="C104" s="725"/>
      <c r="D104" s="726"/>
      <c r="E104" s="727"/>
      <c r="F104" s="728"/>
    </row>
    <row r="105" spans="1:6" ht="20.100000000000001" customHeight="1">
      <c r="A105" s="708">
        <v>1</v>
      </c>
      <c r="B105" s="709" t="s">
        <v>29</v>
      </c>
      <c r="C105" s="706"/>
      <c r="D105" s="729"/>
      <c r="E105" s="664"/>
      <c r="F105" s="671"/>
    </row>
    <row r="106" spans="1:6" ht="20.100000000000001" customHeight="1">
      <c r="A106" s="704">
        <v>1.2</v>
      </c>
      <c r="B106" s="705" t="s">
        <v>146</v>
      </c>
      <c r="C106" s="706" t="s">
        <v>67</v>
      </c>
      <c r="D106" s="707">
        <v>7335.73</v>
      </c>
      <c r="E106" s="664"/>
      <c r="F106" s="665"/>
    </row>
    <row r="107" spans="1:6" ht="20.100000000000001" customHeight="1">
      <c r="A107" s="704">
        <v>1.3</v>
      </c>
      <c r="B107" s="705" t="s">
        <v>177</v>
      </c>
      <c r="C107" s="706" t="s">
        <v>67</v>
      </c>
      <c r="D107" s="707">
        <v>19666.86</v>
      </c>
      <c r="E107" s="664"/>
      <c r="F107" s="665"/>
    </row>
    <row r="108" spans="1:6" ht="20.100000000000001" customHeight="1">
      <c r="A108" s="704">
        <v>1.4</v>
      </c>
      <c r="B108" s="705" t="s">
        <v>144</v>
      </c>
      <c r="C108" s="706" t="s">
        <v>67</v>
      </c>
      <c r="D108" s="707">
        <v>20559.11</v>
      </c>
      <c r="E108" s="664"/>
      <c r="F108" s="665"/>
    </row>
    <row r="109" spans="1:6" ht="20.100000000000001" customHeight="1">
      <c r="A109" s="704">
        <v>1.5</v>
      </c>
      <c r="B109" s="705" t="s">
        <v>212</v>
      </c>
      <c r="C109" s="706" t="s">
        <v>67</v>
      </c>
      <c r="D109" s="707">
        <v>7094.07</v>
      </c>
      <c r="E109" s="664"/>
      <c r="F109" s="665"/>
    </row>
    <row r="110" spans="1:6" ht="20.100000000000001" customHeight="1">
      <c r="A110" s="708">
        <v>2</v>
      </c>
      <c r="B110" s="709" t="s">
        <v>12</v>
      </c>
      <c r="C110" s="706"/>
      <c r="D110" s="707"/>
      <c r="E110" s="664"/>
      <c r="F110" s="665"/>
    </row>
    <row r="111" spans="1:6" ht="20.100000000000001" customHeight="1">
      <c r="A111" s="704">
        <v>2.1</v>
      </c>
      <c r="B111" s="705" t="s">
        <v>1513</v>
      </c>
      <c r="C111" s="706" t="s">
        <v>4</v>
      </c>
      <c r="D111" s="707">
        <v>41944.6</v>
      </c>
      <c r="E111" s="669"/>
      <c r="F111" s="665"/>
    </row>
    <row r="112" spans="1:6" s="711" customFormat="1" ht="20.100000000000001" customHeight="1">
      <c r="A112" s="708">
        <v>3</v>
      </c>
      <c r="B112" s="709" t="s">
        <v>31</v>
      </c>
      <c r="C112" s="710"/>
      <c r="D112" s="730"/>
      <c r="E112" s="666"/>
      <c r="F112" s="665"/>
    </row>
    <row r="113" spans="1:6" ht="27" customHeight="1">
      <c r="A113" s="704">
        <v>3.2</v>
      </c>
      <c r="B113" s="705" t="s">
        <v>509</v>
      </c>
      <c r="C113" s="706" t="s">
        <v>10</v>
      </c>
      <c r="D113" s="707">
        <f>+D27</f>
        <v>34</v>
      </c>
      <c r="E113" s="664"/>
      <c r="F113" s="665"/>
    </row>
    <row r="114" spans="1:6" ht="29.25" customHeight="1">
      <c r="A114" s="704">
        <v>3.3</v>
      </c>
      <c r="B114" s="705" t="s">
        <v>510</v>
      </c>
      <c r="C114" s="706" t="s">
        <v>10</v>
      </c>
      <c r="D114" s="707">
        <f>+D28</f>
        <v>40</v>
      </c>
      <c r="E114" s="664"/>
      <c r="F114" s="665"/>
    </row>
    <row r="115" spans="1:6" ht="28.5" customHeight="1">
      <c r="A115" s="704">
        <v>3.4</v>
      </c>
      <c r="B115" s="705" t="s">
        <v>511</v>
      </c>
      <c r="C115" s="706" t="s">
        <v>10</v>
      </c>
      <c r="D115" s="707">
        <f>+D29</f>
        <v>108</v>
      </c>
      <c r="E115" s="664"/>
      <c r="F115" s="665"/>
    </row>
    <row r="116" spans="1:6" ht="29.25" customHeight="1">
      <c r="A116" s="704">
        <v>3.5</v>
      </c>
      <c r="B116" s="705" t="s">
        <v>518</v>
      </c>
      <c r="C116" s="706" t="s">
        <v>10</v>
      </c>
      <c r="D116" s="707">
        <v>3</v>
      </c>
      <c r="E116" s="664"/>
      <c r="F116" s="665"/>
    </row>
    <row r="117" spans="1:6" ht="20.100000000000001" customHeight="1">
      <c r="A117" s="714">
        <v>3.1</v>
      </c>
      <c r="B117" s="705" t="s">
        <v>32</v>
      </c>
      <c r="C117" s="706" t="s">
        <v>10</v>
      </c>
      <c r="D117" s="707">
        <v>14</v>
      </c>
      <c r="E117" s="669"/>
      <c r="F117" s="665"/>
    </row>
    <row r="118" spans="1:6" ht="20.100000000000001" customHeight="1">
      <c r="A118" s="704">
        <v>3.11</v>
      </c>
      <c r="B118" s="705" t="s">
        <v>33</v>
      </c>
      <c r="C118" s="706" t="s">
        <v>10</v>
      </c>
      <c r="D118" s="707">
        <v>8</v>
      </c>
      <c r="E118" s="669"/>
      <c r="F118" s="665"/>
    </row>
    <row r="119" spans="1:6" ht="20.100000000000001" customHeight="1">
      <c r="A119" s="704">
        <v>3.12</v>
      </c>
      <c r="B119" s="705" t="s">
        <v>36</v>
      </c>
      <c r="C119" s="706" t="s">
        <v>10</v>
      </c>
      <c r="D119" s="707">
        <v>33</v>
      </c>
      <c r="E119" s="669"/>
      <c r="F119" s="665"/>
    </row>
    <row r="120" spans="1:6" ht="20.100000000000001" customHeight="1">
      <c r="A120" s="704">
        <v>3.13</v>
      </c>
      <c r="B120" s="705" t="s">
        <v>40</v>
      </c>
      <c r="C120" s="706" t="s">
        <v>10</v>
      </c>
      <c r="D120" s="707">
        <v>21</v>
      </c>
      <c r="E120" s="669"/>
      <c r="F120" s="665"/>
    </row>
    <row r="121" spans="1:6" ht="20.100000000000001" customHeight="1">
      <c r="A121" s="704">
        <v>3.14</v>
      </c>
      <c r="B121" s="705" t="s">
        <v>281</v>
      </c>
      <c r="C121" s="706" t="s">
        <v>10</v>
      </c>
      <c r="D121" s="707">
        <v>35</v>
      </c>
      <c r="E121" s="669"/>
      <c r="F121" s="665"/>
    </row>
    <row r="122" spans="1:6" ht="20.100000000000001" customHeight="1">
      <c r="A122" s="704">
        <v>3.15</v>
      </c>
      <c r="B122" s="705" t="s">
        <v>34</v>
      </c>
      <c r="C122" s="706" t="s">
        <v>10</v>
      </c>
      <c r="D122" s="707">
        <v>78</v>
      </c>
      <c r="E122" s="669"/>
      <c r="F122" s="665"/>
    </row>
    <row r="123" spans="1:6" ht="20.100000000000001" customHeight="1">
      <c r="A123" s="704">
        <v>3.16</v>
      </c>
      <c r="B123" s="705" t="s">
        <v>37</v>
      </c>
      <c r="C123" s="706" t="s">
        <v>10</v>
      </c>
      <c r="D123" s="707">
        <v>98</v>
      </c>
      <c r="E123" s="669"/>
      <c r="F123" s="665"/>
    </row>
    <row r="124" spans="1:6" ht="20.100000000000001" customHeight="1">
      <c r="A124" s="704">
        <v>3.17</v>
      </c>
      <c r="B124" s="705" t="s">
        <v>30</v>
      </c>
      <c r="C124" s="706" t="s">
        <v>10</v>
      </c>
      <c r="D124" s="707">
        <v>58</v>
      </c>
      <c r="E124" s="669"/>
      <c r="F124" s="665"/>
    </row>
    <row r="125" spans="1:6" ht="20.100000000000001" customHeight="1">
      <c r="A125" s="704">
        <v>3.18</v>
      </c>
      <c r="B125" s="705" t="s">
        <v>150</v>
      </c>
      <c r="C125" s="706" t="s">
        <v>10</v>
      </c>
      <c r="D125" s="707">
        <v>87</v>
      </c>
      <c r="E125" s="667"/>
      <c r="F125" s="665"/>
    </row>
    <row r="126" spans="1:6" ht="20.100000000000001" customHeight="1">
      <c r="A126" s="704">
        <v>3.19</v>
      </c>
      <c r="B126" s="705" t="s">
        <v>35</v>
      </c>
      <c r="C126" s="706" t="s">
        <v>10</v>
      </c>
      <c r="D126" s="707">
        <v>58</v>
      </c>
      <c r="E126" s="667"/>
      <c r="F126" s="665"/>
    </row>
    <row r="127" spans="1:6" ht="20.100000000000001" customHeight="1">
      <c r="A127" s="714">
        <v>3.2</v>
      </c>
      <c r="B127" s="705" t="s">
        <v>38</v>
      </c>
      <c r="C127" s="706" t="s">
        <v>10</v>
      </c>
      <c r="D127" s="707">
        <v>98</v>
      </c>
      <c r="E127" s="667"/>
      <c r="F127" s="665"/>
    </row>
    <row r="128" spans="1:6" ht="20.100000000000001" customHeight="1">
      <c r="A128" s="704">
        <v>3.21</v>
      </c>
      <c r="B128" s="705" t="s">
        <v>41</v>
      </c>
      <c r="C128" s="706" t="s">
        <v>10</v>
      </c>
      <c r="D128" s="707">
        <v>74</v>
      </c>
      <c r="E128" s="667"/>
      <c r="F128" s="665"/>
    </row>
    <row r="129" spans="1:6" ht="20.100000000000001" customHeight="1">
      <c r="A129" s="704">
        <v>3.22</v>
      </c>
      <c r="B129" s="705" t="s">
        <v>213</v>
      </c>
      <c r="C129" s="706" t="s">
        <v>10</v>
      </c>
      <c r="D129" s="707">
        <v>37</v>
      </c>
      <c r="E129" s="667"/>
      <c r="F129" s="665"/>
    </row>
    <row r="130" spans="1:6" ht="20.100000000000001" customHeight="1">
      <c r="A130" s="704">
        <v>3.23</v>
      </c>
      <c r="B130" s="705" t="s">
        <v>214</v>
      </c>
      <c r="C130" s="706" t="s">
        <v>10</v>
      </c>
      <c r="D130" s="707">
        <v>50</v>
      </c>
      <c r="E130" s="667"/>
      <c r="F130" s="665"/>
    </row>
    <row r="131" spans="1:6" ht="20.100000000000001" customHeight="1">
      <c r="A131" s="704">
        <v>3.24</v>
      </c>
      <c r="B131" s="705" t="s">
        <v>215</v>
      </c>
      <c r="C131" s="706" t="s">
        <v>10</v>
      </c>
      <c r="D131" s="707">
        <v>59</v>
      </c>
      <c r="E131" s="667"/>
      <c r="F131" s="665"/>
    </row>
    <row r="132" spans="1:6" ht="20.100000000000001" customHeight="1">
      <c r="A132" s="704">
        <v>3.25</v>
      </c>
      <c r="B132" s="705" t="s">
        <v>216</v>
      </c>
      <c r="C132" s="706" t="s">
        <v>10</v>
      </c>
      <c r="D132" s="707">
        <v>28</v>
      </c>
      <c r="E132" s="667"/>
      <c r="F132" s="665"/>
    </row>
    <row r="133" spans="1:6" ht="20.100000000000001" customHeight="1">
      <c r="A133" s="704">
        <v>3.27</v>
      </c>
      <c r="B133" s="705" t="s">
        <v>44</v>
      </c>
      <c r="C133" s="706" t="s">
        <v>10</v>
      </c>
      <c r="D133" s="707">
        <v>27</v>
      </c>
      <c r="E133" s="667"/>
      <c r="F133" s="665"/>
    </row>
    <row r="134" spans="1:6" ht="20.100000000000001" customHeight="1">
      <c r="A134" s="704">
        <v>3.28</v>
      </c>
      <c r="B134" s="705" t="s">
        <v>43</v>
      </c>
      <c r="C134" s="706" t="s">
        <v>10</v>
      </c>
      <c r="D134" s="707">
        <v>14</v>
      </c>
      <c r="E134" s="667"/>
      <c r="F134" s="665"/>
    </row>
    <row r="135" spans="1:6" ht="20.100000000000001" customHeight="1">
      <c r="A135" s="704">
        <v>3.29</v>
      </c>
      <c r="B135" s="705" t="s">
        <v>42</v>
      </c>
      <c r="C135" s="706" t="s">
        <v>10</v>
      </c>
      <c r="D135" s="707">
        <v>46</v>
      </c>
      <c r="E135" s="667"/>
      <c r="F135" s="665"/>
    </row>
    <row r="136" spans="1:6" ht="20.100000000000001" customHeight="1">
      <c r="A136" s="714">
        <v>3.3</v>
      </c>
      <c r="B136" s="705" t="s">
        <v>65</v>
      </c>
      <c r="C136" s="706" t="s">
        <v>10</v>
      </c>
      <c r="D136" s="707">
        <v>163</v>
      </c>
      <c r="E136" s="667"/>
      <c r="F136" s="665"/>
    </row>
    <row r="137" spans="1:6" ht="20.100000000000001" customHeight="1">
      <c r="A137" s="704">
        <v>3.32</v>
      </c>
      <c r="B137" s="705" t="s">
        <v>156</v>
      </c>
      <c r="C137" s="706" t="s">
        <v>10</v>
      </c>
      <c r="D137" s="707">
        <v>11</v>
      </c>
      <c r="E137" s="667"/>
      <c r="F137" s="665"/>
    </row>
    <row r="138" spans="1:6" ht="20.100000000000001" customHeight="1">
      <c r="A138" s="704">
        <v>3.33</v>
      </c>
      <c r="B138" s="705" t="s">
        <v>209</v>
      </c>
      <c r="C138" s="706" t="s">
        <v>10</v>
      </c>
      <c r="D138" s="707">
        <v>21</v>
      </c>
      <c r="E138" s="667"/>
      <c r="F138" s="665"/>
    </row>
    <row r="139" spans="1:6" ht="20.100000000000001" customHeight="1">
      <c r="A139" s="704">
        <v>3.34</v>
      </c>
      <c r="B139" s="705" t="s">
        <v>1107</v>
      </c>
      <c r="C139" s="706" t="s">
        <v>10</v>
      </c>
      <c r="D139" s="707">
        <v>17</v>
      </c>
      <c r="E139" s="665"/>
      <c r="F139" s="665"/>
    </row>
    <row r="140" spans="1:6" ht="20.100000000000001" customHeight="1">
      <c r="A140" s="704">
        <v>3.35</v>
      </c>
      <c r="B140" s="705" t="s">
        <v>1579</v>
      </c>
      <c r="C140" s="706" t="s">
        <v>10</v>
      </c>
      <c r="D140" s="707">
        <v>3</v>
      </c>
      <c r="E140" s="665"/>
      <c r="F140" s="665"/>
    </row>
    <row r="141" spans="1:6" ht="20.100000000000001" customHeight="1">
      <c r="A141" s="704">
        <v>3.36</v>
      </c>
      <c r="B141" s="705" t="s">
        <v>178</v>
      </c>
      <c r="C141" s="706" t="s">
        <v>10</v>
      </c>
      <c r="D141" s="707">
        <v>93</v>
      </c>
      <c r="E141" s="667"/>
      <c r="F141" s="665"/>
    </row>
    <row r="142" spans="1:6" ht="20.100000000000001" customHeight="1">
      <c r="A142" s="704">
        <v>3.37</v>
      </c>
      <c r="B142" s="705" t="s">
        <v>205</v>
      </c>
      <c r="C142" s="706" t="s">
        <v>10</v>
      </c>
      <c r="D142" s="707">
        <v>76</v>
      </c>
      <c r="E142" s="667"/>
      <c r="F142" s="665"/>
    </row>
    <row r="143" spans="1:6" ht="20.100000000000001" customHeight="1">
      <c r="A143" s="704">
        <v>3.38</v>
      </c>
      <c r="B143" s="705" t="s">
        <v>206</v>
      </c>
      <c r="C143" s="706" t="s">
        <v>10</v>
      </c>
      <c r="D143" s="707">
        <v>44</v>
      </c>
      <c r="E143" s="667"/>
      <c r="F143" s="665"/>
    </row>
    <row r="144" spans="1:6" ht="20.100000000000001" customHeight="1">
      <c r="A144" s="704">
        <v>3.39</v>
      </c>
      <c r="B144" s="705" t="s">
        <v>157</v>
      </c>
      <c r="C144" s="706" t="s">
        <v>10</v>
      </c>
      <c r="D144" s="707">
        <v>90</v>
      </c>
      <c r="E144" s="667"/>
      <c r="F144" s="665"/>
    </row>
    <row r="145" spans="1:6" ht="20.100000000000001" customHeight="1">
      <c r="A145" s="704">
        <v>3.4</v>
      </c>
      <c r="B145" s="705" t="s">
        <v>208</v>
      </c>
      <c r="C145" s="706" t="s">
        <v>10</v>
      </c>
      <c r="D145" s="707">
        <v>4</v>
      </c>
      <c r="E145" s="667"/>
      <c r="F145" s="665"/>
    </row>
    <row r="146" spans="1:6" ht="20.100000000000001" customHeight="1">
      <c r="A146" s="704">
        <v>3.41</v>
      </c>
      <c r="B146" s="705" t="s">
        <v>207</v>
      </c>
      <c r="C146" s="706" t="s">
        <v>10</v>
      </c>
      <c r="D146" s="707">
        <v>15</v>
      </c>
      <c r="E146" s="667"/>
      <c r="F146" s="665"/>
    </row>
    <row r="147" spans="1:6" ht="20.100000000000001" customHeight="1">
      <c r="A147" s="704">
        <v>3.42</v>
      </c>
      <c r="B147" s="705" t="s">
        <v>221</v>
      </c>
      <c r="C147" s="706" t="s">
        <v>10</v>
      </c>
      <c r="D147" s="707">
        <v>221</v>
      </c>
      <c r="E147" s="669"/>
      <c r="F147" s="665"/>
    </row>
    <row r="148" spans="1:6" ht="20.100000000000001" customHeight="1">
      <c r="A148" s="704">
        <v>3.43</v>
      </c>
      <c r="B148" s="705" t="s">
        <v>222</v>
      </c>
      <c r="C148" s="706" t="s">
        <v>10</v>
      </c>
      <c r="D148" s="707">
        <v>591</v>
      </c>
      <c r="E148" s="669"/>
      <c r="F148" s="665"/>
    </row>
    <row r="149" spans="1:6" ht="20.100000000000001" customHeight="1">
      <c r="A149" s="704">
        <v>3.44</v>
      </c>
      <c r="B149" s="705" t="s">
        <v>223</v>
      </c>
      <c r="C149" s="706" t="s">
        <v>10</v>
      </c>
      <c r="D149" s="707">
        <v>619</v>
      </c>
      <c r="E149" s="669"/>
      <c r="F149" s="665"/>
    </row>
    <row r="150" spans="1:6" ht="20.100000000000001" customHeight="1">
      <c r="A150" s="704">
        <v>3.45</v>
      </c>
      <c r="B150" s="705" t="s">
        <v>224</v>
      </c>
      <c r="C150" s="706" t="s">
        <v>10</v>
      </c>
      <c r="D150" s="707">
        <v>212</v>
      </c>
      <c r="E150" s="669"/>
      <c r="F150" s="665"/>
    </row>
    <row r="151" spans="1:6" ht="20.100000000000001" customHeight="1">
      <c r="A151" s="704">
        <v>3.46</v>
      </c>
      <c r="B151" s="705" t="s">
        <v>279</v>
      </c>
      <c r="C151" s="706" t="s">
        <v>10</v>
      </c>
      <c r="D151" s="707">
        <v>170</v>
      </c>
      <c r="E151" s="669"/>
      <c r="F151" s="665"/>
    </row>
    <row r="152" spans="1:6" ht="20.100000000000001" customHeight="1">
      <c r="A152" s="704">
        <v>3.47</v>
      </c>
      <c r="B152" s="705" t="s">
        <v>280</v>
      </c>
      <c r="C152" s="706" t="s">
        <v>10</v>
      </c>
      <c r="D152" s="707">
        <v>52</v>
      </c>
      <c r="E152" s="669"/>
      <c r="F152" s="665"/>
    </row>
    <row r="153" spans="1:6" ht="20.100000000000001" customHeight="1">
      <c r="A153" s="704">
        <v>3.48</v>
      </c>
      <c r="B153" s="705" t="s">
        <v>47</v>
      </c>
      <c r="C153" s="706" t="s">
        <v>10</v>
      </c>
      <c r="D153" s="707">
        <v>14</v>
      </c>
      <c r="E153" s="669"/>
      <c r="F153" s="665"/>
    </row>
    <row r="154" spans="1:6" ht="20.100000000000001" customHeight="1">
      <c r="A154" s="704">
        <v>3.49</v>
      </c>
      <c r="B154" s="705" t="s">
        <v>48</v>
      </c>
      <c r="C154" s="706" t="s">
        <v>10</v>
      </c>
      <c r="D154" s="707">
        <v>24</v>
      </c>
      <c r="E154" s="669"/>
      <c r="F154" s="665"/>
    </row>
    <row r="155" spans="1:6" ht="20.100000000000001" customHeight="1">
      <c r="A155" s="714">
        <v>3.5</v>
      </c>
      <c r="B155" s="705" t="s">
        <v>49</v>
      </c>
      <c r="C155" s="706" t="s">
        <v>10</v>
      </c>
      <c r="D155" s="707">
        <v>40</v>
      </c>
      <c r="E155" s="669"/>
      <c r="F155" s="665"/>
    </row>
    <row r="156" spans="1:6" ht="20.100000000000001" customHeight="1">
      <c r="A156" s="708">
        <v>4</v>
      </c>
      <c r="B156" s="709" t="s">
        <v>731</v>
      </c>
      <c r="C156" s="706"/>
      <c r="D156" s="707"/>
      <c r="E156" s="669"/>
      <c r="F156" s="665"/>
    </row>
    <row r="157" spans="1:6" ht="20.100000000000001" customHeight="1">
      <c r="A157" s="704">
        <v>4.0999999999999996</v>
      </c>
      <c r="B157" s="705" t="s">
        <v>1108</v>
      </c>
      <c r="C157" s="706" t="s">
        <v>10</v>
      </c>
      <c r="D157" s="707">
        <v>17</v>
      </c>
      <c r="E157" s="665"/>
      <c r="F157" s="665"/>
    </row>
    <row r="158" spans="1:6" ht="20.100000000000001" customHeight="1">
      <c r="A158" s="704">
        <v>4.2</v>
      </c>
      <c r="B158" s="705" t="s">
        <v>1109</v>
      </c>
      <c r="C158" s="706" t="s">
        <v>10</v>
      </c>
      <c r="D158" s="707">
        <v>17</v>
      </c>
      <c r="E158" s="665"/>
      <c r="F158" s="665"/>
    </row>
    <row r="159" spans="1:6" ht="20.100000000000001" customHeight="1">
      <c r="A159" s="704">
        <v>4.3</v>
      </c>
      <c r="B159" s="705" t="s">
        <v>1523</v>
      </c>
      <c r="C159" s="706" t="s">
        <v>10</v>
      </c>
      <c r="D159" s="707">
        <v>17</v>
      </c>
      <c r="E159" s="665"/>
      <c r="F159" s="665"/>
    </row>
    <row r="160" spans="1:6" ht="20.100000000000001" customHeight="1">
      <c r="A160" s="704">
        <v>4.4000000000000004</v>
      </c>
      <c r="B160" s="705" t="s">
        <v>1111</v>
      </c>
      <c r="C160" s="706" t="s">
        <v>10</v>
      </c>
      <c r="D160" s="707">
        <v>17</v>
      </c>
      <c r="E160" s="665"/>
      <c r="F160" s="665"/>
    </row>
    <row r="161" spans="1:6" ht="20.100000000000001" customHeight="1">
      <c r="A161" s="704">
        <v>4.5</v>
      </c>
      <c r="B161" s="705" t="s">
        <v>1112</v>
      </c>
      <c r="C161" s="706" t="s">
        <v>10</v>
      </c>
      <c r="D161" s="707">
        <v>17</v>
      </c>
      <c r="E161" s="665"/>
      <c r="F161" s="665"/>
    </row>
    <row r="162" spans="1:6" ht="20.100000000000001" customHeight="1">
      <c r="A162" s="704">
        <v>4.5999999999999996</v>
      </c>
      <c r="B162" s="705" t="s">
        <v>1113</v>
      </c>
      <c r="C162" s="706" t="s">
        <v>10</v>
      </c>
      <c r="D162" s="707">
        <v>17</v>
      </c>
      <c r="E162" s="665"/>
      <c r="F162" s="665"/>
    </row>
    <row r="163" spans="1:6" ht="20.100000000000001" customHeight="1">
      <c r="A163" s="704">
        <v>4.7</v>
      </c>
      <c r="B163" s="705" t="s">
        <v>1114</v>
      </c>
      <c r="C163" s="706" t="s">
        <v>10</v>
      </c>
      <c r="D163" s="707">
        <v>17</v>
      </c>
      <c r="E163" s="665"/>
      <c r="F163" s="665"/>
    </row>
    <row r="164" spans="1:6" ht="20.100000000000001" customHeight="1">
      <c r="A164" s="704">
        <v>4.8</v>
      </c>
      <c r="B164" s="705" t="s">
        <v>1115</v>
      </c>
      <c r="C164" s="706" t="s">
        <v>10</v>
      </c>
      <c r="D164" s="707">
        <v>17</v>
      </c>
      <c r="E164" s="665"/>
      <c r="F164" s="665"/>
    </row>
    <row r="165" spans="1:6" ht="20.100000000000001" customHeight="1">
      <c r="A165" s="704">
        <v>4.9000000000000004</v>
      </c>
      <c r="B165" s="705" t="s">
        <v>1518</v>
      </c>
      <c r="C165" s="706" t="s">
        <v>10</v>
      </c>
      <c r="D165" s="707">
        <v>17</v>
      </c>
      <c r="E165" s="665"/>
      <c r="F165" s="665"/>
    </row>
    <row r="166" spans="1:6" ht="20.100000000000001" customHeight="1">
      <c r="A166" s="714">
        <v>4.0999999999999996</v>
      </c>
      <c r="B166" s="705" t="s">
        <v>1232</v>
      </c>
      <c r="C166" s="706" t="s">
        <v>10</v>
      </c>
      <c r="D166" s="707">
        <v>17</v>
      </c>
      <c r="E166" s="669"/>
      <c r="F166" s="665"/>
    </row>
    <row r="167" spans="1:6" ht="20.100000000000001" customHeight="1">
      <c r="A167" s="708">
        <v>5</v>
      </c>
      <c r="B167" s="709" t="s">
        <v>1520</v>
      </c>
      <c r="C167" s="706"/>
      <c r="D167" s="707"/>
      <c r="E167" s="664"/>
      <c r="F167" s="665"/>
    </row>
    <row r="168" spans="1:6" ht="20.100000000000001" customHeight="1">
      <c r="A168" s="704">
        <v>5.0999999999999996</v>
      </c>
      <c r="B168" s="705" t="s">
        <v>163</v>
      </c>
      <c r="C168" s="706" t="s">
        <v>10</v>
      </c>
      <c r="D168" s="707">
        <v>7942</v>
      </c>
      <c r="E168" s="664"/>
      <c r="F168" s="665"/>
    </row>
    <row r="169" spans="1:6" ht="20.100000000000001" customHeight="1">
      <c r="A169" s="704">
        <v>5.2</v>
      </c>
      <c r="B169" s="705" t="s">
        <v>69</v>
      </c>
      <c r="C169" s="706" t="s">
        <v>10</v>
      </c>
      <c r="D169" s="707">
        <v>7942</v>
      </c>
      <c r="E169" s="667"/>
      <c r="F169" s="665"/>
    </row>
    <row r="170" spans="1:6" ht="20.100000000000001" customHeight="1">
      <c r="A170" s="704">
        <v>5.3</v>
      </c>
      <c r="B170" s="705" t="s">
        <v>51</v>
      </c>
      <c r="C170" s="706" t="s">
        <v>10</v>
      </c>
      <c r="D170" s="707">
        <f t="shared" ref="D170" si="0">3513+4429</f>
        <v>7942</v>
      </c>
      <c r="E170" s="664"/>
      <c r="F170" s="665"/>
    </row>
    <row r="171" spans="1:6" ht="20.100000000000001" customHeight="1">
      <c r="A171" s="704">
        <v>5.4</v>
      </c>
      <c r="B171" s="705" t="s">
        <v>52</v>
      </c>
      <c r="C171" s="706" t="s">
        <v>10</v>
      </c>
      <c r="D171" s="707">
        <v>15884</v>
      </c>
      <c r="E171" s="664"/>
      <c r="F171" s="665"/>
    </row>
    <row r="172" spans="1:6" ht="20.100000000000001" customHeight="1">
      <c r="A172" s="704">
        <v>5.5</v>
      </c>
      <c r="B172" s="705" t="s">
        <v>168</v>
      </c>
      <c r="C172" s="706" t="s">
        <v>10</v>
      </c>
      <c r="D172" s="707">
        <v>15884</v>
      </c>
      <c r="E172" s="664"/>
      <c r="F172" s="665"/>
    </row>
    <row r="173" spans="1:6" ht="20.100000000000001" customHeight="1">
      <c r="A173" s="704">
        <v>5.6</v>
      </c>
      <c r="B173" s="705" t="s">
        <v>170</v>
      </c>
      <c r="C173" s="706" t="s">
        <v>10</v>
      </c>
      <c r="D173" s="707">
        <v>7942</v>
      </c>
      <c r="E173" s="664"/>
      <c r="F173" s="665"/>
    </row>
    <row r="174" spans="1:6" ht="20.100000000000001" customHeight="1">
      <c r="A174" s="704">
        <v>5.7</v>
      </c>
      <c r="B174" s="705" t="s">
        <v>172</v>
      </c>
      <c r="C174" s="706" t="s">
        <v>10</v>
      </c>
      <c r="D174" s="707">
        <v>7942</v>
      </c>
      <c r="E174" s="664"/>
      <c r="F174" s="665"/>
    </row>
    <row r="175" spans="1:6" ht="20.100000000000001" customHeight="1">
      <c r="A175" s="704">
        <v>5.8</v>
      </c>
      <c r="B175" s="705" t="s">
        <v>174</v>
      </c>
      <c r="C175" s="706" t="s">
        <v>67</v>
      </c>
      <c r="D175" s="707">
        <v>47652</v>
      </c>
      <c r="E175" s="664"/>
      <c r="F175" s="665"/>
    </row>
    <row r="176" spans="1:6" ht="20.25" customHeight="1">
      <c r="A176" s="731"/>
      <c r="B176" s="705"/>
      <c r="C176" s="706"/>
      <c r="D176" s="729"/>
      <c r="E176" s="672"/>
      <c r="F176" s="671"/>
    </row>
    <row r="177" spans="1:6" s="711" customFormat="1" ht="20.25" customHeight="1">
      <c r="A177" s="732" t="s">
        <v>1522</v>
      </c>
      <c r="B177" s="733"/>
      <c r="C177" s="733"/>
      <c r="D177" s="733"/>
      <c r="E177" s="734"/>
      <c r="F177" s="673"/>
    </row>
    <row r="178" spans="1:6" ht="20.100000000000001" customHeight="1">
      <c r="A178" s="735"/>
      <c r="B178" s="736"/>
      <c r="C178" s="736"/>
      <c r="D178" s="736"/>
      <c r="E178" s="737"/>
      <c r="F178" s="671"/>
    </row>
    <row r="179" spans="1:6" s="711" customFormat="1" ht="20.100000000000001" customHeight="1">
      <c r="A179" s="738"/>
      <c r="B179" s="739"/>
      <c r="C179" s="740" t="s">
        <v>1521</v>
      </c>
      <c r="D179" s="741"/>
      <c r="E179" s="742"/>
      <c r="F179" s="674"/>
    </row>
    <row r="180" spans="1:6" s="711" customFormat="1" ht="20.100000000000001" customHeight="1">
      <c r="A180" s="738"/>
      <c r="B180" s="743" t="s">
        <v>1593</v>
      </c>
      <c r="C180" s="763"/>
      <c r="D180" s="744" t="s">
        <v>1596</v>
      </c>
      <c r="E180" s="742"/>
      <c r="F180" s="674"/>
    </row>
    <row r="181" spans="1:6" s="711" customFormat="1" ht="20.100000000000001" customHeight="1">
      <c r="A181" s="738"/>
      <c r="B181" s="743" t="s">
        <v>1594</v>
      </c>
      <c r="C181" s="763"/>
      <c r="D181" s="744" t="s">
        <v>1596</v>
      </c>
      <c r="E181" s="742"/>
      <c r="F181" s="674"/>
    </row>
    <row r="182" spans="1:6" ht="20.100000000000001" customHeight="1">
      <c r="A182" s="735"/>
      <c r="B182" s="745" t="s">
        <v>1595</v>
      </c>
      <c r="C182" s="676"/>
      <c r="D182" s="746" t="s">
        <v>1596</v>
      </c>
      <c r="E182" s="747"/>
      <c r="F182" s="675"/>
    </row>
    <row r="183" spans="1:6" ht="20.100000000000001" customHeight="1">
      <c r="A183" s="735"/>
      <c r="B183" s="745" t="s">
        <v>1234</v>
      </c>
      <c r="C183" s="748">
        <v>19</v>
      </c>
      <c r="D183" s="749" t="s">
        <v>1596</v>
      </c>
      <c r="E183" s="750"/>
      <c r="F183" s="665"/>
    </row>
    <row r="184" spans="1:6" s="711" customFormat="1" ht="20.100000000000001" customHeight="1">
      <c r="A184" s="738"/>
      <c r="B184" s="740"/>
      <c r="C184" s="751" t="s">
        <v>304</v>
      </c>
      <c r="D184" s="752"/>
      <c r="E184" s="742"/>
      <c r="F184" s="677"/>
    </row>
    <row r="185" spans="1:6" s="711" customFormat="1" ht="20.100000000000001" customHeight="1">
      <c r="A185" s="738"/>
      <c r="B185" s="740"/>
      <c r="C185" s="753"/>
      <c r="D185" s="754"/>
      <c r="E185" s="742"/>
      <c r="F185" s="677"/>
    </row>
    <row r="186" spans="1:6" s="711" customFormat="1" ht="20.100000000000001" customHeight="1">
      <c r="A186" s="738"/>
      <c r="B186" s="740"/>
      <c r="C186" s="751" t="str">
        <f>A177</f>
        <v>SUBTOTAL COSTO DIRECTO SUMINISTROS</v>
      </c>
      <c r="D186" s="752"/>
      <c r="E186" s="742"/>
      <c r="F186" s="677"/>
    </row>
    <row r="187" spans="1:6" s="711" customFormat="1" ht="20.100000000000001" customHeight="1">
      <c r="A187" s="738"/>
      <c r="B187" s="745" t="s">
        <v>303</v>
      </c>
      <c r="C187" s="762"/>
      <c r="D187" s="746" t="s">
        <v>1596</v>
      </c>
      <c r="E187" s="747"/>
      <c r="F187" s="678"/>
    </row>
    <row r="188" spans="1:6" s="711" customFormat="1" ht="20.100000000000001" customHeight="1">
      <c r="A188" s="738"/>
      <c r="B188" s="739"/>
      <c r="C188" s="755" t="s">
        <v>1533</v>
      </c>
      <c r="D188" s="756"/>
      <c r="E188" s="742"/>
      <c r="F188" s="677"/>
    </row>
    <row r="189" spans="1:6" s="711" customFormat="1" ht="20.100000000000001" customHeight="1">
      <c r="A189" s="738"/>
      <c r="B189" s="757"/>
      <c r="C189" s="758"/>
      <c r="D189" s="758"/>
      <c r="E189" s="742"/>
      <c r="F189" s="677"/>
    </row>
    <row r="190" spans="1:6" s="719" customFormat="1" ht="20.100000000000001" customHeight="1">
      <c r="A190" s="732" t="s">
        <v>1590</v>
      </c>
      <c r="B190" s="733"/>
      <c r="C190" s="733" t="s">
        <v>305</v>
      </c>
      <c r="D190" s="733"/>
      <c r="E190" s="734"/>
      <c r="F190" s="673"/>
    </row>
    <row r="191" spans="1:6" s="711" customFormat="1">
      <c r="E191" s="759"/>
      <c r="F191" s="760"/>
    </row>
    <row r="192" spans="1:6" s="711" customFormat="1" hidden="1">
      <c r="E192" s="759"/>
      <c r="F192" s="760"/>
    </row>
    <row r="193" spans="6:6" hidden="1"/>
    <row r="194" spans="6:6" hidden="1"/>
    <row r="195" spans="6:6" hidden="1"/>
    <row r="196" spans="6:6" hidden="1"/>
    <row r="197" spans="6:6" hidden="1">
      <c r="F197" s="761" t="e">
        <f>#REF!+1</f>
        <v>#REF!</v>
      </c>
    </row>
    <row r="198" spans="6:6" hidden="1">
      <c r="F198" s="761" t="e">
        <f>#REF!+1</f>
        <v>#REF!</v>
      </c>
    </row>
    <row r="199" spans="6:6" hidden="1">
      <c r="F199" s="761" t="e">
        <f>#REF!+1</f>
        <v>#REF!</v>
      </c>
    </row>
    <row r="200" spans="6:6" hidden="1"/>
  </sheetData>
  <sheetProtection algorithmName="SHA-512" hashValue="Mt1sPQbgEAF1GEAUBbIk1E1WHeBqkYXvWVsIfMMrfOCaw3bs7Mu+9rLDADQ2lJi0F/dhy2goCLDTsJ1JAMFZQA==" saltValue="L7PkTS79Owl0gC0uXL5Bdw==" spinCount="100000" sheet="1" formatCells="0" formatColumns="0" formatRows="0" insertColumns="0" insertRows="0" insertHyperlinks="0" deleteColumns="0" deleteRows="0" sort="0" autoFilter="0" pivotTables="0"/>
  <mergeCells count="20">
    <mergeCell ref="A3:F3"/>
    <mergeCell ref="A4:F4"/>
    <mergeCell ref="A1:F2"/>
    <mergeCell ref="A177:E177"/>
    <mergeCell ref="A190:E190"/>
    <mergeCell ref="F103:F104"/>
    <mergeCell ref="A103:A104"/>
    <mergeCell ref="B103:B104"/>
    <mergeCell ref="C103:C104"/>
    <mergeCell ref="D103:D104"/>
    <mergeCell ref="E103:E104"/>
    <mergeCell ref="D5:D6"/>
    <mergeCell ref="F5:F6"/>
    <mergeCell ref="A5:A6"/>
    <mergeCell ref="A102:F102"/>
    <mergeCell ref="B5:B6"/>
    <mergeCell ref="C5:C6"/>
    <mergeCell ref="E5:E6"/>
    <mergeCell ref="A100:E100"/>
    <mergeCell ref="A101:F101"/>
  </mergeCells>
  <pageMargins left="0.7" right="0.7" top="0.75" bottom="0.75" header="0.3" footer="0.3"/>
  <pageSetup scale="57" orientation="portrait" r:id="rId1"/>
  <rowBreaks count="2" manualBreakCount="2">
    <brk id="51" max="7" man="1"/>
    <brk id="10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4"/>
  <sheetViews>
    <sheetView topLeftCell="A403" zoomScale="70" zoomScaleNormal="70" workbookViewId="0">
      <selection activeCell="B15" sqref="B15"/>
    </sheetView>
  </sheetViews>
  <sheetFormatPr baseColWidth="10" defaultColWidth="13.33203125" defaultRowHeight="15"/>
  <cols>
    <col min="1" max="1" width="13.33203125" style="274"/>
    <col min="2" max="2" width="71" style="313" customWidth="1"/>
    <col min="3" max="3" width="9.6640625" style="274" bestFit="1" customWidth="1"/>
    <col min="4" max="4" width="15.83203125" style="314" bestFit="1" customWidth="1"/>
    <col min="5" max="5" width="22.6640625" style="314" customWidth="1"/>
    <col min="6" max="6" width="24.33203125" style="314" customWidth="1"/>
    <col min="7" max="7" width="29.33203125" style="274" customWidth="1"/>
    <col min="8" max="8" width="30" style="274" customWidth="1"/>
    <col min="9" max="16384" width="13.33203125" style="274"/>
  </cols>
  <sheetData>
    <row r="1" spans="1:6">
      <c r="A1" s="531" t="s">
        <v>583</v>
      </c>
      <c r="B1" s="531"/>
      <c r="C1" s="531"/>
      <c r="D1" s="531"/>
      <c r="E1" s="531"/>
      <c r="F1" s="531"/>
    </row>
    <row r="2" spans="1:6">
      <c r="A2" s="531"/>
      <c r="B2" s="531"/>
      <c r="C2" s="531"/>
      <c r="D2" s="531"/>
      <c r="E2" s="531"/>
      <c r="F2" s="531"/>
    </row>
    <row r="3" spans="1:6">
      <c r="A3" s="531"/>
      <c r="B3" s="531"/>
      <c r="C3" s="531"/>
      <c r="D3" s="531"/>
      <c r="E3" s="531"/>
      <c r="F3" s="531"/>
    </row>
    <row r="4" spans="1:6">
      <c r="A4" s="275" t="s">
        <v>327</v>
      </c>
      <c r="B4" s="276" t="s">
        <v>584</v>
      </c>
      <c r="C4" s="275" t="s">
        <v>585</v>
      </c>
      <c r="D4" s="277" t="s">
        <v>586</v>
      </c>
      <c r="E4" s="277" t="s">
        <v>3</v>
      </c>
      <c r="F4" s="277" t="s">
        <v>465</v>
      </c>
    </row>
    <row r="5" spans="1:6">
      <c r="A5" s="278">
        <v>1</v>
      </c>
      <c r="B5" s="532" t="s">
        <v>71</v>
      </c>
      <c r="C5" s="533"/>
      <c r="D5" s="533"/>
      <c r="E5" s="533"/>
      <c r="F5" s="534"/>
    </row>
    <row r="6" spans="1:6">
      <c r="A6" s="279">
        <v>1.1000000000000001</v>
      </c>
      <c r="B6" s="280" t="s">
        <v>8</v>
      </c>
      <c r="C6" s="279" t="s">
        <v>67</v>
      </c>
      <c r="D6" s="281">
        <v>19263.77</v>
      </c>
      <c r="E6" s="282">
        <v>2150</v>
      </c>
      <c r="F6" s="282">
        <v>41417105.5</v>
      </c>
    </row>
    <row r="7" spans="1:6">
      <c r="A7" s="278">
        <v>2</v>
      </c>
      <c r="B7" s="535" t="s">
        <v>587</v>
      </c>
      <c r="C7" s="535"/>
      <c r="D7" s="535"/>
      <c r="E7" s="535"/>
      <c r="F7" s="535"/>
    </row>
    <row r="8" spans="1:6">
      <c r="A8" s="283">
        <v>2.1</v>
      </c>
      <c r="B8" s="284" t="s">
        <v>13</v>
      </c>
      <c r="C8" s="283"/>
      <c r="D8" s="285"/>
      <c r="E8" s="286"/>
      <c r="F8" s="286"/>
    </row>
    <row r="9" spans="1:6">
      <c r="A9" s="279" t="s">
        <v>72</v>
      </c>
      <c r="B9" s="280" t="s">
        <v>9</v>
      </c>
      <c r="C9" s="279" t="s">
        <v>1</v>
      </c>
      <c r="D9" s="281">
        <v>1608.47</v>
      </c>
      <c r="E9" s="282">
        <v>6946</v>
      </c>
      <c r="F9" s="282">
        <v>11172432.620000001</v>
      </c>
    </row>
    <row r="10" spans="1:6">
      <c r="A10" s="279" t="s">
        <v>73</v>
      </c>
      <c r="B10" s="280" t="s">
        <v>74</v>
      </c>
      <c r="C10" s="279" t="s">
        <v>1</v>
      </c>
      <c r="D10" s="281">
        <v>306.25</v>
      </c>
      <c r="E10" s="282">
        <v>72552</v>
      </c>
      <c r="F10" s="282">
        <v>22219050</v>
      </c>
    </row>
    <row r="11" spans="1:6">
      <c r="A11" s="287">
        <v>2.2000000000000002</v>
      </c>
      <c r="B11" s="288" t="s">
        <v>18</v>
      </c>
      <c r="C11" s="287"/>
      <c r="D11" s="289"/>
      <c r="E11" s="290"/>
      <c r="F11" s="290"/>
    </row>
    <row r="12" spans="1:6">
      <c r="A12" s="279" t="s">
        <v>75</v>
      </c>
      <c r="B12" s="280" t="s">
        <v>11</v>
      </c>
      <c r="C12" s="279" t="s">
        <v>1</v>
      </c>
      <c r="D12" s="281">
        <v>843.33</v>
      </c>
      <c r="E12" s="282">
        <v>90605</v>
      </c>
      <c r="F12" s="282">
        <v>76409914.650000006</v>
      </c>
    </row>
    <row r="13" spans="1:6">
      <c r="A13" s="279" t="s">
        <v>75</v>
      </c>
      <c r="B13" s="280" t="s">
        <v>76</v>
      </c>
      <c r="C13" s="279" t="s">
        <v>1</v>
      </c>
      <c r="D13" s="281">
        <v>217.77</v>
      </c>
      <c r="E13" s="282">
        <v>13134</v>
      </c>
      <c r="F13" s="282">
        <v>2860191.18</v>
      </c>
    </row>
    <row r="14" spans="1:6" ht="30">
      <c r="A14" s="279" t="s">
        <v>75</v>
      </c>
      <c r="B14" s="280" t="s">
        <v>77</v>
      </c>
      <c r="C14" s="279" t="s">
        <v>1</v>
      </c>
      <c r="D14" s="281">
        <v>370.28</v>
      </c>
      <c r="E14" s="282">
        <v>131380</v>
      </c>
      <c r="F14" s="282">
        <v>48647386.399999999</v>
      </c>
    </row>
    <row r="15" spans="1:6">
      <c r="A15" s="279" t="s">
        <v>75</v>
      </c>
      <c r="B15" s="280" t="s">
        <v>19</v>
      </c>
      <c r="C15" s="279" t="s">
        <v>1</v>
      </c>
      <c r="D15" s="281">
        <v>222.43</v>
      </c>
      <c r="E15" s="282">
        <v>114147</v>
      </c>
      <c r="F15" s="282">
        <v>25389717.210000001</v>
      </c>
    </row>
    <row r="16" spans="1:6">
      <c r="A16" s="279" t="s">
        <v>75</v>
      </c>
      <c r="B16" s="280" t="s">
        <v>78</v>
      </c>
      <c r="C16" s="279" t="s">
        <v>1</v>
      </c>
      <c r="D16" s="281">
        <v>83</v>
      </c>
      <c r="E16" s="282">
        <v>727438</v>
      </c>
      <c r="F16" s="282">
        <v>60377354</v>
      </c>
    </row>
    <row r="17" spans="1:7" ht="30">
      <c r="A17" s="279" t="s">
        <v>75</v>
      </c>
      <c r="B17" s="280" t="s">
        <v>22</v>
      </c>
      <c r="C17" s="279" t="s">
        <v>1</v>
      </c>
      <c r="D17" s="281">
        <v>1380.58</v>
      </c>
      <c r="E17" s="282">
        <v>37243</v>
      </c>
      <c r="F17" s="282">
        <v>51416940.939999998</v>
      </c>
    </row>
    <row r="18" spans="1:7">
      <c r="A18" s="279" t="s">
        <v>75</v>
      </c>
      <c r="B18" s="280" t="s">
        <v>68</v>
      </c>
      <c r="C18" s="279" t="s">
        <v>1</v>
      </c>
      <c r="D18" s="281">
        <v>415.39</v>
      </c>
      <c r="E18" s="282">
        <v>67222</v>
      </c>
      <c r="F18" s="282">
        <v>27923346.579999998</v>
      </c>
    </row>
    <row r="19" spans="1:7">
      <c r="A19" s="279">
        <v>2.2999999999999998</v>
      </c>
      <c r="B19" s="291" t="s">
        <v>15</v>
      </c>
      <c r="C19" s="279"/>
      <c r="D19" s="281"/>
      <c r="E19" s="282"/>
      <c r="F19" s="282"/>
      <c r="G19" s="292" t="s">
        <v>588</v>
      </c>
    </row>
    <row r="20" spans="1:7">
      <c r="A20" s="279" t="s">
        <v>80</v>
      </c>
      <c r="B20" s="293" t="s">
        <v>23</v>
      </c>
      <c r="C20" s="279" t="s">
        <v>67</v>
      </c>
      <c r="D20" s="281">
        <v>366.36</v>
      </c>
      <c r="E20" s="282">
        <v>3458</v>
      </c>
      <c r="F20" s="282">
        <v>1266872.8800000001</v>
      </c>
      <c r="G20" s="294">
        <f>+D20+D21+D65+D66+D110+D111+D112+D162+D163+D164+D165+D223+D224+D225+D276+D277+D278+D279+D326+D327+D384+D385+D386</f>
        <v>19253.769999999997</v>
      </c>
    </row>
    <row r="21" spans="1:7">
      <c r="A21" s="279" t="s">
        <v>589</v>
      </c>
      <c r="B21" s="293" t="s">
        <v>24</v>
      </c>
      <c r="C21" s="279" t="s">
        <v>67</v>
      </c>
      <c r="D21" s="281">
        <v>1853.56</v>
      </c>
      <c r="E21" s="282">
        <v>4107</v>
      </c>
      <c r="F21" s="282">
        <v>7612570.9199999999</v>
      </c>
      <c r="G21" s="295">
        <f>+F20+F21+F65+F66+F110+F111+F112+F162+F163+F164+F165+F223+F224+F225+F276+F277+F278+F279+F326+F327+F384+F385+F386</f>
        <v>72941734.510000005</v>
      </c>
    </row>
    <row r="22" spans="1:7">
      <c r="A22" s="279" t="s">
        <v>590</v>
      </c>
      <c r="B22" s="280" t="s">
        <v>591</v>
      </c>
      <c r="C22" s="279" t="s">
        <v>10</v>
      </c>
      <c r="D22" s="281">
        <v>1</v>
      </c>
      <c r="E22" s="282">
        <v>33881</v>
      </c>
      <c r="F22" s="282">
        <v>33881</v>
      </c>
    </row>
    <row r="23" spans="1:7">
      <c r="A23" s="279" t="s">
        <v>592</v>
      </c>
      <c r="B23" s="280" t="s">
        <v>593</v>
      </c>
      <c r="C23" s="279" t="s">
        <v>10</v>
      </c>
      <c r="D23" s="281">
        <v>1</v>
      </c>
      <c r="E23" s="282">
        <v>64286</v>
      </c>
      <c r="F23" s="282">
        <v>64286</v>
      </c>
    </row>
    <row r="24" spans="1:7">
      <c r="A24" s="279">
        <v>2.4</v>
      </c>
      <c r="B24" s="280" t="s">
        <v>31</v>
      </c>
      <c r="C24" s="279"/>
      <c r="D24" s="281"/>
      <c r="E24" s="282"/>
      <c r="F24" s="282"/>
    </row>
    <row r="25" spans="1:7">
      <c r="A25" s="279" t="s">
        <v>594</v>
      </c>
      <c r="B25" s="280" t="s">
        <v>119</v>
      </c>
      <c r="C25" s="279" t="s">
        <v>10</v>
      </c>
      <c r="D25" s="281">
        <v>1</v>
      </c>
      <c r="E25" s="282">
        <v>10852</v>
      </c>
      <c r="F25" s="282">
        <v>10852</v>
      </c>
    </row>
    <row r="26" spans="1:7">
      <c r="A26" s="279" t="s">
        <v>595</v>
      </c>
      <c r="B26" s="280" t="s">
        <v>596</v>
      </c>
      <c r="C26" s="279" t="s">
        <v>10</v>
      </c>
      <c r="D26" s="281">
        <v>1</v>
      </c>
      <c r="E26" s="282">
        <v>6093</v>
      </c>
      <c r="F26" s="282">
        <v>6093</v>
      </c>
    </row>
    <row r="27" spans="1:7">
      <c r="A27" s="279" t="s">
        <v>597</v>
      </c>
      <c r="B27" s="280" t="s">
        <v>121</v>
      </c>
      <c r="C27" s="279" t="s">
        <v>10</v>
      </c>
      <c r="D27" s="281">
        <v>2</v>
      </c>
      <c r="E27" s="282">
        <v>10852</v>
      </c>
      <c r="F27" s="282">
        <v>21704</v>
      </c>
    </row>
    <row r="28" spans="1:7">
      <c r="A28" s="279" t="s">
        <v>85</v>
      </c>
      <c r="B28" s="280" t="s">
        <v>86</v>
      </c>
      <c r="C28" s="279" t="s">
        <v>10</v>
      </c>
      <c r="D28" s="281">
        <v>1</v>
      </c>
      <c r="E28" s="282">
        <v>6093</v>
      </c>
      <c r="F28" s="282">
        <v>6093</v>
      </c>
    </row>
    <row r="29" spans="1:7">
      <c r="A29" s="279" t="s">
        <v>598</v>
      </c>
      <c r="B29" s="280" t="s">
        <v>123</v>
      </c>
      <c r="C29" s="279" t="s">
        <v>10</v>
      </c>
      <c r="D29" s="281">
        <v>2</v>
      </c>
      <c r="E29" s="282">
        <v>10852</v>
      </c>
      <c r="F29" s="282">
        <v>21704</v>
      </c>
    </row>
    <row r="30" spans="1:7">
      <c r="A30" s="279" t="s">
        <v>87</v>
      </c>
      <c r="B30" s="280" t="s">
        <v>88</v>
      </c>
      <c r="C30" s="279" t="s">
        <v>10</v>
      </c>
      <c r="D30" s="281">
        <v>5</v>
      </c>
      <c r="E30" s="282">
        <v>6093</v>
      </c>
      <c r="F30" s="282">
        <v>30465</v>
      </c>
    </row>
    <row r="31" spans="1:7">
      <c r="A31" s="279" t="s">
        <v>599</v>
      </c>
      <c r="B31" s="280" t="s">
        <v>125</v>
      </c>
      <c r="C31" s="279" t="s">
        <v>10</v>
      </c>
      <c r="D31" s="281">
        <v>4</v>
      </c>
      <c r="E31" s="282">
        <v>10852</v>
      </c>
      <c r="F31" s="282">
        <v>43408</v>
      </c>
    </row>
    <row r="32" spans="1:7">
      <c r="A32" s="279" t="s">
        <v>89</v>
      </c>
      <c r="B32" s="280" t="s">
        <v>90</v>
      </c>
      <c r="C32" s="279" t="s">
        <v>10</v>
      </c>
      <c r="D32" s="281">
        <v>4</v>
      </c>
      <c r="E32" s="282">
        <v>6093</v>
      </c>
      <c r="F32" s="282">
        <v>24372</v>
      </c>
    </row>
    <row r="33" spans="1:6">
      <c r="A33" s="279" t="s">
        <v>600</v>
      </c>
      <c r="B33" s="280" t="s">
        <v>130</v>
      </c>
      <c r="C33" s="279" t="s">
        <v>10</v>
      </c>
      <c r="D33" s="281">
        <v>4</v>
      </c>
      <c r="E33" s="282">
        <v>10852</v>
      </c>
      <c r="F33" s="282">
        <v>43408</v>
      </c>
    </row>
    <row r="34" spans="1:6">
      <c r="A34" s="279" t="s">
        <v>98</v>
      </c>
      <c r="B34" s="280" t="s">
        <v>99</v>
      </c>
      <c r="C34" s="279" t="s">
        <v>10</v>
      </c>
      <c r="D34" s="281">
        <v>3</v>
      </c>
      <c r="E34" s="282">
        <v>6093</v>
      </c>
      <c r="F34" s="282">
        <v>18279</v>
      </c>
    </row>
    <row r="35" spans="1:6">
      <c r="A35" s="279" t="s">
        <v>601</v>
      </c>
      <c r="B35" s="280" t="s">
        <v>602</v>
      </c>
      <c r="C35" s="279" t="s">
        <v>10</v>
      </c>
      <c r="D35" s="281">
        <v>1</v>
      </c>
      <c r="E35" s="282">
        <v>10852</v>
      </c>
      <c r="F35" s="282">
        <v>10852</v>
      </c>
    </row>
    <row r="36" spans="1:6">
      <c r="A36" s="279" t="s">
        <v>603</v>
      </c>
      <c r="B36" s="280" t="s">
        <v>117</v>
      </c>
      <c r="C36" s="279" t="s">
        <v>10</v>
      </c>
      <c r="D36" s="281">
        <v>2</v>
      </c>
      <c r="E36" s="282">
        <v>10852</v>
      </c>
      <c r="F36" s="282">
        <v>21704</v>
      </c>
    </row>
    <row r="37" spans="1:6">
      <c r="A37" s="279" t="s">
        <v>604</v>
      </c>
      <c r="B37" s="280" t="s">
        <v>605</v>
      </c>
      <c r="C37" s="279" t="s">
        <v>10</v>
      </c>
      <c r="D37" s="281">
        <v>1</v>
      </c>
      <c r="E37" s="282">
        <v>10852</v>
      </c>
      <c r="F37" s="282">
        <v>10852</v>
      </c>
    </row>
    <row r="38" spans="1:6">
      <c r="A38" s="279" t="s">
        <v>606</v>
      </c>
      <c r="B38" s="280" t="s">
        <v>607</v>
      </c>
      <c r="C38" s="279" t="s">
        <v>10</v>
      </c>
      <c r="D38" s="281">
        <v>1</v>
      </c>
      <c r="E38" s="282">
        <v>22709</v>
      </c>
      <c r="F38" s="282">
        <v>22709</v>
      </c>
    </row>
    <row r="39" spans="1:6">
      <c r="A39" s="279">
        <v>2.5</v>
      </c>
      <c r="B39" s="280" t="s">
        <v>20</v>
      </c>
      <c r="C39" s="279"/>
      <c r="D39" s="281"/>
      <c r="E39" s="282"/>
      <c r="F39" s="282"/>
    </row>
    <row r="40" spans="1:6">
      <c r="A40" s="279" t="s">
        <v>101</v>
      </c>
      <c r="B40" s="280" t="s">
        <v>608</v>
      </c>
      <c r="C40" s="279" t="s">
        <v>1</v>
      </c>
      <c r="D40" s="281">
        <v>0.64</v>
      </c>
      <c r="E40" s="282">
        <v>612595</v>
      </c>
      <c r="F40" s="282">
        <v>392060.8</v>
      </c>
    </row>
    <row r="41" spans="1:6">
      <c r="A41" s="279" t="s">
        <v>102</v>
      </c>
      <c r="B41" s="280" t="s">
        <v>103</v>
      </c>
      <c r="C41" s="279" t="s">
        <v>1</v>
      </c>
      <c r="D41" s="281">
        <v>0.02</v>
      </c>
      <c r="E41" s="282">
        <v>464474</v>
      </c>
      <c r="F41" s="282">
        <v>9289.48</v>
      </c>
    </row>
    <row r="42" spans="1:6">
      <c r="A42" s="279">
        <v>2.6</v>
      </c>
      <c r="B42" s="280" t="s">
        <v>12</v>
      </c>
      <c r="C42" s="279"/>
      <c r="D42" s="281"/>
      <c r="E42" s="282"/>
      <c r="F42" s="282"/>
    </row>
    <row r="43" spans="1:6">
      <c r="A43" s="279" t="s">
        <v>104</v>
      </c>
      <c r="B43" s="280" t="s">
        <v>66</v>
      </c>
      <c r="C43" s="279" t="s">
        <v>4</v>
      </c>
      <c r="D43" s="281">
        <v>41.94</v>
      </c>
      <c r="E43" s="282">
        <v>808</v>
      </c>
      <c r="F43" s="282">
        <v>33887.519999999997</v>
      </c>
    </row>
    <row r="44" spans="1:6">
      <c r="A44" s="279">
        <v>2.7</v>
      </c>
      <c r="B44" s="280" t="s">
        <v>21</v>
      </c>
      <c r="C44" s="279"/>
      <c r="D44" s="281"/>
      <c r="E44" s="282"/>
      <c r="F44" s="282"/>
    </row>
    <row r="45" spans="1:6">
      <c r="A45" s="279" t="s">
        <v>105</v>
      </c>
      <c r="B45" s="280" t="s">
        <v>25</v>
      </c>
      <c r="C45" s="279" t="s">
        <v>10</v>
      </c>
      <c r="D45" s="281">
        <v>1.5</v>
      </c>
      <c r="E45" s="282">
        <v>351941</v>
      </c>
      <c r="F45" s="282">
        <v>527911.5</v>
      </c>
    </row>
    <row r="46" spans="1:6">
      <c r="A46" s="279">
        <v>2.8</v>
      </c>
      <c r="B46" s="280" t="s">
        <v>26</v>
      </c>
      <c r="C46" s="279"/>
      <c r="D46" s="281"/>
      <c r="E46" s="282"/>
      <c r="F46" s="282"/>
    </row>
    <row r="47" spans="1:6">
      <c r="A47" s="279" t="s">
        <v>106</v>
      </c>
      <c r="B47" s="280" t="s">
        <v>27</v>
      </c>
      <c r="C47" s="279" t="s">
        <v>10</v>
      </c>
      <c r="D47" s="281">
        <v>595</v>
      </c>
      <c r="E47" s="282">
        <v>23111</v>
      </c>
      <c r="F47" s="282">
        <v>13751045</v>
      </c>
    </row>
    <row r="48" spans="1:6">
      <c r="A48" s="279">
        <v>2.9</v>
      </c>
      <c r="B48" s="280" t="s">
        <v>28</v>
      </c>
      <c r="C48" s="279"/>
      <c r="D48" s="281"/>
      <c r="E48" s="282"/>
      <c r="F48" s="282">
        <v>0</v>
      </c>
    </row>
    <row r="49" spans="1:6" ht="120">
      <c r="A49" s="279" t="s">
        <v>107</v>
      </c>
      <c r="B49" s="280" t="s">
        <v>108</v>
      </c>
      <c r="C49" s="279" t="s">
        <v>10</v>
      </c>
      <c r="D49" s="281">
        <v>595</v>
      </c>
      <c r="E49" s="282">
        <v>158939</v>
      </c>
      <c r="F49" s="282">
        <v>94568705</v>
      </c>
    </row>
    <row r="50" spans="1:6">
      <c r="A50" s="279" t="s">
        <v>109</v>
      </c>
      <c r="B50" s="280" t="s">
        <v>103</v>
      </c>
      <c r="C50" s="279" t="s">
        <v>1</v>
      </c>
      <c r="D50" s="281">
        <v>2.29</v>
      </c>
      <c r="E50" s="282">
        <v>464474</v>
      </c>
      <c r="F50" s="282">
        <v>1063645.46</v>
      </c>
    </row>
    <row r="51" spans="1:6">
      <c r="A51" s="530" t="s">
        <v>609</v>
      </c>
      <c r="B51" s="530"/>
      <c r="C51" s="530"/>
      <c r="D51" s="530"/>
      <c r="E51" s="530"/>
      <c r="F51" s="296">
        <f>+SUM(F9:F50,0)</f>
        <v>446032984.13999999</v>
      </c>
    </row>
    <row r="52" spans="1:6">
      <c r="A52" s="297">
        <v>3</v>
      </c>
      <c r="B52" s="535" t="s">
        <v>610</v>
      </c>
      <c r="C52" s="535"/>
      <c r="D52" s="535"/>
      <c r="E52" s="535"/>
      <c r="F52" s="535"/>
    </row>
    <row r="53" spans="1:6">
      <c r="A53" s="283">
        <v>3.1</v>
      </c>
      <c r="B53" s="284" t="s">
        <v>13</v>
      </c>
      <c r="C53" s="283"/>
      <c r="D53" s="285"/>
      <c r="E53" s="286"/>
      <c r="F53" s="286"/>
    </row>
    <row r="54" spans="1:6">
      <c r="A54" s="279" t="s">
        <v>611</v>
      </c>
      <c r="B54" s="280" t="s">
        <v>9</v>
      </c>
      <c r="C54" s="279" t="s">
        <v>1</v>
      </c>
      <c r="D54" s="281">
        <v>1423.76</v>
      </c>
      <c r="E54" s="282">
        <v>6946</v>
      </c>
      <c r="F54" s="282">
        <v>9889436.959999999</v>
      </c>
    </row>
    <row r="55" spans="1:6">
      <c r="A55" s="279" t="s">
        <v>612</v>
      </c>
      <c r="B55" s="280" t="s">
        <v>74</v>
      </c>
      <c r="C55" s="279" t="s">
        <v>1</v>
      </c>
      <c r="D55" s="281">
        <v>306.25</v>
      </c>
      <c r="E55" s="282">
        <v>72552</v>
      </c>
      <c r="F55" s="282">
        <v>22219050</v>
      </c>
    </row>
    <row r="56" spans="1:6">
      <c r="A56" s="279">
        <v>3.2</v>
      </c>
      <c r="B56" s="280" t="s">
        <v>18</v>
      </c>
      <c r="C56" s="279"/>
      <c r="D56" s="281"/>
      <c r="E56" s="282"/>
      <c r="F56" s="282"/>
    </row>
    <row r="57" spans="1:6">
      <c r="A57" s="279" t="s">
        <v>613</v>
      </c>
      <c r="B57" s="280" t="s">
        <v>11</v>
      </c>
      <c r="C57" s="279" t="s">
        <v>1</v>
      </c>
      <c r="D57" s="281">
        <v>802.61</v>
      </c>
      <c r="E57" s="282">
        <v>90605</v>
      </c>
      <c r="F57" s="282">
        <v>72720479.049999997</v>
      </c>
    </row>
    <row r="58" spans="1:6">
      <c r="A58" s="279" t="s">
        <v>614</v>
      </c>
      <c r="B58" s="280" t="s">
        <v>76</v>
      </c>
      <c r="C58" s="279" t="s">
        <v>1</v>
      </c>
      <c r="D58" s="281">
        <v>198.86</v>
      </c>
      <c r="E58" s="282">
        <v>13134</v>
      </c>
      <c r="F58" s="282">
        <v>2611827.2400000002</v>
      </c>
    </row>
    <row r="59" spans="1:6" ht="30">
      <c r="A59" s="279" t="s">
        <v>615</v>
      </c>
      <c r="B59" s="280" t="s">
        <v>77</v>
      </c>
      <c r="C59" s="279" t="s">
        <v>1</v>
      </c>
      <c r="D59" s="281">
        <v>353.41</v>
      </c>
      <c r="E59" s="282">
        <v>131380</v>
      </c>
      <c r="F59" s="282">
        <v>46431005.800000004</v>
      </c>
    </row>
    <row r="60" spans="1:6">
      <c r="A60" s="279" t="s">
        <v>616</v>
      </c>
      <c r="B60" s="280" t="s">
        <v>19</v>
      </c>
      <c r="C60" s="279" t="s">
        <v>1</v>
      </c>
      <c r="D60" s="281">
        <v>235.61</v>
      </c>
      <c r="E60" s="282">
        <v>114147</v>
      </c>
      <c r="F60" s="282">
        <v>26894174.670000002</v>
      </c>
    </row>
    <row r="61" spans="1:6">
      <c r="A61" s="279" t="s">
        <v>617</v>
      </c>
      <c r="B61" s="280" t="s">
        <v>78</v>
      </c>
      <c r="C61" s="279" t="s">
        <v>1</v>
      </c>
      <c r="D61" s="281">
        <v>88</v>
      </c>
      <c r="E61" s="282">
        <v>727438</v>
      </c>
      <c r="F61" s="282">
        <v>64014544</v>
      </c>
    </row>
    <row r="62" spans="1:6" ht="30">
      <c r="A62" s="279" t="s">
        <v>618</v>
      </c>
      <c r="B62" s="280" t="s">
        <v>22</v>
      </c>
      <c r="C62" s="279" t="s">
        <v>1</v>
      </c>
      <c r="D62" s="281">
        <v>1214.77</v>
      </c>
      <c r="E62" s="282">
        <v>37243</v>
      </c>
      <c r="F62" s="282">
        <v>45241679.109999999</v>
      </c>
    </row>
    <row r="63" spans="1:6">
      <c r="A63" s="279" t="s">
        <v>619</v>
      </c>
      <c r="B63" s="280" t="s">
        <v>68</v>
      </c>
      <c r="C63" s="279" t="s">
        <v>1</v>
      </c>
      <c r="D63" s="281">
        <v>415.39</v>
      </c>
      <c r="E63" s="282">
        <v>67222</v>
      </c>
      <c r="F63" s="282">
        <v>27923346.579999998</v>
      </c>
    </row>
    <row r="64" spans="1:6">
      <c r="A64" s="279">
        <v>3.3</v>
      </c>
      <c r="B64" s="291" t="s">
        <v>15</v>
      </c>
      <c r="C64" s="279"/>
      <c r="D64" s="281"/>
      <c r="E64" s="282"/>
      <c r="F64" s="282">
        <v>0</v>
      </c>
    </row>
    <row r="65" spans="1:6">
      <c r="A65" s="279" t="s">
        <v>79</v>
      </c>
      <c r="B65" s="293" t="s">
        <v>16</v>
      </c>
      <c r="C65" s="279" t="s">
        <v>67</v>
      </c>
      <c r="D65" s="281">
        <v>710.14</v>
      </c>
      <c r="E65" s="282">
        <v>3458</v>
      </c>
      <c r="F65" s="282">
        <v>2455664.12</v>
      </c>
    </row>
    <row r="66" spans="1:6">
      <c r="A66" s="279" t="s">
        <v>620</v>
      </c>
      <c r="B66" s="293" t="s">
        <v>24</v>
      </c>
      <c r="C66" s="279" t="s">
        <v>67</v>
      </c>
      <c r="D66" s="281">
        <v>1253.24</v>
      </c>
      <c r="E66" s="282">
        <v>4107</v>
      </c>
      <c r="F66" s="282">
        <v>5147056.68</v>
      </c>
    </row>
    <row r="67" spans="1:6">
      <c r="A67" s="279" t="s">
        <v>621</v>
      </c>
      <c r="B67" s="280" t="s">
        <v>593</v>
      </c>
      <c r="C67" s="279" t="s">
        <v>10</v>
      </c>
      <c r="D67" s="281">
        <v>2</v>
      </c>
      <c r="E67" s="282">
        <v>64286</v>
      </c>
      <c r="F67" s="282">
        <v>128572</v>
      </c>
    </row>
    <row r="68" spans="1:6">
      <c r="A68" s="279">
        <v>3.4</v>
      </c>
      <c r="B68" s="280" t="s">
        <v>31</v>
      </c>
      <c r="C68" s="279"/>
      <c r="D68" s="281"/>
      <c r="E68" s="282"/>
      <c r="F68" s="282"/>
    </row>
    <row r="69" spans="1:6">
      <c r="A69" s="279" t="s">
        <v>622</v>
      </c>
      <c r="B69" s="280" t="s">
        <v>119</v>
      </c>
      <c r="C69" s="279" t="s">
        <v>10</v>
      </c>
      <c r="D69" s="281">
        <v>1</v>
      </c>
      <c r="E69" s="282">
        <v>10852</v>
      </c>
      <c r="F69" s="282">
        <v>10852</v>
      </c>
    </row>
    <row r="70" spans="1:6">
      <c r="A70" s="279" t="s">
        <v>623</v>
      </c>
      <c r="B70" s="280" t="s">
        <v>624</v>
      </c>
      <c r="C70" s="279" t="s">
        <v>10</v>
      </c>
      <c r="D70" s="281">
        <v>1</v>
      </c>
      <c r="E70" s="282">
        <v>7165</v>
      </c>
      <c r="F70" s="282">
        <v>7165</v>
      </c>
    </row>
    <row r="71" spans="1:6">
      <c r="A71" s="279" t="s">
        <v>625</v>
      </c>
      <c r="B71" s="280" t="s">
        <v>121</v>
      </c>
      <c r="C71" s="279" t="s">
        <v>10</v>
      </c>
      <c r="D71" s="281">
        <v>1</v>
      </c>
      <c r="E71" s="282">
        <v>10852</v>
      </c>
      <c r="F71" s="282">
        <v>10852</v>
      </c>
    </row>
    <row r="72" spans="1:6">
      <c r="A72" s="279" t="s">
        <v>110</v>
      </c>
      <c r="B72" s="280" t="s">
        <v>111</v>
      </c>
      <c r="C72" s="279" t="s">
        <v>10</v>
      </c>
      <c r="D72" s="281">
        <v>3</v>
      </c>
      <c r="E72" s="282">
        <v>7165</v>
      </c>
      <c r="F72" s="282">
        <v>21495</v>
      </c>
    </row>
    <row r="73" spans="1:6">
      <c r="A73" s="279" t="s">
        <v>626</v>
      </c>
      <c r="B73" s="280" t="s">
        <v>123</v>
      </c>
      <c r="C73" s="279" t="s">
        <v>10</v>
      </c>
      <c r="D73" s="281">
        <v>2</v>
      </c>
      <c r="E73" s="282">
        <v>10852</v>
      </c>
      <c r="F73" s="282">
        <v>21704</v>
      </c>
    </row>
    <row r="74" spans="1:6">
      <c r="A74" s="279" t="s">
        <v>81</v>
      </c>
      <c r="B74" s="280" t="s">
        <v>82</v>
      </c>
      <c r="C74" s="279" t="s">
        <v>10</v>
      </c>
      <c r="D74" s="281">
        <v>3</v>
      </c>
      <c r="E74" s="282">
        <v>7165</v>
      </c>
      <c r="F74" s="282">
        <v>21495</v>
      </c>
    </row>
    <row r="75" spans="1:6">
      <c r="A75" s="279" t="s">
        <v>627</v>
      </c>
      <c r="B75" s="280" t="s">
        <v>125</v>
      </c>
      <c r="C75" s="279" t="s">
        <v>10</v>
      </c>
      <c r="D75" s="281">
        <v>4</v>
      </c>
      <c r="E75" s="282">
        <v>10852</v>
      </c>
      <c r="F75" s="282">
        <v>43408</v>
      </c>
    </row>
    <row r="76" spans="1:6">
      <c r="A76" s="279" t="s">
        <v>628</v>
      </c>
      <c r="B76" s="280" t="s">
        <v>84</v>
      </c>
      <c r="C76" s="279" t="s">
        <v>10</v>
      </c>
      <c r="D76" s="281">
        <v>2</v>
      </c>
      <c r="E76" s="282">
        <v>7165</v>
      </c>
      <c r="F76" s="282">
        <v>14330</v>
      </c>
    </row>
    <row r="77" spans="1:6">
      <c r="A77" s="279" t="s">
        <v>629</v>
      </c>
      <c r="B77" s="280" t="s">
        <v>130</v>
      </c>
      <c r="C77" s="279" t="s">
        <v>10</v>
      </c>
      <c r="D77" s="281">
        <v>4</v>
      </c>
      <c r="E77" s="282">
        <v>10852</v>
      </c>
      <c r="F77" s="282">
        <v>43408</v>
      </c>
    </row>
    <row r="78" spans="1:6">
      <c r="A78" s="279" t="s">
        <v>630</v>
      </c>
      <c r="B78" s="280" t="s">
        <v>112</v>
      </c>
      <c r="C78" s="279" t="s">
        <v>10</v>
      </c>
      <c r="D78" s="281">
        <v>2</v>
      </c>
      <c r="E78" s="282">
        <v>7165</v>
      </c>
      <c r="F78" s="282">
        <v>14330</v>
      </c>
    </row>
    <row r="79" spans="1:6">
      <c r="A79" s="279" t="s">
        <v>95</v>
      </c>
      <c r="B79" s="280" t="s">
        <v>96</v>
      </c>
      <c r="C79" s="279" t="s">
        <v>10</v>
      </c>
      <c r="D79" s="281">
        <v>1</v>
      </c>
      <c r="E79" s="282">
        <v>7165</v>
      </c>
      <c r="F79" s="282">
        <v>7165</v>
      </c>
    </row>
    <row r="80" spans="1:6">
      <c r="A80" s="279" t="s">
        <v>631</v>
      </c>
      <c r="B80" s="280" t="s">
        <v>602</v>
      </c>
      <c r="C80" s="279" t="s">
        <v>10</v>
      </c>
      <c r="D80" s="281">
        <v>2</v>
      </c>
      <c r="E80" s="282">
        <v>10852</v>
      </c>
      <c r="F80" s="282">
        <v>21704</v>
      </c>
    </row>
    <row r="81" spans="1:6">
      <c r="A81" s="279" t="s">
        <v>116</v>
      </c>
      <c r="B81" s="280" t="s">
        <v>117</v>
      </c>
      <c r="C81" s="279" t="s">
        <v>10</v>
      </c>
      <c r="D81" s="281">
        <v>2</v>
      </c>
      <c r="E81" s="282">
        <v>10852</v>
      </c>
      <c r="F81" s="282">
        <v>21704</v>
      </c>
    </row>
    <row r="82" spans="1:6">
      <c r="A82" s="279" t="s">
        <v>632</v>
      </c>
      <c r="B82" s="280" t="s">
        <v>605</v>
      </c>
      <c r="C82" s="279" t="s">
        <v>10</v>
      </c>
      <c r="D82" s="281">
        <v>1</v>
      </c>
      <c r="E82" s="282">
        <v>10852</v>
      </c>
      <c r="F82" s="282">
        <v>10852</v>
      </c>
    </row>
    <row r="83" spans="1:6">
      <c r="A83" s="279" t="s">
        <v>633</v>
      </c>
      <c r="B83" s="280" t="s">
        <v>607</v>
      </c>
      <c r="C83" s="279" t="s">
        <v>10</v>
      </c>
      <c r="D83" s="281">
        <v>1</v>
      </c>
      <c r="E83" s="282">
        <v>22709</v>
      </c>
      <c r="F83" s="282">
        <v>22709</v>
      </c>
    </row>
    <row r="84" spans="1:6">
      <c r="A84" s="279">
        <v>3.5</v>
      </c>
      <c r="B84" s="280" t="s">
        <v>20</v>
      </c>
      <c r="C84" s="279"/>
      <c r="D84" s="281"/>
      <c r="E84" s="282"/>
      <c r="F84" s="282"/>
    </row>
    <row r="85" spans="1:6">
      <c r="A85" s="279" t="s">
        <v>634</v>
      </c>
      <c r="B85" s="280" t="s">
        <v>608</v>
      </c>
      <c r="C85" s="279" t="s">
        <v>1</v>
      </c>
      <c r="D85" s="281">
        <v>0.64</v>
      </c>
      <c r="E85" s="282">
        <v>612595</v>
      </c>
      <c r="F85" s="282">
        <v>392060.8</v>
      </c>
    </row>
    <row r="86" spans="1:6">
      <c r="A86" s="279" t="s">
        <v>635</v>
      </c>
      <c r="B86" s="280" t="s">
        <v>103</v>
      </c>
      <c r="C86" s="279" t="s">
        <v>1</v>
      </c>
      <c r="D86" s="281">
        <v>0.02</v>
      </c>
      <c r="E86" s="282">
        <v>464474</v>
      </c>
      <c r="F86" s="282">
        <v>9289.48</v>
      </c>
    </row>
    <row r="87" spans="1:6">
      <c r="A87" s="279">
        <v>3.6</v>
      </c>
      <c r="B87" s="280" t="s">
        <v>12</v>
      </c>
      <c r="C87" s="279"/>
      <c r="D87" s="281"/>
      <c r="E87" s="282"/>
      <c r="F87" s="282"/>
    </row>
    <row r="88" spans="1:6">
      <c r="A88" s="279" t="s">
        <v>636</v>
      </c>
      <c r="B88" s="280" t="s">
        <v>66</v>
      </c>
      <c r="C88" s="279" t="s">
        <v>4</v>
      </c>
      <c r="D88" s="281">
        <v>755</v>
      </c>
      <c r="E88" s="282">
        <v>808</v>
      </c>
      <c r="F88" s="282">
        <v>610040</v>
      </c>
    </row>
    <row r="89" spans="1:6">
      <c r="A89" s="279">
        <v>3.7</v>
      </c>
      <c r="B89" s="280" t="s">
        <v>21</v>
      </c>
      <c r="C89" s="279"/>
      <c r="D89" s="281"/>
      <c r="E89" s="282">
        <v>0</v>
      </c>
      <c r="F89" s="282"/>
    </row>
    <row r="90" spans="1:6">
      <c r="A90" s="279" t="s">
        <v>637</v>
      </c>
      <c r="B90" s="280" t="s">
        <v>25</v>
      </c>
      <c r="C90" s="279" t="s">
        <v>10</v>
      </c>
      <c r="D90" s="281">
        <v>1.5</v>
      </c>
      <c r="E90" s="282">
        <v>351941</v>
      </c>
      <c r="F90" s="282">
        <v>527911.5</v>
      </c>
    </row>
    <row r="91" spans="1:6">
      <c r="A91" s="279">
        <v>3.8</v>
      </c>
      <c r="B91" s="280" t="s">
        <v>26</v>
      </c>
      <c r="C91" s="279"/>
      <c r="D91" s="281"/>
      <c r="E91" s="282"/>
      <c r="F91" s="282"/>
    </row>
    <row r="92" spans="1:6">
      <c r="A92" s="279" t="s">
        <v>638</v>
      </c>
      <c r="B92" s="280" t="s">
        <v>27</v>
      </c>
      <c r="C92" s="279" t="s">
        <v>10</v>
      </c>
      <c r="D92" s="281">
        <v>595</v>
      </c>
      <c r="E92" s="282">
        <v>23111</v>
      </c>
      <c r="F92" s="282">
        <v>13751045</v>
      </c>
    </row>
    <row r="93" spans="1:6">
      <c r="A93" s="279">
        <v>3.9</v>
      </c>
      <c r="B93" s="280" t="s">
        <v>28</v>
      </c>
      <c r="C93" s="279"/>
      <c r="D93" s="281"/>
      <c r="E93" s="282"/>
      <c r="F93" s="282"/>
    </row>
    <row r="94" spans="1:6" ht="120">
      <c r="A94" s="279" t="s">
        <v>639</v>
      </c>
      <c r="B94" s="280" t="s">
        <v>108</v>
      </c>
      <c r="C94" s="279" t="s">
        <v>10</v>
      </c>
      <c r="D94" s="281">
        <v>595</v>
      </c>
      <c r="E94" s="282">
        <v>158939</v>
      </c>
      <c r="F94" s="282">
        <v>94568705</v>
      </c>
    </row>
    <row r="95" spans="1:6">
      <c r="A95" s="279" t="s">
        <v>640</v>
      </c>
      <c r="B95" s="280" t="s">
        <v>103</v>
      </c>
      <c r="C95" s="279" t="s">
        <v>1</v>
      </c>
      <c r="D95" s="281">
        <v>2.29</v>
      </c>
      <c r="E95" s="282">
        <v>464474</v>
      </c>
      <c r="F95" s="282">
        <v>1063645.46</v>
      </c>
    </row>
    <row r="96" spans="1:6">
      <c r="A96" s="530" t="s">
        <v>641</v>
      </c>
      <c r="B96" s="530"/>
      <c r="C96" s="530"/>
      <c r="D96" s="530"/>
      <c r="E96" s="530"/>
      <c r="F96" s="296">
        <f>+SUM(F54:F95,0)</f>
        <v>436892706.44999999</v>
      </c>
    </row>
    <row r="97" spans="1:6">
      <c r="A97" s="278">
        <v>4</v>
      </c>
      <c r="B97" s="535" t="s">
        <v>642</v>
      </c>
      <c r="C97" s="535"/>
      <c r="D97" s="535"/>
      <c r="E97" s="535"/>
      <c r="F97" s="535"/>
    </row>
    <row r="98" spans="1:6">
      <c r="A98" s="283">
        <v>4.0999999999999996</v>
      </c>
      <c r="B98" s="284" t="s">
        <v>13</v>
      </c>
      <c r="C98" s="283"/>
      <c r="D98" s="285"/>
      <c r="E98" s="286"/>
      <c r="F98" s="286"/>
    </row>
    <row r="99" spans="1:6">
      <c r="A99" s="279" t="s">
        <v>643</v>
      </c>
      <c r="B99" s="280" t="s">
        <v>9</v>
      </c>
      <c r="C99" s="279" t="s">
        <v>1</v>
      </c>
      <c r="D99" s="281">
        <v>1508.28</v>
      </c>
      <c r="E99" s="282">
        <v>6946</v>
      </c>
      <c r="F99" s="282">
        <v>10476512.879999999</v>
      </c>
    </row>
    <row r="100" spans="1:6">
      <c r="A100" s="279" t="s">
        <v>644</v>
      </c>
      <c r="B100" s="280" t="s">
        <v>74</v>
      </c>
      <c r="C100" s="279" t="s">
        <v>1</v>
      </c>
      <c r="D100" s="281">
        <v>306.25</v>
      </c>
      <c r="E100" s="282">
        <v>72552</v>
      </c>
      <c r="F100" s="282">
        <v>22219050</v>
      </c>
    </row>
    <row r="101" spans="1:6">
      <c r="A101" s="279">
        <v>4.2</v>
      </c>
      <c r="B101" s="280" t="s">
        <v>18</v>
      </c>
      <c r="C101" s="279"/>
      <c r="D101" s="281"/>
      <c r="E101" s="282"/>
      <c r="F101" s="282"/>
    </row>
    <row r="102" spans="1:6">
      <c r="A102" s="279" t="s">
        <v>645</v>
      </c>
      <c r="B102" s="280" t="s">
        <v>11</v>
      </c>
      <c r="C102" s="279" t="s">
        <v>1</v>
      </c>
      <c r="D102" s="281">
        <v>833.33</v>
      </c>
      <c r="E102" s="282">
        <v>90605</v>
      </c>
      <c r="F102" s="282">
        <v>75503864.650000006</v>
      </c>
    </row>
    <row r="103" spans="1:6">
      <c r="A103" s="279" t="s">
        <v>646</v>
      </c>
      <c r="B103" s="280" t="s">
        <v>76</v>
      </c>
      <c r="C103" s="279" t="s">
        <v>1</v>
      </c>
      <c r="D103" s="281">
        <v>228.85</v>
      </c>
      <c r="E103" s="282">
        <v>13134</v>
      </c>
      <c r="F103" s="282">
        <v>3005715.9</v>
      </c>
    </row>
    <row r="104" spans="1:6" ht="30">
      <c r="A104" s="279" t="s">
        <v>647</v>
      </c>
      <c r="B104" s="280" t="s">
        <v>77</v>
      </c>
      <c r="C104" s="279" t="s">
        <v>1</v>
      </c>
      <c r="D104" s="281">
        <v>374.07</v>
      </c>
      <c r="E104" s="282">
        <v>131380</v>
      </c>
      <c r="F104" s="282">
        <v>49145316.600000001</v>
      </c>
    </row>
    <row r="105" spans="1:6">
      <c r="A105" s="279" t="s">
        <v>648</v>
      </c>
      <c r="B105" s="280" t="s">
        <v>19</v>
      </c>
      <c r="C105" s="279" t="s">
        <v>1</v>
      </c>
      <c r="D105" s="281">
        <v>249.38</v>
      </c>
      <c r="E105" s="282">
        <v>114147</v>
      </c>
      <c r="F105" s="282">
        <v>28465978.859999999</v>
      </c>
    </row>
    <row r="106" spans="1:6">
      <c r="A106" s="279" t="s">
        <v>649</v>
      </c>
      <c r="B106" s="280" t="s">
        <v>78</v>
      </c>
      <c r="C106" s="279" t="s">
        <v>1</v>
      </c>
      <c r="D106" s="281">
        <v>92</v>
      </c>
      <c r="E106" s="282">
        <v>727438</v>
      </c>
      <c r="F106" s="282">
        <v>66924296</v>
      </c>
    </row>
    <row r="107" spans="1:6" ht="30">
      <c r="A107" s="279" t="s">
        <v>650</v>
      </c>
      <c r="B107" s="280" t="s">
        <v>22</v>
      </c>
      <c r="C107" s="279" t="s">
        <v>1</v>
      </c>
      <c r="D107" s="281">
        <v>1269.3</v>
      </c>
      <c r="E107" s="282">
        <v>37243</v>
      </c>
      <c r="F107" s="282">
        <v>47272539.899999999</v>
      </c>
    </row>
    <row r="108" spans="1:6">
      <c r="A108" s="279" t="s">
        <v>651</v>
      </c>
      <c r="B108" s="280" t="s">
        <v>68</v>
      </c>
      <c r="C108" s="279" t="s">
        <v>1</v>
      </c>
      <c r="D108" s="281">
        <v>415.39</v>
      </c>
      <c r="E108" s="282">
        <v>67222</v>
      </c>
      <c r="F108" s="282">
        <v>27923346.579999998</v>
      </c>
    </row>
    <row r="109" spans="1:6">
      <c r="A109" s="279">
        <v>4.3</v>
      </c>
      <c r="B109" s="291" t="s">
        <v>15</v>
      </c>
      <c r="C109" s="279"/>
      <c r="D109" s="281"/>
      <c r="E109" s="282"/>
      <c r="F109" s="282"/>
    </row>
    <row r="110" spans="1:6">
      <c r="A110" s="279" t="s">
        <v>652</v>
      </c>
      <c r="B110" s="293" t="s">
        <v>16</v>
      </c>
      <c r="C110" s="279" t="s">
        <v>67</v>
      </c>
      <c r="D110" s="281">
        <v>1424.84</v>
      </c>
      <c r="E110" s="282">
        <v>3458</v>
      </c>
      <c r="F110" s="282">
        <v>4927096.72</v>
      </c>
    </row>
    <row r="111" spans="1:6">
      <c r="A111" s="279" t="s">
        <v>653</v>
      </c>
      <c r="B111" s="293" t="s">
        <v>24</v>
      </c>
      <c r="C111" s="279" t="s">
        <v>67</v>
      </c>
      <c r="D111" s="281">
        <v>637.51</v>
      </c>
      <c r="E111" s="282">
        <v>4107</v>
      </c>
      <c r="F111" s="282">
        <v>2618253.5699999998</v>
      </c>
    </row>
    <row r="112" spans="1:6">
      <c r="A112" s="279" t="s">
        <v>654</v>
      </c>
      <c r="B112" s="293" t="s">
        <v>17</v>
      </c>
      <c r="C112" s="279" t="s">
        <v>67</v>
      </c>
      <c r="D112" s="281">
        <v>15.79</v>
      </c>
      <c r="E112" s="282">
        <v>5673</v>
      </c>
      <c r="F112" s="282">
        <v>89576.67</v>
      </c>
    </row>
    <row r="113" spans="1:6">
      <c r="A113" s="279" t="s">
        <v>655</v>
      </c>
      <c r="B113" s="280" t="s">
        <v>656</v>
      </c>
      <c r="C113" s="279" t="s">
        <v>10</v>
      </c>
      <c r="D113" s="281">
        <v>1</v>
      </c>
      <c r="E113" s="282">
        <v>85227</v>
      </c>
      <c r="F113" s="282">
        <v>85227</v>
      </c>
    </row>
    <row r="114" spans="1:6">
      <c r="A114" s="279" t="s">
        <v>657</v>
      </c>
      <c r="B114" s="280" t="s">
        <v>593</v>
      </c>
      <c r="C114" s="279" t="s">
        <v>10</v>
      </c>
      <c r="D114" s="281">
        <v>3</v>
      </c>
      <c r="E114" s="282">
        <v>64286</v>
      </c>
      <c r="F114" s="282">
        <v>192858</v>
      </c>
    </row>
    <row r="115" spans="1:6">
      <c r="A115" s="279" t="s">
        <v>658</v>
      </c>
      <c r="B115" s="280" t="s">
        <v>659</v>
      </c>
      <c r="C115" s="279" t="s">
        <v>10</v>
      </c>
      <c r="D115" s="281">
        <v>2</v>
      </c>
      <c r="E115" s="282">
        <v>48077</v>
      </c>
      <c r="F115" s="282">
        <v>96154</v>
      </c>
    </row>
    <row r="116" spans="1:6">
      <c r="A116" s="279">
        <v>4.4000000000000004</v>
      </c>
      <c r="B116" s="280" t="s">
        <v>31</v>
      </c>
      <c r="C116" s="279"/>
      <c r="D116" s="281"/>
      <c r="E116" s="282"/>
      <c r="F116" s="282"/>
    </row>
    <row r="117" spans="1:6">
      <c r="A117" s="279" t="s">
        <v>118</v>
      </c>
      <c r="B117" s="280" t="s">
        <v>119</v>
      </c>
      <c r="C117" s="279" t="s">
        <v>10</v>
      </c>
      <c r="D117" s="281">
        <v>1</v>
      </c>
      <c r="E117" s="282">
        <v>10852</v>
      </c>
      <c r="F117" s="282">
        <v>10852</v>
      </c>
    </row>
    <row r="118" spans="1:6">
      <c r="A118" s="279" t="s">
        <v>660</v>
      </c>
      <c r="B118" s="280" t="s">
        <v>624</v>
      </c>
      <c r="C118" s="279" t="s">
        <v>10</v>
      </c>
      <c r="D118" s="281">
        <v>1</v>
      </c>
      <c r="E118" s="282">
        <v>7165</v>
      </c>
      <c r="F118" s="282">
        <v>7165</v>
      </c>
    </row>
    <row r="119" spans="1:6">
      <c r="A119" s="279" t="s">
        <v>120</v>
      </c>
      <c r="B119" s="280" t="s">
        <v>121</v>
      </c>
      <c r="C119" s="279" t="s">
        <v>10</v>
      </c>
      <c r="D119" s="281">
        <v>1</v>
      </c>
      <c r="E119" s="282">
        <v>10852</v>
      </c>
      <c r="F119" s="282">
        <v>10852</v>
      </c>
    </row>
    <row r="120" spans="1:6">
      <c r="A120" s="279" t="s">
        <v>661</v>
      </c>
      <c r="B120" s="280" t="s">
        <v>111</v>
      </c>
      <c r="C120" s="279" t="s">
        <v>10</v>
      </c>
      <c r="D120" s="281">
        <v>3</v>
      </c>
      <c r="E120" s="282">
        <v>7165</v>
      </c>
      <c r="F120" s="282">
        <v>21495</v>
      </c>
    </row>
    <row r="121" spans="1:6">
      <c r="A121" s="279" t="s">
        <v>662</v>
      </c>
      <c r="B121" s="280" t="s">
        <v>663</v>
      </c>
      <c r="C121" s="279" t="s">
        <v>10</v>
      </c>
      <c r="D121" s="281">
        <v>1</v>
      </c>
      <c r="E121" s="282">
        <v>18757</v>
      </c>
      <c r="F121" s="282">
        <v>18757</v>
      </c>
    </row>
    <row r="122" spans="1:6">
      <c r="A122" s="279" t="s">
        <v>664</v>
      </c>
      <c r="B122" s="280" t="s">
        <v>123</v>
      </c>
      <c r="C122" s="279" t="s">
        <v>10</v>
      </c>
      <c r="D122" s="281">
        <v>3</v>
      </c>
      <c r="E122" s="282">
        <v>10852</v>
      </c>
      <c r="F122" s="282">
        <v>32556</v>
      </c>
    </row>
    <row r="123" spans="1:6">
      <c r="A123" s="279" t="s">
        <v>122</v>
      </c>
      <c r="B123" s="280" t="s">
        <v>82</v>
      </c>
      <c r="C123" s="279" t="s">
        <v>10</v>
      </c>
      <c r="D123" s="281">
        <v>3</v>
      </c>
      <c r="E123" s="282">
        <v>7165</v>
      </c>
      <c r="F123" s="282">
        <v>21495</v>
      </c>
    </row>
    <row r="124" spans="1:6">
      <c r="A124" s="279" t="s">
        <v>124</v>
      </c>
      <c r="B124" s="280" t="s">
        <v>134</v>
      </c>
      <c r="C124" s="279" t="s">
        <v>10</v>
      </c>
      <c r="D124" s="281">
        <v>1</v>
      </c>
      <c r="E124" s="282">
        <v>18757</v>
      </c>
      <c r="F124" s="282">
        <v>18757</v>
      </c>
    </row>
    <row r="125" spans="1:6">
      <c r="A125" s="279" t="s">
        <v>665</v>
      </c>
      <c r="B125" s="280" t="s">
        <v>125</v>
      </c>
      <c r="C125" s="279" t="s">
        <v>10</v>
      </c>
      <c r="D125" s="281">
        <v>4</v>
      </c>
      <c r="E125" s="282">
        <v>10852</v>
      </c>
      <c r="F125" s="282">
        <v>43408</v>
      </c>
    </row>
    <row r="126" spans="1:6">
      <c r="A126" s="279" t="s">
        <v>83</v>
      </c>
      <c r="B126" s="280" t="s">
        <v>84</v>
      </c>
      <c r="C126" s="279" t="s">
        <v>10</v>
      </c>
      <c r="D126" s="281">
        <v>2</v>
      </c>
      <c r="E126" s="282">
        <v>7165</v>
      </c>
      <c r="F126" s="282">
        <v>14330</v>
      </c>
    </row>
    <row r="127" spans="1:6">
      <c r="A127" s="279" t="s">
        <v>666</v>
      </c>
      <c r="B127" s="280" t="s">
        <v>667</v>
      </c>
      <c r="C127" s="279" t="s">
        <v>10</v>
      </c>
      <c r="D127" s="281">
        <v>3</v>
      </c>
      <c r="E127" s="282">
        <v>18757</v>
      </c>
      <c r="F127" s="282">
        <v>56271</v>
      </c>
    </row>
    <row r="128" spans="1:6">
      <c r="A128" s="279" t="s">
        <v>129</v>
      </c>
      <c r="B128" s="280" t="s">
        <v>130</v>
      </c>
      <c r="C128" s="279" t="s">
        <v>10</v>
      </c>
      <c r="D128" s="281">
        <v>4</v>
      </c>
      <c r="E128" s="282">
        <v>10852</v>
      </c>
      <c r="F128" s="282">
        <v>43408</v>
      </c>
    </row>
    <row r="129" spans="1:6">
      <c r="A129" s="279" t="s">
        <v>668</v>
      </c>
      <c r="B129" s="280" t="s">
        <v>669</v>
      </c>
      <c r="C129" s="279" t="s">
        <v>10</v>
      </c>
      <c r="D129" s="281">
        <v>2</v>
      </c>
      <c r="E129" s="282">
        <v>7165</v>
      </c>
      <c r="F129" s="282">
        <v>14330</v>
      </c>
    </row>
    <row r="130" spans="1:6">
      <c r="A130" s="279" t="s">
        <v>670</v>
      </c>
      <c r="B130" s="280" t="s">
        <v>96</v>
      </c>
      <c r="C130" s="279" t="s">
        <v>10</v>
      </c>
      <c r="D130" s="281">
        <v>1</v>
      </c>
      <c r="E130" s="282">
        <v>7165</v>
      </c>
      <c r="F130" s="282">
        <v>7165</v>
      </c>
    </row>
    <row r="131" spans="1:6">
      <c r="A131" s="279" t="s">
        <v>671</v>
      </c>
      <c r="B131" s="280" t="s">
        <v>602</v>
      </c>
      <c r="C131" s="279" t="s">
        <v>10</v>
      </c>
      <c r="D131" s="281">
        <v>2</v>
      </c>
      <c r="E131" s="282">
        <v>10852</v>
      </c>
      <c r="F131" s="282">
        <v>21704</v>
      </c>
    </row>
    <row r="132" spans="1:6">
      <c r="A132" s="279" t="s">
        <v>672</v>
      </c>
      <c r="B132" s="280" t="s">
        <v>673</v>
      </c>
      <c r="C132" s="279" t="s">
        <v>10</v>
      </c>
      <c r="D132" s="281">
        <v>2</v>
      </c>
      <c r="E132" s="282">
        <v>10852</v>
      </c>
      <c r="F132" s="282">
        <v>21704</v>
      </c>
    </row>
    <row r="133" spans="1:6">
      <c r="A133" s="279" t="s">
        <v>674</v>
      </c>
      <c r="B133" s="280" t="s">
        <v>605</v>
      </c>
      <c r="C133" s="279" t="s">
        <v>10</v>
      </c>
      <c r="D133" s="281">
        <v>1</v>
      </c>
      <c r="E133" s="282">
        <v>10852</v>
      </c>
      <c r="F133" s="282">
        <v>10852</v>
      </c>
    </row>
    <row r="134" spans="1:6">
      <c r="A134" s="279" t="s">
        <v>675</v>
      </c>
      <c r="B134" s="280" t="s">
        <v>676</v>
      </c>
      <c r="C134" s="279" t="s">
        <v>10</v>
      </c>
      <c r="D134" s="281">
        <v>1</v>
      </c>
      <c r="E134" s="282">
        <v>34566</v>
      </c>
      <c r="F134" s="282">
        <v>34566</v>
      </c>
    </row>
    <row r="135" spans="1:6">
      <c r="A135" s="279" t="s">
        <v>677</v>
      </c>
      <c r="B135" s="280" t="s">
        <v>607</v>
      </c>
      <c r="C135" s="279" t="s">
        <v>10</v>
      </c>
      <c r="D135" s="281">
        <v>1</v>
      </c>
      <c r="E135" s="282">
        <v>22709</v>
      </c>
      <c r="F135" s="282">
        <v>22709</v>
      </c>
    </row>
    <row r="136" spans="1:6">
      <c r="A136" s="279">
        <v>4.5</v>
      </c>
      <c r="B136" s="280" t="s">
        <v>20</v>
      </c>
      <c r="C136" s="279"/>
      <c r="D136" s="281"/>
      <c r="E136" s="282"/>
      <c r="F136" s="282"/>
    </row>
    <row r="137" spans="1:6">
      <c r="A137" s="279" t="s">
        <v>678</v>
      </c>
      <c r="B137" s="280" t="s">
        <v>608</v>
      </c>
      <c r="C137" s="279" t="s">
        <v>1</v>
      </c>
      <c r="D137" s="281">
        <v>0.64</v>
      </c>
      <c r="E137" s="282">
        <v>612595</v>
      </c>
      <c r="F137" s="282">
        <v>392060.8</v>
      </c>
    </row>
    <row r="138" spans="1:6">
      <c r="A138" s="279" t="s">
        <v>679</v>
      </c>
      <c r="B138" s="280" t="s">
        <v>103</v>
      </c>
      <c r="C138" s="279" t="s">
        <v>1</v>
      </c>
      <c r="D138" s="281">
        <v>0.02</v>
      </c>
      <c r="E138" s="282">
        <v>464474</v>
      </c>
      <c r="F138" s="282">
        <v>9289.48</v>
      </c>
    </row>
    <row r="139" spans="1:6">
      <c r="A139" s="279">
        <v>4.5999999999999996</v>
      </c>
      <c r="B139" s="280" t="s">
        <v>12</v>
      </c>
      <c r="C139" s="279"/>
      <c r="D139" s="281"/>
      <c r="E139" s="282"/>
      <c r="F139" s="282"/>
    </row>
    <row r="140" spans="1:6">
      <c r="A140" s="279" t="s">
        <v>680</v>
      </c>
      <c r="B140" s="280" t="s">
        <v>66</v>
      </c>
      <c r="C140" s="279" t="s">
        <v>4</v>
      </c>
      <c r="D140" s="281">
        <v>41.94</v>
      </c>
      <c r="E140" s="282">
        <v>808</v>
      </c>
      <c r="F140" s="282">
        <v>33887.519999999997</v>
      </c>
    </row>
    <row r="141" spans="1:6">
      <c r="A141" s="279">
        <v>4.7</v>
      </c>
      <c r="B141" s="280" t="s">
        <v>21</v>
      </c>
      <c r="C141" s="279"/>
      <c r="D141" s="281"/>
      <c r="E141" s="282"/>
      <c r="F141" s="282"/>
    </row>
    <row r="142" spans="1:6">
      <c r="A142" s="279" t="s">
        <v>681</v>
      </c>
      <c r="B142" s="280" t="s">
        <v>25</v>
      </c>
      <c r="C142" s="279" t="s">
        <v>10</v>
      </c>
      <c r="D142" s="281">
        <v>1.5</v>
      </c>
      <c r="E142" s="282">
        <v>351941</v>
      </c>
      <c r="F142" s="282">
        <v>527911.5</v>
      </c>
    </row>
    <row r="143" spans="1:6">
      <c r="A143" s="279">
        <v>4.8</v>
      </c>
      <c r="B143" s="280" t="s">
        <v>26</v>
      </c>
      <c r="C143" s="279"/>
      <c r="D143" s="281"/>
      <c r="E143" s="282"/>
      <c r="F143" s="282"/>
    </row>
    <row r="144" spans="1:6">
      <c r="A144" s="279" t="s">
        <v>682</v>
      </c>
      <c r="B144" s="280" t="s">
        <v>27</v>
      </c>
      <c r="C144" s="279" t="s">
        <v>10</v>
      </c>
      <c r="D144" s="281">
        <v>595</v>
      </c>
      <c r="E144" s="282">
        <v>23111</v>
      </c>
      <c r="F144" s="282">
        <v>13751045</v>
      </c>
    </row>
    <row r="145" spans="1:6">
      <c r="A145" s="279">
        <v>4.9000000000000004</v>
      </c>
      <c r="B145" s="280" t="s">
        <v>28</v>
      </c>
      <c r="C145" s="279"/>
      <c r="D145" s="281"/>
      <c r="E145" s="282"/>
      <c r="F145" s="282"/>
    </row>
    <row r="146" spans="1:6" ht="120">
      <c r="A146" s="279" t="s">
        <v>683</v>
      </c>
      <c r="B146" s="280" t="s">
        <v>108</v>
      </c>
      <c r="C146" s="279" t="s">
        <v>10</v>
      </c>
      <c r="D146" s="281">
        <v>595</v>
      </c>
      <c r="E146" s="282">
        <v>158939</v>
      </c>
      <c r="F146" s="282">
        <v>94568705</v>
      </c>
    </row>
    <row r="147" spans="1:6">
      <c r="A147" s="279" t="s">
        <v>684</v>
      </c>
      <c r="B147" s="280" t="s">
        <v>103</v>
      </c>
      <c r="C147" s="279" t="s">
        <v>1</v>
      </c>
      <c r="D147" s="281">
        <v>2.29</v>
      </c>
      <c r="E147" s="282">
        <v>464474</v>
      </c>
      <c r="F147" s="282">
        <v>1063645.46</v>
      </c>
    </row>
    <row r="148" spans="1:6">
      <c r="A148" s="530" t="s">
        <v>685</v>
      </c>
      <c r="B148" s="530"/>
      <c r="C148" s="530"/>
      <c r="D148" s="530"/>
      <c r="E148" s="530"/>
      <c r="F148" s="296">
        <f>+SUM(F99:F147,0)</f>
        <v>449724708.08999997</v>
      </c>
    </row>
    <row r="149" spans="1:6">
      <c r="A149" s="278">
        <v>5</v>
      </c>
      <c r="B149" s="535" t="s">
        <v>686</v>
      </c>
      <c r="C149" s="535"/>
      <c r="D149" s="535"/>
      <c r="E149" s="535"/>
      <c r="F149" s="535"/>
    </row>
    <row r="150" spans="1:6">
      <c r="A150" s="279">
        <v>5.0999999999999996</v>
      </c>
      <c r="B150" s="280" t="s">
        <v>13</v>
      </c>
      <c r="C150" s="279"/>
      <c r="D150" s="281"/>
      <c r="E150" s="282"/>
      <c r="F150" s="282"/>
    </row>
    <row r="151" spans="1:6">
      <c r="A151" s="279" t="s">
        <v>687</v>
      </c>
      <c r="B151" s="280" t="s">
        <v>9</v>
      </c>
      <c r="C151" s="279" t="s">
        <v>1</v>
      </c>
      <c r="D151" s="281">
        <v>1728.97</v>
      </c>
      <c r="E151" s="282">
        <v>6946</v>
      </c>
      <c r="F151" s="282">
        <v>12009425.620000001</v>
      </c>
    </row>
    <row r="152" spans="1:6">
      <c r="A152" s="279" t="s">
        <v>688</v>
      </c>
      <c r="B152" s="280" t="s">
        <v>74</v>
      </c>
      <c r="C152" s="279" t="s">
        <v>1</v>
      </c>
      <c r="D152" s="281">
        <v>306.25</v>
      </c>
      <c r="E152" s="282">
        <v>72552</v>
      </c>
      <c r="F152" s="282">
        <v>22219050</v>
      </c>
    </row>
    <row r="153" spans="1:6">
      <c r="A153" s="279">
        <v>5.2</v>
      </c>
      <c r="B153" s="280" t="s">
        <v>18</v>
      </c>
      <c r="C153" s="279"/>
      <c r="D153" s="281"/>
      <c r="E153" s="282"/>
      <c r="F153" s="282"/>
    </row>
    <row r="154" spans="1:6">
      <c r="A154" s="279" t="s">
        <v>689</v>
      </c>
      <c r="B154" s="280" t="s">
        <v>11</v>
      </c>
      <c r="C154" s="279" t="s">
        <v>1</v>
      </c>
      <c r="D154" s="281">
        <v>819.77</v>
      </c>
      <c r="E154" s="282">
        <v>90605</v>
      </c>
      <c r="F154" s="282">
        <v>74275260.849999994</v>
      </c>
    </row>
    <row r="155" spans="1:6">
      <c r="A155" s="279" t="s">
        <v>690</v>
      </c>
      <c r="B155" s="280" t="s">
        <v>76</v>
      </c>
      <c r="C155" s="279" t="s">
        <v>1</v>
      </c>
      <c r="D155" s="281">
        <v>264.10000000000002</v>
      </c>
      <c r="E155" s="282">
        <v>13134</v>
      </c>
      <c r="F155" s="282">
        <v>3468689.4000000004</v>
      </c>
    </row>
    <row r="156" spans="1:6" ht="30">
      <c r="A156" s="279" t="s">
        <v>691</v>
      </c>
      <c r="B156" s="280" t="s">
        <v>77</v>
      </c>
      <c r="C156" s="279" t="s">
        <v>1</v>
      </c>
      <c r="D156" s="281">
        <v>373.03</v>
      </c>
      <c r="E156" s="282">
        <v>131380</v>
      </c>
      <c r="F156" s="282">
        <v>49008681.399999999</v>
      </c>
    </row>
    <row r="157" spans="1:6">
      <c r="A157" s="279" t="s">
        <v>692</v>
      </c>
      <c r="B157" s="280" t="s">
        <v>19</v>
      </c>
      <c r="C157" s="279" t="s">
        <v>1</v>
      </c>
      <c r="D157" s="281">
        <v>202.2</v>
      </c>
      <c r="E157" s="282">
        <v>114147</v>
      </c>
      <c r="F157" s="282">
        <v>23080523.399999999</v>
      </c>
    </row>
    <row r="158" spans="1:6">
      <c r="A158" s="279" t="s">
        <v>693</v>
      </c>
      <c r="B158" s="280" t="s">
        <v>78</v>
      </c>
      <c r="C158" s="279" t="s">
        <v>1</v>
      </c>
      <c r="D158" s="281">
        <v>75</v>
      </c>
      <c r="E158" s="282">
        <v>727438</v>
      </c>
      <c r="F158" s="282">
        <v>54557850</v>
      </c>
    </row>
    <row r="159" spans="1:6" ht="30">
      <c r="A159" s="279" t="s">
        <v>694</v>
      </c>
      <c r="B159" s="280" t="s">
        <v>22</v>
      </c>
      <c r="C159" s="279" t="s">
        <v>1</v>
      </c>
      <c r="D159" s="281">
        <v>1454.75</v>
      </c>
      <c r="E159" s="282">
        <v>37243</v>
      </c>
      <c r="F159" s="282">
        <v>54179254.25</v>
      </c>
    </row>
    <row r="160" spans="1:6">
      <c r="A160" s="279" t="s">
        <v>695</v>
      </c>
      <c r="B160" s="280" t="s">
        <v>68</v>
      </c>
      <c r="C160" s="279" t="s">
        <v>1</v>
      </c>
      <c r="D160" s="281">
        <v>415.39</v>
      </c>
      <c r="E160" s="282">
        <v>67222</v>
      </c>
      <c r="F160" s="282">
        <v>27923346.579999998</v>
      </c>
    </row>
    <row r="161" spans="1:6">
      <c r="A161" s="279">
        <v>5.3</v>
      </c>
      <c r="B161" s="291" t="s">
        <v>15</v>
      </c>
      <c r="C161" s="279"/>
      <c r="D161" s="281"/>
      <c r="E161" s="282"/>
      <c r="F161" s="282"/>
    </row>
    <row r="162" spans="1:6">
      <c r="A162" s="279" t="s">
        <v>696</v>
      </c>
      <c r="B162" s="293" t="s">
        <v>23</v>
      </c>
      <c r="C162" s="279" t="s">
        <v>67</v>
      </c>
      <c r="D162" s="281">
        <v>697.25</v>
      </c>
      <c r="E162" s="282">
        <v>3458</v>
      </c>
      <c r="F162" s="282">
        <v>2411090.5</v>
      </c>
    </row>
    <row r="163" spans="1:6">
      <c r="A163" s="279" t="s">
        <v>697</v>
      </c>
      <c r="B163" s="293" t="s">
        <v>16</v>
      </c>
      <c r="C163" s="279" t="s">
        <v>67</v>
      </c>
      <c r="D163" s="281">
        <v>662.36</v>
      </c>
      <c r="E163" s="282">
        <v>3458</v>
      </c>
      <c r="F163" s="282">
        <v>2290440.88</v>
      </c>
    </row>
    <row r="164" spans="1:6">
      <c r="A164" s="279" t="s">
        <v>698</v>
      </c>
      <c r="B164" s="293" t="s">
        <v>24</v>
      </c>
      <c r="C164" s="279" t="s">
        <v>67</v>
      </c>
      <c r="D164" s="281">
        <v>992.51</v>
      </c>
      <c r="E164" s="282">
        <v>4107</v>
      </c>
      <c r="F164" s="282">
        <v>4076238.57</v>
      </c>
    </row>
    <row r="165" spans="1:6">
      <c r="A165" s="279" t="s">
        <v>699</v>
      </c>
      <c r="B165" s="293" t="s">
        <v>17</v>
      </c>
      <c r="C165" s="279" t="s">
        <v>67</v>
      </c>
      <c r="D165" s="281">
        <v>30.15</v>
      </c>
      <c r="E165" s="282">
        <v>5673</v>
      </c>
      <c r="F165" s="282">
        <v>171040.94999999998</v>
      </c>
    </row>
    <row r="166" spans="1:6">
      <c r="A166" s="279" t="s">
        <v>700</v>
      </c>
      <c r="B166" s="280" t="s">
        <v>656</v>
      </c>
      <c r="C166" s="279" t="s">
        <v>10</v>
      </c>
      <c r="D166" s="281">
        <v>1</v>
      </c>
      <c r="E166" s="282">
        <v>85227</v>
      </c>
      <c r="F166" s="282">
        <v>85227</v>
      </c>
    </row>
    <row r="167" spans="1:6">
      <c r="A167" s="279" t="s">
        <v>701</v>
      </c>
      <c r="B167" s="280" t="s">
        <v>593</v>
      </c>
      <c r="C167" s="279" t="s">
        <v>10</v>
      </c>
      <c r="D167" s="281">
        <v>2</v>
      </c>
      <c r="E167" s="282">
        <v>64286</v>
      </c>
      <c r="F167" s="282">
        <v>128572</v>
      </c>
    </row>
    <row r="168" spans="1:6">
      <c r="A168" s="279" t="s">
        <v>702</v>
      </c>
      <c r="B168" s="280" t="s">
        <v>659</v>
      </c>
      <c r="C168" s="279" t="s">
        <v>10</v>
      </c>
      <c r="D168" s="281">
        <v>1</v>
      </c>
      <c r="E168" s="282">
        <v>48077</v>
      </c>
      <c r="F168" s="282">
        <v>48077</v>
      </c>
    </row>
    <row r="169" spans="1:6">
      <c r="A169" s="279" t="s">
        <v>703</v>
      </c>
      <c r="B169" s="280" t="s">
        <v>591</v>
      </c>
      <c r="C169" s="279" t="s">
        <v>10</v>
      </c>
      <c r="D169" s="281">
        <v>1</v>
      </c>
      <c r="E169" s="282">
        <v>33881</v>
      </c>
      <c r="F169" s="282">
        <v>33881</v>
      </c>
    </row>
    <row r="170" spans="1:6">
      <c r="A170" s="279">
        <v>5.4</v>
      </c>
      <c r="B170" s="280" t="s">
        <v>31</v>
      </c>
      <c r="C170" s="279"/>
      <c r="D170" s="281"/>
      <c r="E170" s="282"/>
      <c r="F170" s="282"/>
    </row>
    <row r="171" spans="1:6">
      <c r="A171" s="279" t="s">
        <v>704</v>
      </c>
      <c r="B171" s="280" t="s">
        <v>119</v>
      </c>
      <c r="C171" s="279" t="s">
        <v>10</v>
      </c>
      <c r="D171" s="281">
        <v>1</v>
      </c>
      <c r="E171" s="282">
        <v>10852</v>
      </c>
      <c r="F171" s="282">
        <v>10852</v>
      </c>
    </row>
    <row r="172" spans="1:6">
      <c r="A172" s="279" t="s">
        <v>705</v>
      </c>
      <c r="B172" s="280" t="s">
        <v>624</v>
      </c>
      <c r="C172" s="279" t="s">
        <v>10</v>
      </c>
      <c r="D172" s="281">
        <v>2</v>
      </c>
      <c r="E172" s="282">
        <v>7165</v>
      </c>
      <c r="F172" s="282">
        <v>14330</v>
      </c>
    </row>
    <row r="173" spans="1:6">
      <c r="A173" s="279" t="s">
        <v>127</v>
      </c>
      <c r="B173" s="280" t="s">
        <v>128</v>
      </c>
      <c r="C173" s="279" t="s">
        <v>10</v>
      </c>
      <c r="D173" s="281">
        <v>3</v>
      </c>
      <c r="E173" s="282">
        <v>6093</v>
      </c>
      <c r="F173" s="282">
        <v>18279</v>
      </c>
    </row>
    <row r="174" spans="1:6">
      <c r="A174" s="279" t="s">
        <v>706</v>
      </c>
      <c r="B174" s="280" t="s">
        <v>121</v>
      </c>
      <c r="C174" s="279" t="s">
        <v>10</v>
      </c>
      <c r="D174" s="281">
        <v>1</v>
      </c>
      <c r="E174" s="282">
        <v>10852</v>
      </c>
      <c r="F174" s="282">
        <v>10852</v>
      </c>
    </row>
    <row r="175" spans="1:6">
      <c r="A175" s="279" t="s">
        <v>707</v>
      </c>
      <c r="B175" s="280" t="s">
        <v>111</v>
      </c>
      <c r="C175" s="279" t="s">
        <v>10</v>
      </c>
      <c r="D175" s="281">
        <v>3</v>
      </c>
      <c r="E175" s="282">
        <v>7165</v>
      </c>
      <c r="F175" s="282">
        <v>21495</v>
      </c>
    </row>
    <row r="176" spans="1:6">
      <c r="A176" s="279" t="s">
        <v>708</v>
      </c>
      <c r="B176" s="280" t="s">
        <v>86</v>
      </c>
      <c r="C176" s="279" t="s">
        <v>10</v>
      </c>
      <c r="D176" s="281">
        <v>3</v>
      </c>
      <c r="E176" s="282">
        <v>6093</v>
      </c>
      <c r="F176" s="282">
        <v>18279</v>
      </c>
    </row>
    <row r="177" spans="1:6">
      <c r="A177" s="279" t="s">
        <v>709</v>
      </c>
      <c r="B177" s="280" t="s">
        <v>663</v>
      </c>
      <c r="C177" s="279" t="s">
        <v>10</v>
      </c>
      <c r="D177" s="281">
        <v>1</v>
      </c>
      <c r="E177" s="282">
        <v>18757</v>
      </c>
      <c r="F177" s="282">
        <v>18757</v>
      </c>
    </row>
    <row r="178" spans="1:6">
      <c r="A178" s="279" t="s">
        <v>710</v>
      </c>
      <c r="B178" s="280" t="s">
        <v>123</v>
      </c>
      <c r="C178" s="279" t="s">
        <v>10</v>
      </c>
      <c r="D178" s="281">
        <v>3</v>
      </c>
      <c r="E178" s="282">
        <v>10852</v>
      </c>
      <c r="F178" s="282">
        <v>32556</v>
      </c>
    </row>
    <row r="179" spans="1:6">
      <c r="A179" s="279" t="s">
        <v>711</v>
      </c>
      <c r="B179" s="280" t="s">
        <v>82</v>
      </c>
      <c r="C179" s="279" t="s">
        <v>10</v>
      </c>
      <c r="D179" s="281">
        <v>3</v>
      </c>
      <c r="E179" s="282">
        <v>7165</v>
      </c>
      <c r="F179" s="282">
        <v>21495</v>
      </c>
    </row>
    <row r="180" spans="1:6">
      <c r="A180" s="279" t="s">
        <v>712</v>
      </c>
      <c r="B180" s="280" t="s">
        <v>88</v>
      </c>
      <c r="C180" s="279" t="s">
        <v>10</v>
      </c>
      <c r="D180" s="281">
        <v>6</v>
      </c>
      <c r="E180" s="282">
        <v>6093</v>
      </c>
      <c r="F180" s="282">
        <v>36558</v>
      </c>
    </row>
    <row r="181" spans="1:6">
      <c r="A181" s="279" t="s">
        <v>713</v>
      </c>
      <c r="B181" s="280" t="s">
        <v>134</v>
      </c>
      <c r="C181" s="279" t="s">
        <v>10</v>
      </c>
      <c r="D181" s="281">
        <v>1</v>
      </c>
      <c r="E181" s="282">
        <v>18757</v>
      </c>
      <c r="F181" s="282">
        <v>18757</v>
      </c>
    </row>
    <row r="182" spans="1:6">
      <c r="A182" s="279" t="s">
        <v>714</v>
      </c>
      <c r="B182" s="280" t="s">
        <v>125</v>
      </c>
      <c r="C182" s="279" t="s">
        <v>10</v>
      </c>
      <c r="D182" s="281">
        <v>4</v>
      </c>
      <c r="E182" s="282">
        <v>10852</v>
      </c>
      <c r="F182" s="282">
        <v>43408</v>
      </c>
    </row>
    <row r="183" spans="1:6">
      <c r="A183" s="279" t="s">
        <v>715</v>
      </c>
      <c r="B183" s="280" t="s">
        <v>84</v>
      </c>
      <c r="C183" s="279" t="s">
        <v>10</v>
      </c>
      <c r="D183" s="281">
        <v>2</v>
      </c>
      <c r="E183" s="282">
        <v>7165</v>
      </c>
      <c r="F183" s="282">
        <v>14330</v>
      </c>
    </row>
    <row r="184" spans="1:6">
      <c r="A184" s="279" t="s">
        <v>716</v>
      </c>
      <c r="B184" s="280" t="s">
        <v>90</v>
      </c>
      <c r="C184" s="279" t="s">
        <v>10</v>
      </c>
      <c r="D184" s="281">
        <v>5</v>
      </c>
      <c r="E184" s="282">
        <v>6093</v>
      </c>
      <c r="F184" s="282">
        <v>30465</v>
      </c>
    </row>
    <row r="185" spans="1:6">
      <c r="A185" s="279" t="s">
        <v>717</v>
      </c>
      <c r="B185" s="280" t="s">
        <v>667</v>
      </c>
      <c r="C185" s="279" t="s">
        <v>10</v>
      </c>
      <c r="D185" s="281">
        <v>3</v>
      </c>
      <c r="E185" s="282">
        <v>18757</v>
      </c>
      <c r="F185" s="282">
        <v>56271</v>
      </c>
    </row>
    <row r="186" spans="1:6">
      <c r="A186" s="279" t="s">
        <v>718</v>
      </c>
      <c r="B186" s="280" t="s">
        <v>130</v>
      </c>
      <c r="C186" s="279" t="s">
        <v>10</v>
      </c>
      <c r="D186" s="281">
        <v>4</v>
      </c>
      <c r="E186" s="282">
        <v>10852</v>
      </c>
      <c r="F186" s="282">
        <v>43408</v>
      </c>
    </row>
    <row r="187" spans="1:6">
      <c r="A187" s="279" t="s">
        <v>719</v>
      </c>
      <c r="B187" s="280" t="s">
        <v>112</v>
      </c>
      <c r="C187" s="279" t="s">
        <v>10</v>
      </c>
      <c r="D187" s="281">
        <v>2</v>
      </c>
      <c r="E187" s="282">
        <v>7165</v>
      </c>
      <c r="F187" s="282">
        <v>14330</v>
      </c>
    </row>
    <row r="188" spans="1:6">
      <c r="A188" s="279" t="s">
        <v>720</v>
      </c>
      <c r="B188" s="280" t="s">
        <v>99</v>
      </c>
      <c r="C188" s="279" t="s">
        <v>10</v>
      </c>
      <c r="D188" s="281">
        <v>4</v>
      </c>
      <c r="E188" s="282">
        <v>6093</v>
      </c>
      <c r="F188" s="282">
        <v>24372</v>
      </c>
    </row>
    <row r="189" spans="1:6">
      <c r="A189" s="279" t="s">
        <v>721</v>
      </c>
      <c r="B189" s="280" t="s">
        <v>96</v>
      </c>
      <c r="C189" s="279" t="s">
        <v>10</v>
      </c>
      <c r="D189" s="281">
        <v>1</v>
      </c>
      <c r="E189" s="282">
        <v>7165</v>
      </c>
      <c r="F189" s="282">
        <v>7165</v>
      </c>
    </row>
    <row r="190" spans="1:6">
      <c r="A190" s="279" t="s">
        <v>722</v>
      </c>
      <c r="B190" s="280" t="s">
        <v>602</v>
      </c>
      <c r="C190" s="279" t="s">
        <v>10</v>
      </c>
      <c r="D190" s="281">
        <v>2</v>
      </c>
      <c r="E190" s="282">
        <v>10852</v>
      </c>
      <c r="F190" s="282">
        <v>21704</v>
      </c>
    </row>
    <row r="191" spans="1:6">
      <c r="A191" s="279" t="s">
        <v>723</v>
      </c>
      <c r="B191" s="280" t="s">
        <v>117</v>
      </c>
      <c r="C191" s="279" t="s">
        <v>10</v>
      </c>
      <c r="D191" s="281">
        <v>2</v>
      </c>
      <c r="E191" s="282">
        <v>10852</v>
      </c>
      <c r="F191" s="282">
        <v>21704</v>
      </c>
    </row>
    <row r="192" spans="1:6">
      <c r="A192" s="279" t="s">
        <v>724</v>
      </c>
      <c r="B192" s="280" t="s">
        <v>605</v>
      </c>
      <c r="C192" s="279" t="s">
        <v>10</v>
      </c>
      <c r="D192" s="281">
        <v>1</v>
      </c>
      <c r="E192" s="282">
        <v>10852</v>
      </c>
      <c r="F192" s="282">
        <v>10852</v>
      </c>
    </row>
    <row r="193" spans="1:6">
      <c r="A193" s="279" t="s">
        <v>725</v>
      </c>
      <c r="B193" s="280" t="s">
        <v>676</v>
      </c>
      <c r="C193" s="279" t="s">
        <v>10</v>
      </c>
      <c r="D193" s="281">
        <v>2</v>
      </c>
      <c r="E193" s="282">
        <v>34566</v>
      </c>
      <c r="F193" s="282">
        <v>69132</v>
      </c>
    </row>
    <row r="194" spans="1:6">
      <c r="A194" s="279" t="s">
        <v>726</v>
      </c>
      <c r="B194" s="280" t="s">
        <v>607</v>
      </c>
      <c r="C194" s="279" t="s">
        <v>10</v>
      </c>
      <c r="D194" s="281">
        <v>2</v>
      </c>
      <c r="E194" s="282">
        <v>22709</v>
      </c>
      <c r="F194" s="282">
        <v>45418</v>
      </c>
    </row>
    <row r="195" spans="1:6">
      <c r="A195" s="279">
        <v>5.5</v>
      </c>
      <c r="B195" s="280" t="s">
        <v>20</v>
      </c>
      <c r="C195" s="279"/>
      <c r="D195" s="281"/>
      <c r="E195" s="282"/>
      <c r="F195" s="282"/>
    </row>
    <row r="196" spans="1:6">
      <c r="A196" s="279" t="s">
        <v>727</v>
      </c>
      <c r="B196" s="280" t="s">
        <v>608</v>
      </c>
      <c r="C196" s="279" t="s">
        <v>1</v>
      </c>
      <c r="D196" s="281">
        <v>0.64</v>
      </c>
      <c r="E196" s="282">
        <v>612595</v>
      </c>
      <c r="F196" s="282">
        <v>392060.8</v>
      </c>
    </row>
    <row r="197" spans="1:6">
      <c r="A197" s="279" t="s">
        <v>728</v>
      </c>
      <c r="B197" s="280" t="s">
        <v>103</v>
      </c>
      <c r="C197" s="279" t="s">
        <v>1</v>
      </c>
      <c r="D197" s="281">
        <v>0.02</v>
      </c>
      <c r="E197" s="282">
        <v>464474</v>
      </c>
      <c r="F197" s="282">
        <v>9289.48</v>
      </c>
    </row>
    <row r="198" spans="1:6">
      <c r="A198" s="279">
        <v>5.6</v>
      </c>
      <c r="B198" s="280" t="s">
        <v>12</v>
      </c>
      <c r="C198" s="279"/>
      <c r="D198" s="281"/>
      <c r="E198" s="282"/>
      <c r="F198" s="282"/>
    </row>
    <row r="199" spans="1:6">
      <c r="A199" s="279" t="s">
        <v>729</v>
      </c>
      <c r="B199" s="280" t="s">
        <v>66</v>
      </c>
      <c r="C199" s="279" t="s">
        <v>4</v>
      </c>
      <c r="D199" s="281">
        <v>41.94</v>
      </c>
      <c r="E199" s="282">
        <v>808</v>
      </c>
      <c r="F199" s="282">
        <v>33887.519999999997</v>
      </c>
    </row>
    <row r="200" spans="1:6">
      <c r="A200" s="279">
        <v>5.7</v>
      </c>
      <c r="B200" s="280" t="s">
        <v>21</v>
      </c>
      <c r="C200" s="279"/>
      <c r="D200" s="281"/>
      <c r="E200" s="282"/>
      <c r="F200" s="282"/>
    </row>
    <row r="201" spans="1:6">
      <c r="A201" s="279" t="s">
        <v>730</v>
      </c>
      <c r="B201" s="280" t="s">
        <v>25</v>
      </c>
      <c r="C201" s="279" t="s">
        <v>10</v>
      </c>
      <c r="D201" s="281">
        <v>1.5</v>
      </c>
      <c r="E201" s="282">
        <v>351941</v>
      </c>
      <c r="F201" s="282">
        <v>527911.5</v>
      </c>
    </row>
    <row r="202" spans="1:6">
      <c r="A202" s="279">
        <v>5.8</v>
      </c>
      <c r="B202" s="280" t="s">
        <v>731</v>
      </c>
      <c r="C202" s="279"/>
      <c r="D202" s="281"/>
      <c r="E202" s="282"/>
      <c r="F202" s="282"/>
    </row>
    <row r="203" spans="1:6">
      <c r="A203" s="279" t="s">
        <v>732</v>
      </c>
      <c r="B203" s="280" t="s">
        <v>733</v>
      </c>
      <c r="C203" s="279" t="s">
        <v>10</v>
      </c>
      <c r="D203" s="281">
        <v>1</v>
      </c>
      <c r="E203" s="282">
        <v>523975</v>
      </c>
      <c r="F203" s="282">
        <v>523975</v>
      </c>
    </row>
    <row r="204" spans="1:6">
      <c r="A204" s="279">
        <v>5.9</v>
      </c>
      <c r="B204" s="280" t="s">
        <v>26</v>
      </c>
      <c r="C204" s="279"/>
      <c r="D204" s="281"/>
      <c r="E204" s="282"/>
      <c r="F204" s="282"/>
    </row>
    <row r="205" spans="1:6">
      <c r="A205" s="279" t="s">
        <v>734</v>
      </c>
      <c r="B205" s="280" t="s">
        <v>27</v>
      </c>
      <c r="C205" s="279" t="s">
        <v>10</v>
      </c>
      <c r="D205" s="281">
        <v>595</v>
      </c>
      <c r="E205" s="282">
        <v>23111</v>
      </c>
      <c r="F205" s="282">
        <v>13751045</v>
      </c>
    </row>
    <row r="206" spans="1:6">
      <c r="A206" s="279">
        <v>5.0999999999999996</v>
      </c>
      <c r="B206" s="280" t="s">
        <v>28</v>
      </c>
      <c r="C206" s="279"/>
      <c r="D206" s="281"/>
      <c r="E206" s="282"/>
      <c r="F206" s="282"/>
    </row>
    <row r="207" spans="1:6" ht="120">
      <c r="A207" s="279" t="s">
        <v>735</v>
      </c>
      <c r="B207" s="280" t="s">
        <v>108</v>
      </c>
      <c r="C207" s="279" t="s">
        <v>10</v>
      </c>
      <c r="D207" s="281">
        <v>595</v>
      </c>
      <c r="E207" s="282">
        <v>158939</v>
      </c>
      <c r="F207" s="282">
        <v>94568705</v>
      </c>
    </row>
    <row r="208" spans="1:6">
      <c r="A208" s="279" t="s">
        <v>736</v>
      </c>
      <c r="B208" s="280" t="s">
        <v>103</v>
      </c>
      <c r="C208" s="279" t="s">
        <v>1</v>
      </c>
      <c r="D208" s="281">
        <v>2.29</v>
      </c>
      <c r="E208" s="282">
        <v>464474</v>
      </c>
      <c r="F208" s="282">
        <v>1063645.46</v>
      </c>
    </row>
    <row r="209" spans="1:6">
      <c r="A209" s="530" t="s">
        <v>737</v>
      </c>
      <c r="B209" s="530"/>
      <c r="C209" s="530"/>
      <c r="D209" s="530"/>
      <c r="E209" s="530"/>
      <c r="F209" s="296">
        <f>+SUM(F150:F208,0)</f>
        <v>441461938.15999997</v>
      </c>
    </row>
    <row r="210" spans="1:6">
      <c r="A210" s="278">
        <v>6</v>
      </c>
      <c r="B210" s="535" t="s">
        <v>738</v>
      </c>
      <c r="C210" s="535"/>
      <c r="D210" s="535"/>
      <c r="E210" s="535"/>
      <c r="F210" s="535"/>
    </row>
    <row r="211" spans="1:6">
      <c r="A211" s="279">
        <v>6.1</v>
      </c>
      <c r="B211" s="280" t="s">
        <v>13</v>
      </c>
      <c r="C211" s="279"/>
      <c r="D211" s="281"/>
      <c r="E211" s="282"/>
      <c r="F211" s="282"/>
    </row>
    <row r="212" spans="1:6">
      <c r="A212" s="279" t="s">
        <v>739</v>
      </c>
      <c r="B212" s="280" t="s">
        <v>9</v>
      </c>
      <c r="C212" s="279" t="s">
        <v>1</v>
      </c>
      <c r="D212" s="281">
        <v>1280.8699999999999</v>
      </c>
      <c r="E212" s="282">
        <v>6946</v>
      </c>
      <c r="F212" s="282">
        <v>8896923.0199999996</v>
      </c>
    </row>
    <row r="213" spans="1:6">
      <c r="A213" s="279" t="s">
        <v>740</v>
      </c>
      <c r="B213" s="280" t="s">
        <v>74</v>
      </c>
      <c r="C213" s="279" t="s">
        <v>1</v>
      </c>
      <c r="D213" s="281">
        <v>306.25</v>
      </c>
      <c r="E213" s="282">
        <v>72552</v>
      </c>
      <c r="F213" s="282">
        <v>22219050</v>
      </c>
    </row>
    <row r="214" spans="1:6">
      <c r="A214" s="279">
        <v>6.2</v>
      </c>
      <c r="B214" s="280" t="s">
        <v>18</v>
      </c>
      <c r="C214" s="279"/>
      <c r="D214" s="281"/>
      <c r="E214" s="282">
        <v>0</v>
      </c>
      <c r="F214" s="282"/>
    </row>
    <row r="215" spans="1:6">
      <c r="A215" s="279" t="s">
        <v>741</v>
      </c>
      <c r="B215" s="280" t="s">
        <v>11</v>
      </c>
      <c r="C215" s="279" t="s">
        <v>1</v>
      </c>
      <c r="D215" s="281">
        <v>646.25</v>
      </c>
      <c r="E215" s="282">
        <v>90605</v>
      </c>
      <c r="F215" s="282">
        <v>58553481.25</v>
      </c>
    </row>
    <row r="216" spans="1:6">
      <c r="A216" s="279" t="s">
        <v>742</v>
      </c>
      <c r="B216" s="280" t="s">
        <v>76</v>
      </c>
      <c r="C216" s="279" t="s">
        <v>1</v>
      </c>
      <c r="D216" s="281">
        <v>180.2</v>
      </c>
      <c r="E216" s="282">
        <v>13134</v>
      </c>
      <c r="F216" s="282">
        <v>2366746.7999999998</v>
      </c>
    </row>
    <row r="217" spans="1:6" ht="30">
      <c r="A217" s="279" t="s">
        <v>743</v>
      </c>
      <c r="B217" s="280" t="s">
        <v>77</v>
      </c>
      <c r="C217" s="279" t="s">
        <v>1</v>
      </c>
      <c r="D217" s="281">
        <v>286.87</v>
      </c>
      <c r="E217" s="282">
        <v>131380</v>
      </c>
      <c r="F217" s="282">
        <v>37688980.600000001</v>
      </c>
    </row>
    <row r="218" spans="1:6">
      <c r="A218" s="279" t="s">
        <v>744</v>
      </c>
      <c r="B218" s="280" t="s">
        <v>19</v>
      </c>
      <c r="C218" s="279" t="s">
        <v>1</v>
      </c>
      <c r="D218" s="281">
        <v>165.56</v>
      </c>
      <c r="E218" s="282">
        <v>114147</v>
      </c>
      <c r="F218" s="282">
        <v>18898177.32</v>
      </c>
    </row>
    <row r="219" spans="1:6">
      <c r="A219" s="279" t="s">
        <v>745</v>
      </c>
      <c r="B219" s="280" t="s">
        <v>78</v>
      </c>
      <c r="C219" s="279" t="s">
        <v>1</v>
      </c>
      <c r="D219" s="281">
        <v>61</v>
      </c>
      <c r="E219" s="282">
        <v>727438</v>
      </c>
      <c r="F219" s="282">
        <v>44373718</v>
      </c>
    </row>
    <row r="220" spans="1:6" ht="30">
      <c r="A220" s="279" t="s">
        <v>746</v>
      </c>
      <c r="B220" s="280" t="s">
        <v>22</v>
      </c>
      <c r="C220" s="279" t="s">
        <v>1</v>
      </c>
      <c r="D220" s="281">
        <v>1090.54</v>
      </c>
      <c r="E220" s="282">
        <v>37243</v>
      </c>
      <c r="F220" s="282">
        <v>40614981.219999999</v>
      </c>
    </row>
    <row r="221" spans="1:6">
      <c r="A221" s="279" t="s">
        <v>747</v>
      </c>
      <c r="B221" s="280" t="s">
        <v>68</v>
      </c>
      <c r="C221" s="279" t="s">
        <v>1</v>
      </c>
      <c r="D221" s="281">
        <v>415.39</v>
      </c>
      <c r="E221" s="282">
        <v>67222</v>
      </c>
      <c r="F221" s="282">
        <v>27923346.579999998</v>
      </c>
    </row>
    <row r="222" spans="1:6">
      <c r="A222" s="279">
        <v>6.3</v>
      </c>
      <c r="B222" s="291" t="s">
        <v>15</v>
      </c>
      <c r="C222" s="279"/>
      <c r="D222" s="281"/>
      <c r="E222" s="282"/>
      <c r="F222" s="282"/>
    </row>
    <row r="223" spans="1:6">
      <c r="A223" s="279" t="s">
        <v>748</v>
      </c>
      <c r="B223" s="293" t="s">
        <v>23</v>
      </c>
      <c r="C223" s="279" t="s">
        <v>67</v>
      </c>
      <c r="D223" s="281">
        <v>385.23</v>
      </c>
      <c r="E223" s="282">
        <v>3458</v>
      </c>
      <c r="F223" s="282">
        <v>1332125.3400000001</v>
      </c>
    </row>
    <row r="224" spans="1:6">
      <c r="A224" s="279" t="s">
        <v>749</v>
      </c>
      <c r="B224" s="293" t="s">
        <v>16</v>
      </c>
      <c r="C224" s="279" t="s">
        <v>67</v>
      </c>
      <c r="D224" s="281">
        <v>112.11</v>
      </c>
      <c r="E224" s="282">
        <v>3458</v>
      </c>
      <c r="F224" s="282">
        <v>387676.38</v>
      </c>
    </row>
    <row r="225" spans="1:6">
      <c r="A225" s="279" t="s">
        <v>132</v>
      </c>
      <c r="B225" s="293" t="s">
        <v>24</v>
      </c>
      <c r="C225" s="279" t="s">
        <v>67</v>
      </c>
      <c r="D225" s="281">
        <v>1267.58</v>
      </c>
      <c r="E225" s="282">
        <v>4107</v>
      </c>
      <c r="F225" s="282">
        <v>5205951.0599999996</v>
      </c>
    </row>
    <row r="226" spans="1:6">
      <c r="A226" s="279" t="s">
        <v>750</v>
      </c>
      <c r="B226" s="280" t="s">
        <v>751</v>
      </c>
      <c r="C226" s="279" t="s">
        <v>10</v>
      </c>
      <c r="D226" s="281">
        <v>4</v>
      </c>
      <c r="E226" s="282">
        <v>64286</v>
      </c>
      <c r="F226" s="282">
        <v>257144</v>
      </c>
    </row>
    <row r="227" spans="1:6">
      <c r="A227" s="279">
        <v>6.4</v>
      </c>
      <c r="B227" s="280" t="s">
        <v>752</v>
      </c>
      <c r="C227" s="279"/>
      <c r="D227" s="281"/>
      <c r="E227" s="282"/>
      <c r="F227" s="282"/>
    </row>
    <row r="228" spans="1:6">
      <c r="A228" s="279" t="s">
        <v>753</v>
      </c>
      <c r="B228" s="280" t="s">
        <v>119</v>
      </c>
      <c r="C228" s="279" t="s">
        <v>10</v>
      </c>
      <c r="D228" s="281">
        <v>1</v>
      </c>
      <c r="E228" s="282">
        <v>10852</v>
      </c>
      <c r="F228" s="282">
        <v>10852</v>
      </c>
    </row>
    <row r="229" spans="1:6">
      <c r="A229" s="279" t="s">
        <v>754</v>
      </c>
      <c r="B229" s="280" t="s">
        <v>624</v>
      </c>
      <c r="C229" s="279" t="s">
        <v>10</v>
      </c>
      <c r="D229" s="281">
        <v>1</v>
      </c>
      <c r="E229" s="282">
        <v>7165</v>
      </c>
      <c r="F229" s="282">
        <v>7165</v>
      </c>
    </row>
    <row r="230" spans="1:6">
      <c r="A230" s="279" t="s">
        <v>755</v>
      </c>
      <c r="B230" s="280" t="s">
        <v>596</v>
      </c>
      <c r="C230" s="279" t="s">
        <v>10</v>
      </c>
      <c r="D230" s="281">
        <v>3</v>
      </c>
      <c r="E230" s="282">
        <v>6093</v>
      </c>
      <c r="F230" s="282">
        <v>18279</v>
      </c>
    </row>
    <row r="231" spans="1:6">
      <c r="A231" s="279" t="s">
        <v>756</v>
      </c>
      <c r="B231" s="280" t="s">
        <v>757</v>
      </c>
      <c r="C231" s="279" t="s">
        <v>10</v>
      </c>
      <c r="D231" s="281">
        <v>2</v>
      </c>
      <c r="E231" s="282">
        <v>10852</v>
      </c>
      <c r="F231" s="282">
        <v>21704</v>
      </c>
    </row>
    <row r="232" spans="1:6">
      <c r="A232" s="279" t="s">
        <v>758</v>
      </c>
      <c r="B232" s="280" t="s">
        <v>111</v>
      </c>
      <c r="C232" s="279" t="s">
        <v>10</v>
      </c>
      <c r="D232" s="281">
        <v>3</v>
      </c>
      <c r="E232" s="282">
        <v>7165</v>
      </c>
      <c r="F232" s="282">
        <v>21495</v>
      </c>
    </row>
    <row r="233" spans="1:6">
      <c r="A233" s="279" t="s">
        <v>759</v>
      </c>
      <c r="B233" s="280" t="s">
        <v>760</v>
      </c>
      <c r="C233" s="279" t="s">
        <v>10</v>
      </c>
      <c r="D233" s="281">
        <v>2</v>
      </c>
      <c r="E233" s="282">
        <v>6093</v>
      </c>
      <c r="F233" s="282">
        <v>12186</v>
      </c>
    </row>
    <row r="234" spans="1:6">
      <c r="A234" s="279" t="s">
        <v>761</v>
      </c>
      <c r="B234" s="280" t="s">
        <v>762</v>
      </c>
      <c r="C234" s="279" t="s">
        <v>10</v>
      </c>
      <c r="D234" s="281">
        <v>2</v>
      </c>
      <c r="E234" s="282">
        <v>18757</v>
      </c>
      <c r="F234" s="282">
        <v>37514</v>
      </c>
    </row>
    <row r="235" spans="1:6">
      <c r="A235" s="279" t="s">
        <v>763</v>
      </c>
      <c r="B235" s="280" t="s">
        <v>764</v>
      </c>
      <c r="C235" s="279" t="s">
        <v>10</v>
      </c>
      <c r="D235" s="281">
        <v>3</v>
      </c>
      <c r="E235" s="282">
        <v>10852</v>
      </c>
      <c r="F235" s="282">
        <v>32556</v>
      </c>
    </row>
    <row r="236" spans="1:6">
      <c r="A236" s="279" t="s">
        <v>765</v>
      </c>
      <c r="B236" s="280" t="s">
        <v>766</v>
      </c>
      <c r="C236" s="279" t="s">
        <v>10</v>
      </c>
      <c r="D236" s="281">
        <v>6</v>
      </c>
      <c r="E236" s="282">
        <v>6093</v>
      </c>
      <c r="F236" s="282">
        <v>36558</v>
      </c>
    </row>
    <row r="237" spans="1:6">
      <c r="A237" s="279" t="s">
        <v>767</v>
      </c>
      <c r="B237" s="280" t="s">
        <v>768</v>
      </c>
      <c r="C237" s="279" t="s">
        <v>10</v>
      </c>
      <c r="D237" s="281">
        <v>4</v>
      </c>
      <c r="E237" s="282">
        <v>10852</v>
      </c>
      <c r="F237" s="282">
        <v>43408</v>
      </c>
    </row>
    <row r="238" spans="1:6">
      <c r="A238" s="279" t="s">
        <v>769</v>
      </c>
      <c r="B238" s="280" t="s">
        <v>770</v>
      </c>
      <c r="C238" s="279" t="s">
        <v>10</v>
      </c>
      <c r="D238" s="281">
        <v>3</v>
      </c>
      <c r="E238" s="282">
        <v>7165</v>
      </c>
      <c r="F238" s="282">
        <v>21495</v>
      </c>
    </row>
    <row r="239" spans="1:6">
      <c r="A239" s="279" t="s">
        <v>771</v>
      </c>
      <c r="B239" s="280" t="s">
        <v>772</v>
      </c>
      <c r="C239" s="279" t="s">
        <v>10</v>
      </c>
      <c r="D239" s="281">
        <v>5</v>
      </c>
      <c r="E239" s="282">
        <v>6093</v>
      </c>
      <c r="F239" s="282">
        <v>30465</v>
      </c>
    </row>
    <row r="240" spans="1:6">
      <c r="A240" s="279" t="s">
        <v>773</v>
      </c>
      <c r="B240" s="280" t="s">
        <v>774</v>
      </c>
      <c r="C240" s="279" t="s">
        <v>10</v>
      </c>
      <c r="D240" s="281">
        <v>5</v>
      </c>
      <c r="E240" s="282">
        <v>10852</v>
      </c>
      <c r="F240" s="282">
        <v>54260</v>
      </c>
    </row>
    <row r="241" spans="1:6">
      <c r="A241" s="279" t="s">
        <v>775</v>
      </c>
      <c r="B241" s="280" t="s">
        <v>669</v>
      </c>
      <c r="C241" s="279" t="s">
        <v>10</v>
      </c>
      <c r="D241" s="281">
        <v>3</v>
      </c>
      <c r="E241" s="282">
        <v>7165</v>
      </c>
      <c r="F241" s="282">
        <v>21495</v>
      </c>
    </row>
    <row r="242" spans="1:6">
      <c r="A242" s="279" t="s">
        <v>776</v>
      </c>
      <c r="B242" s="280" t="s">
        <v>777</v>
      </c>
      <c r="C242" s="279" t="s">
        <v>10</v>
      </c>
      <c r="D242" s="281">
        <v>3</v>
      </c>
      <c r="E242" s="282">
        <v>6093</v>
      </c>
      <c r="F242" s="282">
        <v>18279</v>
      </c>
    </row>
    <row r="243" spans="1:6">
      <c r="A243" s="279" t="s">
        <v>778</v>
      </c>
      <c r="B243" s="280" t="s">
        <v>779</v>
      </c>
      <c r="C243" s="279" t="s">
        <v>10</v>
      </c>
      <c r="D243" s="281">
        <v>1</v>
      </c>
      <c r="E243" s="282">
        <v>16122</v>
      </c>
      <c r="F243" s="282">
        <v>16122</v>
      </c>
    </row>
    <row r="244" spans="1:6">
      <c r="A244" s="279" t="s">
        <v>780</v>
      </c>
      <c r="B244" s="280" t="s">
        <v>781</v>
      </c>
      <c r="C244" s="279" t="s">
        <v>10</v>
      </c>
      <c r="D244" s="281">
        <v>1</v>
      </c>
      <c r="E244" s="282">
        <v>7165</v>
      </c>
      <c r="F244" s="282">
        <v>7165</v>
      </c>
    </row>
    <row r="245" spans="1:6">
      <c r="A245" s="279" t="s">
        <v>782</v>
      </c>
      <c r="B245" s="280" t="s">
        <v>783</v>
      </c>
      <c r="C245" s="279" t="s">
        <v>10</v>
      </c>
      <c r="D245" s="281">
        <v>2</v>
      </c>
      <c r="E245" s="282">
        <v>10852</v>
      </c>
      <c r="F245" s="282">
        <v>21704</v>
      </c>
    </row>
    <row r="246" spans="1:6">
      <c r="A246" s="279" t="s">
        <v>784</v>
      </c>
      <c r="B246" s="280" t="s">
        <v>785</v>
      </c>
      <c r="C246" s="279" t="s">
        <v>10</v>
      </c>
      <c r="D246" s="281">
        <v>3</v>
      </c>
      <c r="E246" s="282">
        <v>10852</v>
      </c>
      <c r="F246" s="282">
        <v>32556</v>
      </c>
    </row>
    <row r="247" spans="1:6">
      <c r="A247" s="279" t="s">
        <v>135</v>
      </c>
      <c r="B247" s="280" t="s">
        <v>136</v>
      </c>
      <c r="C247" s="279" t="s">
        <v>10</v>
      </c>
      <c r="D247" s="281">
        <v>2</v>
      </c>
      <c r="E247" s="282">
        <v>18757</v>
      </c>
      <c r="F247" s="282">
        <v>37514</v>
      </c>
    </row>
    <row r="248" spans="1:6">
      <c r="A248" s="279" t="s">
        <v>786</v>
      </c>
      <c r="B248" s="280" t="s">
        <v>607</v>
      </c>
      <c r="C248" s="279" t="s">
        <v>10</v>
      </c>
      <c r="D248" s="281">
        <v>2</v>
      </c>
      <c r="E248" s="282">
        <v>22709</v>
      </c>
      <c r="F248" s="282">
        <v>45418</v>
      </c>
    </row>
    <row r="249" spans="1:6">
      <c r="A249" s="279" t="s">
        <v>787</v>
      </c>
      <c r="B249" s="280" t="s">
        <v>788</v>
      </c>
      <c r="C249" s="279" t="s">
        <v>10</v>
      </c>
      <c r="D249" s="281">
        <v>1</v>
      </c>
      <c r="E249" s="282">
        <v>16122</v>
      </c>
      <c r="F249" s="282">
        <v>16122</v>
      </c>
    </row>
    <row r="250" spans="1:6">
      <c r="A250" s="279">
        <v>6.5</v>
      </c>
      <c r="B250" s="280" t="s">
        <v>20</v>
      </c>
      <c r="C250" s="279"/>
      <c r="D250" s="281"/>
      <c r="E250" s="282"/>
      <c r="F250" s="282"/>
    </row>
    <row r="251" spans="1:6">
      <c r="A251" s="279" t="s">
        <v>789</v>
      </c>
      <c r="B251" s="280" t="s">
        <v>608</v>
      </c>
      <c r="C251" s="279" t="s">
        <v>1</v>
      </c>
      <c r="D251" s="281">
        <v>0.64</v>
      </c>
      <c r="E251" s="282">
        <v>612595</v>
      </c>
      <c r="F251" s="282">
        <v>392060.8</v>
      </c>
    </row>
    <row r="252" spans="1:6">
      <c r="A252" s="279" t="s">
        <v>790</v>
      </c>
      <c r="B252" s="280" t="s">
        <v>103</v>
      </c>
      <c r="C252" s="279" t="s">
        <v>1</v>
      </c>
      <c r="D252" s="281">
        <v>0.02</v>
      </c>
      <c r="E252" s="282">
        <v>464474</v>
      </c>
      <c r="F252" s="282">
        <v>9289.48</v>
      </c>
    </row>
    <row r="253" spans="1:6">
      <c r="A253" s="279">
        <v>6.6</v>
      </c>
      <c r="B253" s="280" t="s">
        <v>12</v>
      </c>
      <c r="C253" s="279"/>
      <c r="D253" s="281"/>
      <c r="E253" s="282"/>
      <c r="F253" s="282"/>
    </row>
    <row r="254" spans="1:6">
      <c r="A254" s="279" t="s">
        <v>791</v>
      </c>
      <c r="B254" s="280" t="s">
        <v>66</v>
      </c>
      <c r="C254" s="279" t="s">
        <v>4</v>
      </c>
      <c r="D254" s="281">
        <v>41.94</v>
      </c>
      <c r="E254" s="282">
        <v>808</v>
      </c>
      <c r="F254" s="282">
        <v>33887.519999999997</v>
      </c>
    </row>
    <row r="255" spans="1:6">
      <c r="A255" s="279">
        <v>6.7</v>
      </c>
      <c r="B255" s="280" t="s">
        <v>21</v>
      </c>
      <c r="C255" s="279"/>
      <c r="D255" s="281"/>
      <c r="E255" s="282"/>
      <c r="F255" s="282"/>
    </row>
    <row r="256" spans="1:6">
      <c r="A256" s="279" t="s">
        <v>792</v>
      </c>
      <c r="B256" s="280" t="s">
        <v>25</v>
      </c>
      <c r="C256" s="279" t="s">
        <v>10</v>
      </c>
      <c r="D256" s="281">
        <v>1.5</v>
      </c>
      <c r="E256" s="282">
        <v>351941</v>
      </c>
      <c r="F256" s="282">
        <v>527911.5</v>
      </c>
    </row>
    <row r="257" spans="1:6">
      <c r="A257" s="279">
        <v>6.8</v>
      </c>
      <c r="B257" s="280" t="s">
        <v>26</v>
      </c>
      <c r="C257" s="279"/>
      <c r="D257" s="281"/>
      <c r="E257" s="282"/>
      <c r="F257" s="282"/>
    </row>
    <row r="258" spans="1:6">
      <c r="A258" s="279" t="s">
        <v>793</v>
      </c>
      <c r="B258" s="280" t="s">
        <v>27</v>
      </c>
      <c r="C258" s="279" t="s">
        <v>10</v>
      </c>
      <c r="D258" s="281">
        <v>595</v>
      </c>
      <c r="E258" s="282">
        <v>23111</v>
      </c>
      <c r="F258" s="282">
        <v>13751045</v>
      </c>
    </row>
    <row r="259" spans="1:6">
      <c r="A259" s="279">
        <v>6.9</v>
      </c>
      <c r="B259" s="280" t="s">
        <v>28</v>
      </c>
      <c r="C259" s="279"/>
      <c r="D259" s="281"/>
      <c r="E259" s="282"/>
      <c r="F259" s="282"/>
    </row>
    <row r="260" spans="1:6" ht="120">
      <c r="A260" s="279" t="s">
        <v>794</v>
      </c>
      <c r="B260" s="280" t="s">
        <v>108</v>
      </c>
      <c r="C260" s="279" t="s">
        <v>10</v>
      </c>
      <c r="D260" s="281">
        <v>595</v>
      </c>
      <c r="E260" s="282">
        <v>158939</v>
      </c>
      <c r="F260" s="282">
        <v>94568705</v>
      </c>
    </row>
    <row r="261" spans="1:6">
      <c r="A261" s="279" t="s">
        <v>795</v>
      </c>
      <c r="B261" s="280" t="s">
        <v>103</v>
      </c>
      <c r="C261" s="279" t="s">
        <v>1</v>
      </c>
      <c r="D261" s="281">
        <v>2.29</v>
      </c>
      <c r="E261" s="282">
        <v>464474</v>
      </c>
      <c r="F261" s="282">
        <v>1063645.46</v>
      </c>
    </row>
    <row r="262" spans="1:6">
      <c r="A262" s="530" t="s">
        <v>796</v>
      </c>
      <c r="B262" s="530"/>
      <c r="C262" s="530"/>
      <c r="D262" s="530"/>
      <c r="E262" s="530"/>
      <c r="F262" s="296">
        <f>SUM(F211:F261,0)</f>
        <v>379629158.32999992</v>
      </c>
    </row>
    <row r="263" spans="1:6">
      <c r="A263" s="278">
        <v>7</v>
      </c>
      <c r="B263" s="535" t="s">
        <v>797</v>
      </c>
      <c r="C263" s="535"/>
      <c r="D263" s="535"/>
      <c r="E263" s="535"/>
      <c r="F263" s="535"/>
    </row>
    <row r="264" spans="1:6">
      <c r="A264" s="279">
        <v>7.1</v>
      </c>
      <c r="B264" s="280" t="s">
        <v>13</v>
      </c>
      <c r="C264" s="279"/>
      <c r="D264" s="281"/>
      <c r="E264" s="282"/>
      <c r="F264" s="282"/>
    </row>
    <row r="265" spans="1:6">
      <c r="A265" s="279" t="s">
        <v>798</v>
      </c>
      <c r="B265" s="280" t="s">
        <v>9</v>
      </c>
      <c r="C265" s="279" t="s">
        <v>1</v>
      </c>
      <c r="D265" s="281">
        <v>2313.35</v>
      </c>
      <c r="E265" s="282">
        <v>6946</v>
      </c>
      <c r="F265" s="282">
        <v>16068529.1</v>
      </c>
    </row>
    <row r="266" spans="1:6">
      <c r="A266" s="279" t="s">
        <v>799</v>
      </c>
      <c r="B266" s="280" t="s">
        <v>74</v>
      </c>
      <c r="C266" s="279" t="s">
        <v>1</v>
      </c>
      <c r="D266" s="281">
        <v>306.25</v>
      </c>
      <c r="E266" s="282">
        <v>72552</v>
      </c>
      <c r="F266" s="282">
        <v>22219050</v>
      </c>
    </row>
    <row r="267" spans="1:6">
      <c r="A267" s="279">
        <v>7.2</v>
      </c>
      <c r="B267" s="280" t="s">
        <v>18</v>
      </c>
      <c r="C267" s="279"/>
      <c r="D267" s="281"/>
      <c r="E267" s="282">
        <v>0</v>
      </c>
      <c r="F267" s="282"/>
    </row>
    <row r="268" spans="1:6">
      <c r="A268" s="279" t="s">
        <v>800</v>
      </c>
      <c r="B268" s="280" t="s">
        <v>11</v>
      </c>
      <c r="C268" s="279" t="s">
        <v>1</v>
      </c>
      <c r="D268" s="281">
        <v>1011.92</v>
      </c>
      <c r="E268" s="282">
        <v>90605</v>
      </c>
      <c r="F268" s="282">
        <v>91685011.599999994</v>
      </c>
    </row>
    <row r="269" spans="1:6">
      <c r="A269" s="279" t="s">
        <v>801</v>
      </c>
      <c r="B269" s="280" t="s">
        <v>76</v>
      </c>
      <c r="C269" s="279" t="s">
        <v>1</v>
      </c>
      <c r="D269" s="281">
        <v>328.12</v>
      </c>
      <c r="E269" s="282">
        <v>13134</v>
      </c>
      <c r="F269" s="282">
        <v>4309528.08</v>
      </c>
    </row>
    <row r="270" spans="1:6" ht="30">
      <c r="A270" s="279" t="s">
        <v>802</v>
      </c>
      <c r="B270" s="280" t="s">
        <v>77</v>
      </c>
      <c r="C270" s="279" t="s">
        <v>1</v>
      </c>
      <c r="D270" s="281">
        <v>459.81</v>
      </c>
      <c r="E270" s="282">
        <v>131380</v>
      </c>
      <c r="F270" s="282">
        <v>60409837.799999997</v>
      </c>
    </row>
    <row r="271" spans="1:6">
      <c r="A271" s="279" t="s">
        <v>803</v>
      </c>
      <c r="B271" s="280" t="s">
        <v>19</v>
      </c>
      <c r="C271" s="279" t="s">
        <v>1</v>
      </c>
      <c r="D271" s="281">
        <v>228.02</v>
      </c>
      <c r="E271" s="282">
        <v>114147</v>
      </c>
      <c r="F271" s="282">
        <v>26027798.940000001</v>
      </c>
    </row>
    <row r="272" spans="1:6">
      <c r="A272" s="279" t="s">
        <v>804</v>
      </c>
      <c r="B272" s="280" t="s">
        <v>78</v>
      </c>
      <c r="C272" s="279" t="s">
        <v>1</v>
      </c>
      <c r="D272" s="281">
        <v>85</v>
      </c>
      <c r="E272" s="282">
        <v>727438</v>
      </c>
      <c r="F272" s="282">
        <v>61832230</v>
      </c>
    </row>
    <row r="273" spans="1:6" ht="30">
      <c r="A273" s="279" t="s">
        <v>805</v>
      </c>
      <c r="B273" s="280" t="s">
        <v>22</v>
      </c>
      <c r="C273" s="279" t="s">
        <v>1</v>
      </c>
      <c r="D273" s="281">
        <v>1975.1</v>
      </c>
      <c r="E273" s="282">
        <v>37243</v>
      </c>
      <c r="F273" s="282">
        <v>73558649.299999997</v>
      </c>
    </row>
    <row r="274" spans="1:6">
      <c r="A274" s="279" t="s">
        <v>806</v>
      </c>
      <c r="B274" s="280" t="s">
        <v>68</v>
      </c>
      <c r="C274" s="279" t="s">
        <v>1</v>
      </c>
      <c r="D274" s="281">
        <v>415.39</v>
      </c>
      <c r="E274" s="282">
        <v>67222</v>
      </c>
      <c r="F274" s="282">
        <v>27923346.579999998</v>
      </c>
    </row>
    <row r="275" spans="1:6">
      <c r="A275" s="279">
        <v>7.3</v>
      </c>
      <c r="B275" s="291" t="s">
        <v>15</v>
      </c>
      <c r="C275" s="279"/>
      <c r="D275" s="281"/>
      <c r="E275" s="282"/>
      <c r="F275" s="282"/>
    </row>
    <row r="276" spans="1:6">
      <c r="A276" s="279" t="s">
        <v>807</v>
      </c>
      <c r="B276" s="293" t="s">
        <v>23</v>
      </c>
      <c r="C276" s="279" t="s">
        <v>67</v>
      </c>
      <c r="D276" s="281">
        <v>1177.8399999999999</v>
      </c>
      <c r="E276" s="282">
        <v>3458</v>
      </c>
      <c r="F276" s="282">
        <v>4072970.7199999997</v>
      </c>
    </row>
    <row r="277" spans="1:6">
      <c r="A277" s="279" t="s">
        <v>808</v>
      </c>
      <c r="B277" s="293" t="s">
        <v>16</v>
      </c>
      <c r="C277" s="279" t="s">
        <v>67</v>
      </c>
      <c r="D277" s="281">
        <v>657.56</v>
      </c>
      <c r="E277" s="282">
        <v>3458</v>
      </c>
      <c r="F277" s="282">
        <v>2273842.48</v>
      </c>
    </row>
    <row r="278" spans="1:6">
      <c r="A278" s="279" t="s">
        <v>809</v>
      </c>
      <c r="B278" s="293" t="s">
        <v>24</v>
      </c>
      <c r="C278" s="279" t="s">
        <v>67</v>
      </c>
      <c r="D278" s="281">
        <v>517.13</v>
      </c>
      <c r="E278" s="282">
        <v>4107</v>
      </c>
      <c r="F278" s="282">
        <v>2123852.91</v>
      </c>
    </row>
    <row r="279" spans="1:6">
      <c r="A279" s="279" t="s">
        <v>133</v>
      </c>
      <c r="B279" s="293" t="s">
        <v>17</v>
      </c>
      <c r="C279" s="279" t="s">
        <v>67</v>
      </c>
      <c r="D279" s="281">
        <v>725.47</v>
      </c>
      <c r="E279" s="282">
        <v>5673</v>
      </c>
      <c r="F279" s="282">
        <v>4115591.31</v>
      </c>
    </row>
    <row r="280" spans="1:6">
      <c r="A280" s="279" t="s">
        <v>810</v>
      </c>
      <c r="B280" s="280" t="s">
        <v>656</v>
      </c>
      <c r="C280" s="279" t="s">
        <v>10</v>
      </c>
      <c r="D280" s="281">
        <v>1</v>
      </c>
      <c r="E280" s="282">
        <v>85227</v>
      </c>
      <c r="F280" s="282">
        <v>85227</v>
      </c>
    </row>
    <row r="281" spans="1:6">
      <c r="A281" s="279" t="s">
        <v>811</v>
      </c>
      <c r="B281" s="280" t="s">
        <v>593</v>
      </c>
      <c r="C281" s="279" t="s">
        <v>10</v>
      </c>
      <c r="D281" s="281">
        <v>5</v>
      </c>
      <c r="E281" s="282">
        <v>64286</v>
      </c>
      <c r="F281" s="282">
        <v>321430</v>
      </c>
    </row>
    <row r="282" spans="1:6">
      <c r="A282" s="279" t="s">
        <v>812</v>
      </c>
      <c r="B282" s="280" t="s">
        <v>659</v>
      </c>
      <c r="C282" s="279" t="s">
        <v>10</v>
      </c>
      <c r="D282" s="281">
        <v>1</v>
      </c>
      <c r="E282" s="282">
        <v>48077</v>
      </c>
      <c r="F282" s="282">
        <v>48077</v>
      </c>
    </row>
    <row r="283" spans="1:6">
      <c r="A283" s="279" t="s">
        <v>813</v>
      </c>
      <c r="B283" s="280" t="s">
        <v>591</v>
      </c>
      <c r="C283" s="279" t="s">
        <v>10</v>
      </c>
      <c r="D283" s="281">
        <v>3</v>
      </c>
      <c r="E283" s="282">
        <v>33881</v>
      </c>
      <c r="F283" s="282">
        <v>101643</v>
      </c>
    </row>
    <row r="284" spans="1:6">
      <c r="A284" s="279">
        <v>7.4</v>
      </c>
      <c r="B284" s="280" t="s">
        <v>31</v>
      </c>
      <c r="C284" s="279"/>
      <c r="D284" s="281"/>
      <c r="E284" s="282"/>
      <c r="F284" s="282"/>
    </row>
    <row r="285" spans="1:6">
      <c r="A285" s="279" t="s">
        <v>814</v>
      </c>
      <c r="B285" s="280" t="s">
        <v>815</v>
      </c>
      <c r="C285" s="279" t="s">
        <v>10</v>
      </c>
      <c r="D285" s="281">
        <v>1</v>
      </c>
      <c r="E285" s="282">
        <v>10852</v>
      </c>
      <c r="F285" s="282">
        <v>10852</v>
      </c>
    </row>
    <row r="286" spans="1:6">
      <c r="A286" s="279" t="s">
        <v>816</v>
      </c>
      <c r="B286" s="280" t="s">
        <v>817</v>
      </c>
      <c r="C286" s="279" t="s">
        <v>10</v>
      </c>
      <c r="D286" s="281">
        <v>1</v>
      </c>
      <c r="E286" s="282">
        <v>7165</v>
      </c>
      <c r="F286" s="282">
        <v>7165</v>
      </c>
    </row>
    <row r="287" spans="1:6">
      <c r="A287" s="279" t="s">
        <v>818</v>
      </c>
      <c r="B287" s="280" t="s">
        <v>819</v>
      </c>
      <c r="C287" s="279" t="s">
        <v>10</v>
      </c>
      <c r="D287" s="281">
        <v>3</v>
      </c>
      <c r="E287" s="282">
        <v>7165</v>
      </c>
      <c r="F287" s="282">
        <v>21495</v>
      </c>
    </row>
    <row r="288" spans="1:6">
      <c r="A288" s="279" t="s">
        <v>820</v>
      </c>
      <c r="B288" s="280" t="s">
        <v>821</v>
      </c>
      <c r="C288" s="279" t="s">
        <v>10</v>
      </c>
      <c r="D288" s="281">
        <v>3</v>
      </c>
      <c r="E288" s="282">
        <v>7165</v>
      </c>
      <c r="F288" s="282">
        <v>21495</v>
      </c>
    </row>
    <row r="289" spans="1:6">
      <c r="A289" s="279" t="s">
        <v>822</v>
      </c>
      <c r="B289" s="280" t="s">
        <v>768</v>
      </c>
      <c r="C289" s="279" t="s">
        <v>10</v>
      </c>
      <c r="D289" s="281">
        <v>4</v>
      </c>
      <c r="E289" s="282">
        <v>10852</v>
      </c>
      <c r="F289" s="282">
        <v>43408</v>
      </c>
    </row>
    <row r="290" spans="1:6">
      <c r="A290" s="279" t="s">
        <v>823</v>
      </c>
      <c r="B290" s="280" t="s">
        <v>770</v>
      </c>
      <c r="C290" s="279" t="s">
        <v>10</v>
      </c>
      <c r="D290" s="281">
        <v>3</v>
      </c>
      <c r="E290" s="282">
        <v>7165</v>
      </c>
      <c r="F290" s="282">
        <v>21495</v>
      </c>
    </row>
    <row r="291" spans="1:6">
      <c r="A291" s="279" t="s">
        <v>137</v>
      </c>
      <c r="B291" s="280" t="s">
        <v>772</v>
      </c>
      <c r="C291" s="279" t="s">
        <v>10</v>
      </c>
      <c r="D291" s="281">
        <v>5</v>
      </c>
      <c r="E291" s="282">
        <v>6093</v>
      </c>
      <c r="F291" s="282">
        <v>30465</v>
      </c>
    </row>
    <row r="292" spans="1:6">
      <c r="A292" s="279" t="s">
        <v>824</v>
      </c>
      <c r="B292" s="280" t="s">
        <v>774</v>
      </c>
      <c r="C292" s="279" t="s">
        <v>10</v>
      </c>
      <c r="D292" s="281">
        <v>5</v>
      </c>
      <c r="E292" s="282">
        <v>10852</v>
      </c>
      <c r="F292" s="282">
        <v>54260</v>
      </c>
    </row>
    <row r="293" spans="1:6">
      <c r="A293" s="279" t="s">
        <v>825</v>
      </c>
      <c r="B293" s="280" t="s">
        <v>669</v>
      </c>
      <c r="C293" s="279" t="s">
        <v>10</v>
      </c>
      <c r="D293" s="281">
        <v>3</v>
      </c>
      <c r="E293" s="282">
        <v>7165</v>
      </c>
      <c r="F293" s="282">
        <v>21495</v>
      </c>
    </row>
    <row r="294" spans="1:6">
      <c r="A294" s="279" t="s">
        <v>826</v>
      </c>
      <c r="B294" s="280" t="s">
        <v>777</v>
      </c>
      <c r="C294" s="279" t="s">
        <v>10</v>
      </c>
      <c r="D294" s="281">
        <v>3</v>
      </c>
      <c r="E294" s="282">
        <v>6093</v>
      </c>
      <c r="F294" s="282">
        <v>18279</v>
      </c>
    </row>
    <row r="295" spans="1:6">
      <c r="A295" s="279" t="s">
        <v>827</v>
      </c>
      <c r="B295" s="280" t="s">
        <v>779</v>
      </c>
      <c r="C295" s="279" t="s">
        <v>10</v>
      </c>
      <c r="D295" s="281">
        <v>1</v>
      </c>
      <c r="E295" s="282">
        <v>16122</v>
      </c>
      <c r="F295" s="282">
        <v>16122</v>
      </c>
    </row>
    <row r="296" spans="1:6">
      <c r="A296" s="279" t="s">
        <v>138</v>
      </c>
      <c r="B296" s="280" t="s">
        <v>139</v>
      </c>
      <c r="C296" s="279" t="s">
        <v>10</v>
      </c>
      <c r="D296" s="281">
        <v>2</v>
      </c>
      <c r="E296" s="282">
        <v>10852</v>
      </c>
      <c r="F296" s="282">
        <v>21704</v>
      </c>
    </row>
    <row r="297" spans="1:6">
      <c r="A297" s="279" t="s">
        <v>828</v>
      </c>
      <c r="B297" s="280" t="s">
        <v>136</v>
      </c>
      <c r="C297" s="279" t="s">
        <v>10</v>
      </c>
      <c r="D297" s="281">
        <v>2</v>
      </c>
      <c r="E297" s="282">
        <v>18757</v>
      </c>
      <c r="F297" s="282">
        <v>37514</v>
      </c>
    </row>
    <row r="298" spans="1:6">
      <c r="A298" s="279" t="s">
        <v>829</v>
      </c>
      <c r="B298" s="280" t="s">
        <v>607</v>
      </c>
      <c r="C298" s="279" t="s">
        <v>10</v>
      </c>
      <c r="D298" s="281">
        <v>2</v>
      </c>
      <c r="E298" s="282">
        <v>22709</v>
      </c>
      <c r="F298" s="282">
        <v>45418</v>
      </c>
    </row>
    <row r="299" spans="1:6">
      <c r="A299" s="279" t="s">
        <v>830</v>
      </c>
      <c r="B299" s="280" t="s">
        <v>788</v>
      </c>
      <c r="C299" s="279" t="s">
        <v>10</v>
      </c>
      <c r="D299" s="281">
        <v>1</v>
      </c>
      <c r="E299" s="282">
        <v>6093</v>
      </c>
      <c r="F299" s="282">
        <v>6093</v>
      </c>
    </row>
    <row r="300" spans="1:6">
      <c r="A300" s="279">
        <v>7.5</v>
      </c>
      <c r="B300" s="280" t="s">
        <v>20</v>
      </c>
      <c r="C300" s="279"/>
      <c r="D300" s="281"/>
      <c r="E300" s="282"/>
      <c r="F300" s="282"/>
    </row>
    <row r="301" spans="1:6">
      <c r="A301" s="279" t="s">
        <v>831</v>
      </c>
      <c r="B301" s="280" t="s">
        <v>608</v>
      </c>
      <c r="C301" s="279" t="s">
        <v>1</v>
      </c>
      <c r="D301" s="281">
        <v>0.64</v>
      </c>
      <c r="E301" s="282">
        <v>612595</v>
      </c>
      <c r="F301" s="282">
        <v>392060.8</v>
      </c>
    </row>
    <row r="302" spans="1:6">
      <c r="A302" s="279" t="s">
        <v>832</v>
      </c>
      <c r="B302" s="280" t="s">
        <v>103</v>
      </c>
      <c r="C302" s="279" t="s">
        <v>1</v>
      </c>
      <c r="D302" s="281">
        <v>0.02</v>
      </c>
      <c r="E302" s="282">
        <v>464474</v>
      </c>
      <c r="F302" s="282">
        <v>9289.48</v>
      </c>
    </row>
    <row r="303" spans="1:6">
      <c r="A303" s="279">
        <v>7.6</v>
      </c>
      <c r="B303" s="280" t="s">
        <v>12</v>
      </c>
      <c r="C303" s="279"/>
      <c r="D303" s="281"/>
      <c r="E303" s="282"/>
      <c r="F303" s="282"/>
    </row>
    <row r="304" spans="1:6">
      <c r="A304" s="279" t="s">
        <v>833</v>
      </c>
      <c r="B304" s="280" t="s">
        <v>66</v>
      </c>
      <c r="C304" s="279" t="s">
        <v>4</v>
      </c>
      <c r="D304" s="281">
        <v>41.94</v>
      </c>
      <c r="E304" s="282">
        <v>808</v>
      </c>
      <c r="F304" s="282">
        <v>33887.519999999997</v>
      </c>
    </row>
    <row r="305" spans="1:6">
      <c r="A305" s="279">
        <v>7.7</v>
      </c>
      <c r="B305" s="280" t="s">
        <v>21</v>
      </c>
      <c r="C305" s="279"/>
      <c r="D305" s="281"/>
      <c r="E305" s="282"/>
      <c r="F305" s="282"/>
    </row>
    <row r="306" spans="1:6">
      <c r="A306" s="279" t="s">
        <v>834</v>
      </c>
      <c r="B306" s="280" t="s">
        <v>25</v>
      </c>
      <c r="C306" s="279" t="s">
        <v>10</v>
      </c>
      <c r="D306" s="281">
        <v>1.5</v>
      </c>
      <c r="E306" s="282">
        <v>351941</v>
      </c>
      <c r="F306" s="282">
        <v>527911.5</v>
      </c>
    </row>
    <row r="307" spans="1:6">
      <c r="A307" s="279">
        <v>7.8</v>
      </c>
      <c r="B307" s="280" t="s">
        <v>26</v>
      </c>
      <c r="C307" s="279"/>
      <c r="D307" s="281"/>
      <c r="E307" s="282"/>
      <c r="F307" s="282"/>
    </row>
    <row r="308" spans="1:6">
      <c r="A308" s="279" t="s">
        <v>835</v>
      </c>
      <c r="B308" s="280" t="s">
        <v>27</v>
      </c>
      <c r="C308" s="279" t="s">
        <v>10</v>
      </c>
      <c r="D308" s="281">
        <v>595</v>
      </c>
      <c r="E308" s="282">
        <v>23111</v>
      </c>
      <c r="F308" s="282">
        <v>13751045</v>
      </c>
    </row>
    <row r="309" spans="1:6">
      <c r="A309" s="279">
        <v>7.9</v>
      </c>
      <c r="B309" s="280" t="s">
        <v>28</v>
      </c>
      <c r="C309" s="279"/>
      <c r="D309" s="281"/>
      <c r="E309" s="282"/>
      <c r="F309" s="282"/>
    </row>
    <row r="310" spans="1:6" ht="120">
      <c r="A310" s="279" t="s">
        <v>836</v>
      </c>
      <c r="B310" s="280" t="s">
        <v>108</v>
      </c>
      <c r="C310" s="279" t="s">
        <v>10</v>
      </c>
      <c r="D310" s="281">
        <v>595</v>
      </c>
      <c r="E310" s="282">
        <v>158939</v>
      </c>
      <c r="F310" s="282">
        <v>94568705</v>
      </c>
    </row>
    <row r="311" spans="1:6">
      <c r="A311" s="279" t="s">
        <v>837</v>
      </c>
      <c r="B311" s="280" t="s">
        <v>103</v>
      </c>
      <c r="C311" s="279" t="s">
        <v>1</v>
      </c>
      <c r="D311" s="281">
        <v>2.29</v>
      </c>
      <c r="E311" s="282">
        <v>464474</v>
      </c>
      <c r="F311" s="282">
        <v>1063645.46</v>
      </c>
    </row>
    <row r="312" spans="1:6">
      <c r="A312" s="530" t="s">
        <v>838</v>
      </c>
      <c r="B312" s="530"/>
      <c r="C312" s="530"/>
      <c r="D312" s="530"/>
      <c r="E312" s="530"/>
      <c r="F312" s="296">
        <f>SUM(F264:F311,0)</f>
        <v>507900420.58000004</v>
      </c>
    </row>
    <row r="313" spans="1:6">
      <c r="A313" s="278">
        <v>8</v>
      </c>
      <c r="B313" s="537" t="s">
        <v>839</v>
      </c>
      <c r="C313" s="537"/>
      <c r="D313" s="537"/>
      <c r="E313" s="537"/>
      <c r="F313" s="537"/>
    </row>
    <row r="314" spans="1:6">
      <c r="A314" s="279">
        <v>8.1</v>
      </c>
      <c r="B314" s="280" t="s">
        <v>13</v>
      </c>
      <c r="C314" s="279"/>
      <c r="D314" s="281"/>
      <c r="E314" s="282"/>
      <c r="F314" s="282"/>
    </row>
    <row r="315" spans="1:6">
      <c r="A315" s="279" t="s">
        <v>840</v>
      </c>
      <c r="B315" s="280" t="s">
        <v>9</v>
      </c>
      <c r="C315" s="279" t="s">
        <v>1</v>
      </c>
      <c r="D315" s="281">
        <v>1007</v>
      </c>
      <c r="E315" s="282">
        <v>6946</v>
      </c>
      <c r="F315" s="282">
        <v>6994622</v>
      </c>
    </row>
    <row r="316" spans="1:6">
      <c r="A316" s="279" t="s">
        <v>841</v>
      </c>
      <c r="B316" s="280" t="s">
        <v>74</v>
      </c>
      <c r="C316" s="279" t="s">
        <v>1</v>
      </c>
      <c r="D316" s="281">
        <v>306.25</v>
      </c>
      <c r="E316" s="282">
        <v>72552</v>
      </c>
      <c r="F316" s="282">
        <v>22219050</v>
      </c>
    </row>
    <row r="317" spans="1:6">
      <c r="A317" s="279">
        <v>8.1999999999999993</v>
      </c>
      <c r="B317" s="280" t="s">
        <v>18</v>
      </c>
      <c r="C317" s="279"/>
      <c r="D317" s="281"/>
      <c r="E317" s="282"/>
      <c r="F317" s="282"/>
    </row>
    <row r="318" spans="1:6">
      <c r="A318" s="279" t="s">
        <v>842</v>
      </c>
      <c r="B318" s="280" t="s">
        <v>11</v>
      </c>
      <c r="C318" s="279" t="s">
        <v>1</v>
      </c>
      <c r="D318" s="281">
        <v>285.94</v>
      </c>
      <c r="E318" s="282">
        <v>90605</v>
      </c>
      <c r="F318" s="282">
        <v>25907593.699999999</v>
      </c>
    </row>
    <row r="319" spans="1:6">
      <c r="A319" s="279" t="s">
        <v>843</v>
      </c>
      <c r="B319" s="280" t="s">
        <v>76</v>
      </c>
      <c r="C319" s="279" t="s">
        <v>1</v>
      </c>
      <c r="D319" s="281">
        <v>217.77</v>
      </c>
      <c r="E319" s="282">
        <v>13134</v>
      </c>
      <c r="F319" s="282">
        <v>2860191.18</v>
      </c>
    </row>
    <row r="320" spans="1:6" ht="30">
      <c r="A320" s="279" t="s">
        <v>844</v>
      </c>
      <c r="B320" s="280" t="s">
        <v>77</v>
      </c>
      <c r="C320" s="279" t="s">
        <v>1</v>
      </c>
      <c r="D320" s="281">
        <v>146.96</v>
      </c>
      <c r="E320" s="282">
        <v>131380</v>
      </c>
      <c r="F320" s="282">
        <v>19307604.800000001</v>
      </c>
    </row>
    <row r="321" spans="1:6">
      <c r="A321" s="279" t="s">
        <v>845</v>
      </c>
      <c r="B321" s="280" t="s">
        <v>19</v>
      </c>
      <c r="C321" s="279" t="s">
        <v>1</v>
      </c>
      <c r="D321" s="281">
        <v>12.75</v>
      </c>
      <c r="E321" s="282">
        <v>114147</v>
      </c>
      <c r="F321" s="282">
        <v>1455374.25</v>
      </c>
    </row>
    <row r="322" spans="1:6">
      <c r="A322" s="279" t="s">
        <v>846</v>
      </c>
      <c r="B322" s="280" t="s">
        <v>78</v>
      </c>
      <c r="C322" s="279" t="s">
        <v>1</v>
      </c>
      <c r="D322" s="281">
        <v>4.72</v>
      </c>
      <c r="E322" s="282">
        <v>727438</v>
      </c>
      <c r="F322" s="282">
        <v>3433507.36</v>
      </c>
    </row>
    <row r="323" spans="1:6" ht="30">
      <c r="A323" s="279" t="s">
        <v>847</v>
      </c>
      <c r="B323" s="280" t="s">
        <v>22</v>
      </c>
      <c r="C323" s="279" t="s">
        <v>1</v>
      </c>
      <c r="D323" s="281">
        <v>817.06</v>
      </c>
      <c r="E323" s="282">
        <v>37243</v>
      </c>
      <c r="F323" s="282">
        <v>30429765.579999998</v>
      </c>
    </row>
    <row r="324" spans="1:6">
      <c r="A324" s="279" t="s">
        <v>848</v>
      </c>
      <c r="B324" s="280" t="s">
        <v>68</v>
      </c>
      <c r="C324" s="279" t="s">
        <v>1</v>
      </c>
      <c r="D324" s="281">
        <v>415.39</v>
      </c>
      <c r="E324" s="282">
        <v>67222</v>
      </c>
      <c r="F324" s="282">
        <v>27923346.579999998</v>
      </c>
    </row>
    <row r="325" spans="1:6">
      <c r="A325" s="279">
        <v>8.3000000000000007</v>
      </c>
      <c r="B325" s="291" t="s">
        <v>15</v>
      </c>
      <c r="C325" s="279"/>
      <c r="D325" s="281"/>
      <c r="E325" s="282"/>
      <c r="F325" s="282"/>
    </row>
    <row r="326" spans="1:6">
      <c r="A326" s="279" t="s">
        <v>849</v>
      </c>
      <c r="B326" s="293" t="s">
        <v>23</v>
      </c>
      <c r="C326" s="279" t="s">
        <v>67</v>
      </c>
      <c r="D326" s="281">
        <v>1278.27</v>
      </c>
      <c r="E326" s="282">
        <v>3458</v>
      </c>
      <c r="F326" s="282">
        <v>4420257.66</v>
      </c>
    </row>
    <row r="327" spans="1:6">
      <c r="A327" s="279" t="s">
        <v>850</v>
      </c>
      <c r="B327" s="293" t="s">
        <v>24</v>
      </c>
      <c r="C327" s="279" t="s">
        <v>67</v>
      </c>
      <c r="D327" s="281">
        <v>106.28</v>
      </c>
      <c r="E327" s="282">
        <v>4107</v>
      </c>
      <c r="F327" s="282">
        <v>436491.96</v>
      </c>
    </row>
    <row r="328" spans="1:6">
      <c r="A328" s="279" t="s">
        <v>851</v>
      </c>
      <c r="B328" s="280" t="s">
        <v>593</v>
      </c>
      <c r="C328" s="279" t="s">
        <v>10</v>
      </c>
      <c r="D328" s="281">
        <v>1</v>
      </c>
      <c r="E328" s="282">
        <v>64286</v>
      </c>
      <c r="F328" s="282">
        <v>64286</v>
      </c>
    </row>
    <row r="329" spans="1:6">
      <c r="A329" s="279" t="s">
        <v>852</v>
      </c>
      <c r="B329" s="280" t="s">
        <v>659</v>
      </c>
      <c r="C329" s="279" t="s">
        <v>10</v>
      </c>
      <c r="D329" s="281">
        <v>1</v>
      </c>
      <c r="E329" s="282">
        <v>48077</v>
      </c>
      <c r="F329" s="282">
        <v>48077</v>
      </c>
    </row>
    <row r="330" spans="1:6">
      <c r="A330" s="279" t="s">
        <v>853</v>
      </c>
      <c r="B330" s="280" t="s">
        <v>591</v>
      </c>
      <c r="C330" s="279" t="s">
        <v>10</v>
      </c>
      <c r="D330" s="281">
        <v>7</v>
      </c>
      <c r="E330" s="282">
        <v>33881</v>
      </c>
      <c r="F330" s="282">
        <v>237167</v>
      </c>
    </row>
    <row r="331" spans="1:6">
      <c r="A331" s="279">
        <v>8.4</v>
      </c>
      <c r="B331" s="280" t="s">
        <v>31</v>
      </c>
      <c r="C331" s="279"/>
      <c r="D331" s="281"/>
      <c r="E331" s="282"/>
      <c r="F331" s="282"/>
    </row>
    <row r="332" spans="1:6">
      <c r="A332" s="279" t="s">
        <v>854</v>
      </c>
      <c r="B332" s="280" t="s">
        <v>815</v>
      </c>
      <c r="C332" s="279" t="s">
        <v>10</v>
      </c>
      <c r="D332" s="281">
        <v>1</v>
      </c>
      <c r="E332" s="282">
        <v>10852</v>
      </c>
      <c r="F332" s="282">
        <v>10852</v>
      </c>
    </row>
    <row r="333" spans="1:6">
      <c r="A333" s="279" t="s">
        <v>855</v>
      </c>
      <c r="B333" s="280" t="s">
        <v>817</v>
      </c>
      <c r="C333" s="279" t="s">
        <v>10</v>
      </c>
      <c r="D333" s="281">
        <v>1</v>
      </c>
      <c r="E333" s="282">
        <v>7165</v>
      </c>
      <c r="F333" s="282">
        <v>7165</v>
      </c>
    </row>
    <row r="334" spans="1:6">
      <c r="A334" s="279" t="s">
        <v>856</v>
      </c>
      <c r="B334" s="280" t="s">
        <v>596</v>
      </c>
      <c r="C334" s="279" t="s">
        <v>10</v>
      </c>
      <c r="D334" s="281">
        <v>3</v>
      </c>
      <c r="E334" s="282">
        <v>6093</v>
      </c>
      <c r="F334" s="282">
        <v>18279</v>
      </c>
    </row>
    <row r="335" spans="1:6">
      <c r="A335" s="279" t="s">
        <v>857</v>
      </c>
      <c r="B335" s="280" t="s">
        <v>757</v>
      </c>
      <c r="C335" s="279" t="s">
        <v>10</v>
      </c>
      <c r="D335" s="281">
        <v>2</v>
      </c>
      <c r="E335" s="282">
        <v>10852</v>
      </c>
      <c r="F335" s="282">
        <v>21704</v>
      </c>
    </row>
    <row r="336" spans="1:6">
      <c r="A336" s="279" t="s">
        <v>858</v>
      </c>
      <c r="B336" s="280" t="s">
        <v>819</v>
      </c>
      <c r="C336" s="279" t="s">
        <v>10</v>
      </c>
      <c r="D336" s="281">
        <v>3</v>
      </c>
      <c r="E336" s="282">
        <v>7165</v>
      </c>
      <c r="F336" s="282">
        <v>21495</v>
      </c>
    </row>
    <row r="337" spans="1:6">
      <c r="A337" s="279" t="s">
        <v>859</v>
      </c>
      <c r="B337" s="280" t="s">
        <v>760</v>
      </c>
      <c r="C337" s="279" t="s">
        <v>10</v>
      </c>
      <c r="D337" s="281">
        <v>2</v>
      </c>
      <c r="E337" s="282">
        <v>6093</v>
      </c>
      <c r="F337" s="282">
        <v>12186</v>
      </c>
    </row>
    <row r="338" spans="1:6">
      <c r="A338" s="279" t="s">
        <v>860</v>
      </c>
      <c r="B338" s="280" t="s">
        <v>762</v>
      </c>
      <c r="C338" s="279" t="s">
        <v>10</v>
      </c>
      <c r="D338" s="281">
        <v>2</v>
      </c>
      <c r="E338" s="282">
        <v>18757</v>
      </c>
      <c r="F338" s="282">
        <v>37514</v>
      </c>
    </row>
    <row r="339" spans="1:6">
      <c r="A339" s="279" t="s">
        <v>861</v>
      </c>
      <c r="B339" s="280" t="s">
        <v>764</v>
      </c>
      <c r="C339" s="279" t="s">
        <v>10</v>
      </c>
      <c r="D339" s="281">
        <v>3</v>
      </c>
      <c r="E339" s="282">
        <v>10852</v>
      </c>
      <c r="F339" s="282">
        <v>32556</v>
      </c>
    </row>
    <row r="340" spans="1:6">
      <c r="A340" s="279" t="s">
        <v>862</v>
      </c>
      <c r="B340" s="280" t="s">
        <v>821</v>
      </c>
      <c r="C340" s="279" t="s">
        <v>10</v>
      </c>
      <c r="D340" s="281">
        <v>3</v>
      </c>
      <c r="E340" s="282">
        <v>7165</v>
      </c>
      <c r="F340" s="282">
        <v>21495</v>
      </c>
    </row>
    <row r="341" spans="1:6">
      <c r="A341" s="279" t="s">
        <v>863</v>
      </c>
      <c r="B341" s="280" t="s">
        <v>766</v>
      </c>
      <c r="C341" s="279" t="s">
        <v>10</v>
      </c>
      <c r="D341" s="281">
        <v>6</v>
      </c>
      <c r="E341" s="282">
        <v>6093</v>
      </c>
      <c r="F341" s="282">
        <v>36558</v>
      </c>
    </row>
    <row r="342" spans="1:6">
      <c r="A342" s="279" t="s">
        <v>864</v>
      </c>
      <c r="B342" s="280" t="s">
        <v>865</v>
      </c>
      <c r="C342" s="279" t="s">
        <v>10</v>
      </c>
      <c r="D342" s="281">
        <v>1</v>
      </c>
      <c r="E342" s="282">
        <v>18757</v>
      </c>
      <c r="F342" s="282">
        <v>18757</v>
      </c>
    </row>
    <row r="343" spans="1:6">
      <c r="A343" s="279" t="s">
        <v>866</v>
      </c>
      <c r="B343" s="280" t="s">
        <v>768</v>
      </c>
      <c r="C343" s="279" t="s">
        <v>10</v>
      </c>
      <c r="D343" s="281">
        <v>4</v>
      </c>
      <c r="E343" s="282">
        <v>10852</v>
      </c>
      <c r="F343" s="282">
        <v>43408</v>
      </c>
    </row>
    <row r="344" spans="1:6">
      <c r="A344" s="279" t="s">
        <v>867</v>
      </c>
      <c r="B344" s="280" t="s">
        <v>770</v>
      </c>
      <c r="C344" s="279" t="s">
        <v>10</v>
      </c>
      <c r="D344" s="281">
        <v>3</v>
      </c>
      <c r="E344" s="282">
        <v>7165</v>
      </c>
      <c r="F344" s="282">
        <v>21495</v>
      </c>
    </row>
    <row r="345" spans="1:6">
      <c r="A345" s="279" t="s">
        <v>868</v>
      </c>
      <c r="B345" s="280" t="s">
        <v>772</v>
      </c>
      <c r="C345" s="279" t="s">
        <v>10</v>
      </c>
      <c r="D345" s="281">
        <v>5</v>
      </c>
      <c r="E345" s="282">
        <v>6093</v>
      </c>
      <c r="F345" s="282">
        <v>30465</v>
      </c>
    </row>
    <row r="346" spans="1:6">
      <c r="A346" s="279" t="s">
        <v>869</v>
      </c>
      <c r="B346" s="280" t="s">
        <v>870</v>
      </c>
      <c r="C346" s="279" t="s">
        <v>10</v>
      </c>
      <c r="D346" s="281">
        <v>3</v>
      </c>
      <c r="E346" s="282">
        <v>18757</v>
      </c>
      <c r="F346" s="282">
        <v>56271</v>
      </c>
    </row>
    <row r="347" spans="1:6">
      <c r="A347" s="279" t="s">
        <v>871</v>
      </c>
      <c r="B347" s="280" t="s">
        <v>774</v>
      </c>
      <c r="C347" s="279" t="s">
        <v>10</v>
      </c>
      <c r="D347" s="281">
        <v>5</v>
      </c>
      <c r="E347" s="282">
        <v>10852</v>
      </c>
      <c r="F347" s="282">
        <v>54260</v>
      </c>
    </row>
    <row r="348" spans="1:6">
      <c r="A348" s="279" t="s">
        <v>872</v>
      </c>
      <c r="B348" s="280" t="s">
        <v>669</v>
      </c>
      <c r="C348" s="279" t="s">
        <v>10</v>
      </c>
      <c r="D348" s="281">
        <v>3</v>
      </c>
      <c r="E348" s="282">
        <v>7165</v>
      </c>
      <c r="F348" s="282">
        <v>21495</v>
      </c>
    </row>
    <row r="349" spans="1:6">
      <c r="A349" s="279" t="s">
        <v>873</v>
      </c>
      <c r="B349" s="280" t="s">
        <v>777</v>
      </c>
      <c r="C349" s="279" t="s">
        <v>10</v>
      </c>
      <c r="D349" s="281">
        <v>3</v>
      </c>
      <c r="E349" s="282">
        <v>6093</v>
      </c>
      <c r="F349" s="282">
        <v>18279</v>
      </c>
    </row>
    <row r="350" spans="1:6">
      <c r="A350" s="279" t="s">
        <v>874</v>
      </c>
      <c r="B350" s="280" t="s">
        <v>779</v>
      </c>
      <c r="C350" s="279" t="s">
        <v>10</v>
      </c>
      <c r="D350" s="281">
        <v>1</v>
      </c>
      <c r="E350" s="282">
        <v>16122</v>
      </c>
      <c r="F350" s="282">
        <v>16122</v>
      </c>
    </row>
    <row r="351" spans="1:6">
      <c r="A351" s="279" t="s">
        <v>875</v>
      </c>
      <c r="B351" s="280" t="s">
        <v>781</v>
      </c>
      <c r="C351" s="279" t="s">
        <v>10</v>
      </c>
      <c r="D351" s="281">
        <v>1</v>
      </c>
      <c r="E351" s="282">
        <v>7165</v>
      </c>
      <c r="F351" s="282">
        <v>7165</v>
      </c>
    </row>
    <row r="352" spans="1:6">
      <c r="A352" s="279" t="s">
        <v>876</v>
      </c>
      <c r="B352" s="280" t="s">
        <v>139</v>
      </c>
      <c r="C352" s="279" t="s">
        <v>10</v>
      </c>
      <c r="D352" s="281">
        <v>2</v>
      </c>
      <c r="E352" s="282">
        <v>10852</v>
      </c>
      <c r="F352" s="282">
        <v>21704</v>
      </c>
    </row>
    <row r="353" spans="1:6">
      <c r="A353" s="279" t="s">
        <v>877</v>
      </c>
      <c r="B353" s="280" t="s">
        <v>785</v>
      </c>
      <c r="C353" s="279" t="s">
        <v>10</v>
      </c>
      <c r="D353" s="281">
        <v>3</v>
      </c>
      <c r="E353" s="282">
        <v>10852</v>
      </c>
      <c r="F353" s="282">
        <v>32556</v>
      </c>
    </row>
    <row r="354" spans="1:6">
      <c r="A354" s="279" t="s">
        <v>878</v>
      </c>
      <c r="B354" s="280" t="s">
        <v>136</v>
      </c>
      <c r="C354" s="279" t="s">
        <v>10</v>
      </c>
      <c r="D354" s="281">
        <v>2</v>
      </c>
      <c r="E354" s="282">
        <v>18757</v>
      </c>
      <c r="F354" s="282">
        <v>37514</v>
      </c>
    </row>
    <row r="355" spans="1:6">
      <c r="A355" s="279" t="s">
        <v>879</v>
      </c>
      <c r="B355" s="280" t="s">
        <v>676</v>
      </c>
      <c r="C355" s="279" t="s">
        <v>10</v>
      </c>
      <c r="D355" s="281">
        <v>3</v>
      </c>
      <c r="E355" s="282">
        <v>34566</v>
      </c>
      <c r="F355" s="282">
        <v>103698</v>
      </c>
    </row>
    <row r="356" spans="1:6">
      <c r="A356" s="279" t="s">
        <v>880</v>
      </c>
      <c r="B356" s="280" t="s">
        <v>607</v>
      </c>
      <c r="C356" s="279" t="s">
        <v>10</v>
      </c>
      <c r="D356" s="281">
        <v>2</v>
      </c>
      <c r="E356" s="282">
        <v>22709</v>
      </c>
      <c r="F356" s="282">
        <v>45418</v>
      </c>
    </row>
    <row r="357" spans="1:6">
      <c r="A357" s="279" t="s">
        <v>881</v>
      </c>
      <c r="B357" s="280" t="s">
        <v>788</v>
      </c>
      <c r="C357" s="279" t="s">
        <v>10</v>
      </c>
      <c r="D357" s="281">
        <v>1</v>
      </c>
      <c r="E357" s="282">
        <v>16122</v>
      </c>
      <c r="F357" s="282">
        <v>16122</v>
      </c>
    </row>
    <row r="358" spans="1:6">
      <c r="A358" s="279">
        <v>8.5</v>
      </c>
      <c r="B358" s="280" t="s">
        <v>20</v>
      </c>
      <c r="C358" s="279"/>
      <c r="D358" s="281"/>
      <c r="E358" s="282"/>
      <c r="F358" s="282"/>
    </row>
    <row r="359" spans="1:6">
      <c r="A359" s="279" t="s">
        <v>882</v>
      </c>
      <c r="B359" s="280" t="s">
        <v>608</v>
      </c>
      <c r="C359" s="279" t="s">
        <v>1</v>
      </c>
      <c r="D359" s="281">
        <v>0.64</v>
      </c>
      <c r="E359" s="282">
        <v>612595</v>
      </c>
      <c r="F359" s="282">
        <v>392060.8</v>
      </c>
    </row>
    <row r="360" spans="1:6">
      <c r="A360" s="279" t="s">
        <v>883</v>
      </c>
      <c r="B360" s="280" t="s">
        <v>103</v>
      </c>
      <c r="C360" s="279" t="s">
        <v>1</v>
      </c>
      <c r="D360" s="281">
        <v>0.02</v>
      </c>
      <c r="E360" s="282">
        <v>464474</v>
      </c>
      <c r="F360" s="282">
        <v>9289.48</v>
      </c>
    </row>
    <row r="361" spans="1:6">
      <c r="A361" s="279">
        <v>8.6</v>
      </c>
      <c r="B361" s="280" t="s">
        <v>12</v>
      </c>
      <c r="C361" s="279"/>
      <c r="D361" s="281"/>
      <c r="E361" s="282"/>
      <c r="F361" s="282"/>
    </row>
    <row r="362" spans="1:6">
      <c r="A362" s="279" t="s">
        <v>884</v>
      </c>
      <c r="B362" s="280" t="s">
        <v>66</v>
      </c>
      <c r="C362" s="279" t="s">
        <v>4</v>
      </c>
      <c r="D362" s="281">
        <v>41.94</v>
      </c>
      <c r="E362" s="282">
        <v>808</v>
      </c>
      <c r="F362" s="282">
        <v>33887.519999999997</v>
      </c>
    </row>
    <row r="363" spans="1:6">
      <c r="A363" s="279">
        <v>8.6999999999999993</v>
      </c>
      <c r="B363" s="280" t="s">
        <v>21</v>
      </c>
      <c r="C363" s="279"/>
      <c r="D363" s="281"/>
      <c r="E363" s="282"/>
      <c r="F363" s="282"/>
    </row>
    <row r="364" spans="1:6">
      <c r="A364" s="279" t="s">
        <v>885</v>
      </c>
      <c r="B364" s="280" t="s">
        <v>25</v>
      </c>
      <c r="C364" s="279" t="s">
        <v>10</v>
      </c>
      <c r="D364" s="281">
        <v>1.5</v>
      </c>
      <c r="E364" s="282">
        <v>351941</v>
      </c>
      <c r="F364" s="282">
        <v>527911.5</v>
      </c>
    </row>
    <row r="365" spans="1:6">
      <c r="A365" s="279">
        <v>8.8000000000000007</v>
      </c>
      <c r="B365" s="280" t="s">
        <v>26</v>
      </c>
      <c r="C365" s="279"/>
      <c r="D365" s="281"/>
      <c r="E365" s="282"/>
      <c r="F365" s="282">
        <v>0</v>
      </c>
    </row>
    <row r="366" spans="1:6">
      <c r="A366" s="279" t="s">
        <v>886</v>
      </c>
      <c r="B366" s="280" t="s">
        <v>27</v>
      </c>
      <c r="C366" s="279" t="s">
        <v>10</v>
      </c>
      <c r="D366" s="281">
        <v>595</v>
      </c>
      <c r="E366" s="282">
        <v>23111</v>
      </c>
      <c r="F366" s="282">
        <v>13751045</v>
      </c>
    </row>
    <row r="367" spans="1:6">
      <c r="A367" s="279">
        <v>8.9</v>
      </c>
      <c r="B367" s="280" t="s">
        <v>28</v>
      </c>
      <c r="C367" s="279"/>
      <c r="D367" s="281"/>
      <c r="E367" s="282"/>
      <c r="F367" s="282"/>
    </row>
    <row r="368" spans="1:6" ht="120">
      <c r="A368" s="279" t="s">
        <v>887</v>
      </c>
      <c r="B368" s="280" t="s">
        <v>108</v>
      </c>
      <c r="C368" s="279" t="s">
        <v>10</v>
      </c>
      <c r="D368" s="281">
        <v>595</v>
      </c>
      <c r="E368" s="282">
        <v>158939</v>
      </c>
      <c r="F368" s="282">
        <v>94568705</v>
      </c>
    </row>
    <row r="369" spans="1:6">
      <c r="A369" s="279" t="s">
        <v>888</v>
      </c>
      <c r="B369" s="280" t="s">
        <v>103</v>
      </c>
      <c r="C369" s="279" t="s">
        <v>1</v>
      </c>
      <c r="D369" s="281">
        <v>2.29</v>
      </c>
      <c r="E369" s="282">
        <v>464474</v>
      </c>
      <c r="F369" s="282">
        <v>1063645.46</v>
      </c>
    </row>
    <row r="370" spans="1:6">
      <c r="A370" s="538" t="s">
        <v>889</v>
      </c>
      <c r="B370" s="538"/>
      <c r="C370" s="538"/>
      <c r="D370" s="538"/>
      <c r="E370" s="538"/>
      <c r="F370" s="296">
        <f>SUM(F314:F369,0)</f>
        <v>256848412.83000001</v>
      </c>
    </row>
    <row r="371" spans="1:6">
      <c r="A371" s="278">
        <v>9</v>
      </c>
      <c r="B371" s="535" t="s">
        <v>890</v>
      </c>
      <c r="C371" s="535"/>
      <c r="D371" s="535"/>
      <c r="E371" s="535"/>
      <c r="F371" s="535"/>
    </row>
    <row r="372" spans="1:6">
      <c r="A372" s="279">
        <v>9.1</v>
      </c>
      <c r="B372" s="280" t="s">
        <v>13</v>
      </c>
      <c r="C372" s="279"/>
      <c r="D372" s="281"/>
      <c r="E372" s="282"/>
      <c r="F372" s="282"/>
    </row>
    <row r="373" spans="1:6">
      <c r="A373" s="279" t="s">
        <v>140</v>
      </c>
      <c r="B373" s="280" t="s">
        <v>9</v>
      </c>
      <c r="C373" s="279" t="s">
        <v>1</v>
      </c>
      <c r="D373" s="281">
        <v>3165.59</v>
      </c>
      <c r="E373" s="282">
        <v>6946</v>
      </c>
      <c r="F373" s="282">
        <v>21988188.140000001</v>
      </c>
    </row>
    <row r="374" spans="1:6">
      <c r="A374" s="279" t="s">
        <v>193</v>
      </c>
      <c r="B374" s="280" t="s">
        <v>74</v>
      </c>
      <c r="C374" s="279" t="s">
        <v>1</v>
      </c>
      <c r="D374" s="281">
        <v>306.25</v>
      </c>
      <c r="E374" s="282">
        <v>72552</v>
      </c>
      <c r="F374" s="282">
        <v>22219050</v>
      </c>
    </row>
    <row r="375" spans="1:6">
      <c r="A375" s="279">
        <v>9.1999999999999993</v>
      </c>
      <c r="B375" s="280" t="s">
        <v>18</v>
      </c>
      <c r="C375" s="279"/>
      <c r="D375" s="281"/>
      <c r="E375" s="282">
        <v>0</v>
      </c>
      <c r="F375" s="282"/>
    </row>
    <row r="376" spans="1:6">
      <c r="A376" s="279" t="s">
        <v>141</v>
      </c>
      <c r="B376" s="280" t="s">
        <v>11</v>
      </c>
      <c r="C376" s="279" t="s">
        <v>1</v>
      </c>
      <c r="D376" s="281">
        <v>985.69</v>
      </c>
      <c r="E376" s="282">
        <v>90605</v>
      </c>
      <c r="F376" s="282">
        <v>89308442.450000003</v>
      </c>
    </row>
    <row r="377" spans="1:6">
      <c r="A377" s="279" t="s">
        <v>891</v>
      </c>
      <c r="B377" s="280" t="s">
        <v>76</v>
      </c>
      <c r="C377" s="279" t="s">
        <v>1</v>
      </c>
      <c r="D377" s="281">
        <v>558.25</v>
      </c>
      <c r="E377" s="282">
        <v>13134</v>
      </c>
      <c r="F377" s="282">
        <v>7332055.5</v>
      </c>
    </row>
    <row r="378" spans="1:6" ht="30">
      <c r="A378" s="279" t="s">
        <v>892</v>
      </c>
      <c r="B378" s="280" t="s">
        <v>77</v>
      </c>
      <c r="C378" s="279" t="s">
        <v>1</v>
      </c>
      <c r="D378" s="281">
        <v>494.77</v>
      </c>
      <c r="E378" s="282">
        <v>131380</v>
      </c>
      <c r="F378" s="282">
        <v>65002882.599999994</v>
      </c>
    </row>
    <row r="379" spans="1:6">
      <c r="A379" s="279" t="s">
        <v>893</v>
      </c>
      <c r="B379" s="280" t="s">
        <v>19</v>
      </c>
      <c r="C379" s="279" t="s">
        <v>1</v>
      </c>
      <c r="D379" s="281">
        <v>84.77</v>
      </c>
      <c r="E379" s="282">
        <v>114147</v>
      </c>
      <c r="F379" s="282">
        <v>9676241.1899999995</v>
      </c>
    </row>
    <row r="380" spans="1:6">
      <c r="A380" s="279" t="s">
        <v>894</v>
      </c>
      <c r="B380" s="280" t="s">
        <v>78</v>
      </c>
      <c r="C380" s="279" t="s">
        <v>1</v>
      </c>
      <c r="D380" s="281">
        <v>31.4</v>
      </c>
      <c r="E380" s="282">
        <v>727438</v>
      </c>
      <c r="F380" s="282">
        <v>22841553.199999999</v>
      </c>
    </row>
    <row r="381" spans="1:6" ht="30">
      <c r="A381" s="279" t="s">
        <v>895</v>
      </c>
      <c r="B381" s="280" t="s">
        <v>22</v>
      </c>
      <c r="C381" s="279" t="s">
        <v>1</v>
      </c>
      <c r="D381" s="281">
        <v>2597.21</v>
      </c>
      <c r="E381" s="282">
        <v>37243</v>
      </c>
      <c r="F381" s="282">
        <v>96727892.030000001</v>
      </c>
    </row>
    <row r="382" spans="1:6">
      <c r="A382" s="279" t="s">
        <v>896</v>
      </c>
      <c r="B382" s="280" t="s">
        <v>68</v>
      </c>
      <c r="C382" s="279" t="s">
        <v>1</v>
      </c>
      <c r="D382" s="281">
        <v>415.39</v>
      </c>
      <c r="E382" s="282">
        <v>67222</v>
      </c>
      <c r="F382" s="282">
        <v>27923346.579999998</v>
      </c>
    </row>
    <row r="383" spans="1:6">
      <c r="A383" s="279">
        <v>9.3000000000000007</v>
      </c>
      <c r="B383" s="291" t="s">
        <v>15</v>
      </c>
      <c r="C383" s="279"/>
      <c r="D383" s="281"/>
      <c r="E383" s="282"/>
      <c r="F383" s="282">
        <v>0</v>
      </c>
    </row>
    <row r="384" spans="1:6">
      <c r="A384" s="279" t="s">
        <v>897</v>
      </c>
      <c r="B384" s="293" t="s">
        <v>23</v>
      </c>
      <c r="C384" s="279" t="s">
        <v>67</v>
      </c>
      <c r="D384" s="281">
        <v>3676.16</v>
      </c>
      <c r="E384" s="282">
        <v>3458</v>
      </c>
      <c r="F384" s="282">
        <v>12712161.279999999</v>
      </c>
    </row>
    <row r="385" spans="1:6">
      <c r="A385" s="279" t="s">
        <v>898</v>
      </c>
      <c r="B385" s="293" t="s">
        <v>16</v>
      </c>
      <c r="C385" s="279" t="s">
        <v>67</v>
      </c>
      <c r="D385" s="281">
        <v>163.94</v>
      </c>
      <c r="E385" s="282">
        <v>3458</v>
      </c>
      <c r="F385" s="282">
        <v>566904.52</v>
      </c>
    </row>
    <row r="386" spans="1:6">
      <c r="A386" s="279" t="s">
        <v>899</v>
      </c>
      <c r="B386" s="293" t="s">
        <v>24</v>
      </c>
      <c r="C386" s="279" t="s">
        <v>67</v>
      </c>
      <c r="D386" s="281">
        <v>542.49</v>
      </c>
      <c r="E386" s="282">
        <v>4107</v>
      </c>
      <c r="F386" s="282">
        <v>2228006.4300000002</v>
      </c>
    </row>
    <row r="387" spans="1:6">
      <c r="A387" s="279" t="s">
        <v>900</v>
      </c>
      <c r="B387" s="280" t="s">
        <v>593</v>
      </c>
      <c r="C387" s="279" t="s">
        <v>10</v>
      </c>
      <c r="D387" s="281">
        <v>3</v>
      </c>
      <c r="E387" s="282">
        <v>64286</v>
      </c>
      <c r="F387" s="282">
        <v>192858</v>
      </c>
    </row>
    <row r="388" spans="1:6">
      <c r="A388" s="279" t="s">
        <v>901</v>
      </c>
      <c r="B388" s="280" t="s">
        <v>591</v>
      </c>
      <c r="C388" s="279" t="s">
        <v>10</v>
      </c>
      <c r="D388" s="281">
        <v>3</v>
      </c>
      <c r="E388" s="282">
        <v>33881</v>
      </c>
      <c r="F388" s="282">
        <v>101643</v>
      </c>
    </row>
    <row r="389" spans="1:6">
      <c r="A389" s="279">
        <v>9.4</v>
      </c>
      <c r="B389" s="280" t="s">
        <v>31</v>
      </c>
      <c r="C389" s="279"/>
      <c r="D389" s="281"/>
      <c r="E389" s="282"/>
      <c r="F389" s="282"/>
    </row>
    <row r="390" spans="1:6">
      <c r="A390" s="279" t="s">
        <v>902</v>
      </c>
      <c r="B390" s="280" t="s">
        <v>815</v>
      </c>
      <c r="C390" s="279" t="s">
        <v>10</v>
      </c>
      <c r="D390" s="281">
        <v>1</v>
      </c>
      <c r="E390" s="282">
        <v>10852</v>
      </c>
      <c r="F390" s="282">
        <v>10852</v>
      </c>
    </row>
    <row r="391" spans="1:6">
      <c r="A391" s="279" t="s">
        <v>903</v>
      </c>
      <c r="B391" s="280" t="s">
        <v>817</v>
      </c>
      <c r="C391" s="279" t="s">
        <v>10</v>
      </c>
      <c r="D391" s="281">
        <v>1</v>
      </c>
      <c r="E391" s="282">
        <v>7165</v>
      </c>
      <c r="F391" s="282">
        <v>7165</v>
      </c>
    </row>
    <row r="392" spans="1:6">
      <c r="A392" s="279" t="s">
        <v>904</v>
      </c>
      <c r="B392" s="280" t="s">
        <v>596</v>
      </c>
      <c r="C392" s="279" t="s">
        <v>10</v>
      </c>
      <c r="D392" s="281">
        <v>2</v>
      </c>
      <c r="E392" s="282">
        <v>6093</v>
      </c>
      <c r="F392" s="282">
        <v>12186</v>
      </c>
    </row>
    <row r="393" spans="1:6">
      <c r="A393" s="279" t="s">
        <v>905</v>
      </c>
      <c r="B393" s="280" t="s">
        <v>757</v>
      </c>
      <c r="C393" s="279" t="s">
        <v>10</v>
      </c>
      <c r="D393" s="281">
        <v>2</v>
      </c>
      <c r="E393" s="282">
        <v>10852</v>
      </c>
      <c r="F393" s="282">
        <v>21704</v>
      </c>
    </row>
    <row r="394" spans="1:6">
      <c r="A394" s="279" t="s">
        <v>906</v>
      </c>
      <c r="B394" s="280" t="s">
        <v>819</v>
      </c>
      <c r="C394" s="279" t="s">
        <v>10</v>
      </c>
      <c r="D394" s="281">
        <v>3</v>
      </c>
      <c r="E394" s="282">
        <v>7165</v>
      </c>
      <c r="F394" s="282">
        <v>21495</v>
      </c>
    </row>
    <row r="395" spans="1:6">
      <c r="A395" s="279" t="s">
        <v>907</v>
      </c>
      <c r="B395" s="280" t="s">
        <v>760</v>
      </c>
      <c r="C395" s="279" t="s">
        <v>10</v>
      </c>
      <c r="D395" s="281">
        <v>2</v>
      </c>
      <c r="E395" s="282">
        <v>6093</v>
      </c>
      <c r="F395" s="282">
        <v>12186</v>
      </c>
    </row>
    <row r="396" spans="1:6">
      <c r="A396" s="279" t="s">
        <v>908</v>
      </c>
      <c r="B396" s="280" t="s">
        <v>764</v>
      </c>
      <c r="C396" s="279" t="s">
        <v>10</v>
      </c>
      <c r="D396" s="281">
        <v>2</v>
      </c>
      <c r="E396" s="282">
        <v>10852</v>
      </c>
      <c r="F396" s="282">
        <v>21704</v>
      </c>
    </row>
    <row r="397" spans="1:6">
      <c r="A397" s="279" t="s">
        <v>909</v>
      </c>
      <c r="B397" s="280" t="s">
        <v>821</v>
      </c>
      <c r="C397" s="279" t="s">
        <v>10</v>
      </c>
      <c r="D397" s="281">
        <v>3</v>
      </c>
      <c r="E397" s="282">
        <v>7165</v>
      </c>
      <c r="F397" s="282">
        <v>21495</v>
      </c>
    </row>
    <row r="398" spans="1:6">
      <c r="A398" s="279" t="s">
        <v>910</v>
      </c>
      <c r="B398" s="280" t="s">
        <v>766</v>
      </c>
      <c r="C398" s="279" t="s">
        <v>10</v>
      </c>
      <c r="D398" s="281">
        <v>6</v>
      </c>
      <c r="E398" s="282">
        <v>6093</v>
      </c>
      <c r="F398" s="282">
        <v>36558</v>
      </c>
    </row>
    <row r="399" spans="1:6">
      <c r="A399" s="279" t="s">
        <v>911</v>
      </c>
      <c r="B399" s="280" t="s">
        <v>768</v>
      </c>
      <c r="C399" s="279" t="s">
        <v>10</v>
      </c>
      <c r="D399" s="281">
        <v>4</v>
      </c>
      <c r="E399" s="282">
        <v>10852</v>
      </c>
      <c r="F399" s="282">
        <v>43408</v>
      </c>
    </row>
    <row r="400" spans="1:6">
      <c r="A400" s="279" t="s">
        <v>912</v>
      </c>
      <c r="B400" s="280" t="s">
        <v>770</v>
      </c>
      <c r="C400" s="279" t="s">
        <v>10</v>
      </c>
      <c r="D400" s="281">
        <v>2</v>
      </c>
      <c r="E400" s="282">
        <v>7165</v>
      </c>
      <c r="F400" s="282">
        <v>14330</v>
      </c>
    </row>
    <row r="401" spans="1:6">
      <c r="A401" s="279" t="s">
        <v>913</v>
      </c>
      <c r="B401" s="280" t="s">
        <v>772</v>
      </c>
      <c r="C401" s="279" t="s">
        <v>10</v>
      </c>
      <c r="D401" s="281">
        <v>4</v>
      </c>
      <c r="E401" s="282">
        <v>6093</v>
      </c>
      <c r="F401" s="282">
        <v>24372</v>
      </c>
    </row>
    <row r="402" spans="1:6">
      <c r="A402" s="279" t="s">
        <v>914</v>
      </c>
      <c r="B402" s="280" t="s">
        <v>774</v>
      </c>
      <c r="C402" s="279" t="s">
        <v>10</v>
      </c>
      <c r="D402" s="281">
        <v>3</v>
      </c>
      <c r="E402" s="282">
        <v>10852</v>
      </c>
      <c r="F402" s="282">
        <v>32556</v>
      </c>
    </row>
    <row r="403" spans="1:6">
      <c r="A403" s="279" t="s">
        <v>915</v>
      </c>
      <c r="B403" s="280" t="s">
        <v>669</v>
      </c>
      <c r="C403" s="279" t="s">
        <v>10</v>
      </c>
      <c r="D403" s="281">
        <v>2</v>
      </c>
      <c r="E403" s="282">
        <v>7165</v>
      </c>
      <c r="F403" s="282">
        <v>14330</v>
      </c>
    </row>
    <row r="404" spans="1:6">
      <c r="A404" s="279" t="s">
        <v>916</v>
      </c>
      <c r="B404" s="280" t="s">
        <v>777</v>
      </c>
      <c r="C404" s="279" t="s">
        <v>10</v>
      </c>
      <c r="D404" s="281">
        <v>3</v>
      </c>
      <c r="E404" s="282">
        <v>6093</v>
      </c>
      <c r="F404" s="282">
        <v>18279</v>
      </c>
    </row>
    <row r="405" spans="1:6">
      <c r="A405" s="279" t="s">
        <v>917</v>
      </c>
      <c r="B405" s="280" t="s">
        <v>779</v>
      </c>
      <c r="C405" s="279" t="s">
        <v>10</v>
      </c>
      <c r="D405" s="281">
        <v>1</v>
      </c>
      <c r="E405" s="282">
        <v>16122</v>
      </c>
      <c r="F405" s="282">
        <v>16122</v>
      </c>
    </row>
    <row r="406" spans="1:6">
      <c r="A406" s="279" t="s">
        <v>918</v>
      </c>
      <c r="B406" s="280" t="s">
        <v>781</v>
      </c>
      <c r="C406" s="279" t="s">
        <v>10</v>
      </c>
      <c r="D406" s="281">
        <v>1</v>
      </c>
      <c r="E406" s="282">
        <v>7165</v>
      </c>
      <c r="F406" s="282">
        <v>7165</v>
      </c>
    </row>
    <row r="407" spans="1:6">
      <c r="A407" s="279" t="s">
        <v>919</v>
      </c>
      <c r="B407" s="280" t="s">
        <v>139</v>
      </c>
      <c r="C407" s="279" t="s">
        <v>10</v>
      </c>
      <c r="D407" s="281">
        <v>1</v>
      </c>
      <c r="E407" s="282">
        <v>10852</v>
      </c>
      <c r="F407" s="282">
        <v>10852</v>
      </c>
    </row>
    <row r="408" spans="1:6">
      <c r="A408" s="279" t="s">
        <v>920</v>
      </c>
      <c r="B408" s="280" t="s">
        <v>785</v>
      </c>
      <c r="C408" s="279" t="s">
        <v>10</v>
      </c>
      <c r="D408" s="281">
        <v>2</v>
      </c>
      <c r="E408" s="282">
        <v>10852</v>
      </c>
      <c r="F408" s="282">
        <v>21704</v>
      </c>
    </row>
    <row r="409" spans="1:6">
      <c r="A409" s="279" t="s">
        <v>921</v>
      </c>
      <c r="B409" s="280" t="s">
        <v>136</v>
      </c>
      <c r="C409" s="279" t="s">
        <v>10</v>
      </c>
      <c r="D409" s="281">
        <v>1</v>
      </c>
      <c r="E409" s="282">
        <v>18757</v>
      </c>
      <c r="F409" s="282">
        <v>18757</v>
      </c>
    </row>
    <row r="410" spans="1:6">
      <c r="A410" s="279" t="s">
        <v>922</v>
      </c>
      <c r="B410" s="280" t="s">
        <v>607</v>
      </c>
      <c r="C410" s="279" t="s">
        <v>10</v>
      </c>
      <c r="D410" s="281">
        <v>1</v>
      </c>
      <c r="E410" s="282">
        <v>16122</v>
      </c>
      <c r="F410" s="282">
        <v>16122</v>
      </c>
    </row>
    <row r="411" spans="1:6">
      <c r="A411" s="279">
        <v>9.5</v>
      </c>
      <c r="B411" s="280" t="s">
        <v>20</v>
      </c>
      <c r="C411" s="279"/>
      <c r="D411" s="281"/>
      <c r="E411" s="282"/>
      <c r="F411" s="282"/>
    </row>
    <row r="412" spans="1:6">
      <c r="A412" s="279" t="s">
        <v>923</v>
      </c>
      <c r="B412" s="280" t="s">
        <v>608</v>
      </c>
      <c r="C412" s="279" t="s">
        <v>1</v>
      </c>
      <c r="D412" s="281">
        <v>0.64</v>
      </c>
      <c r="E412" s="282">
        <v>612595</v>
      </c>
      <c r="F412" s="282">
        <v>392060.8</v>
      </c>
    </row>
    <row r="413" spans="1:6">
      <c r="A413" s="279" t="s">
        <v>924</v>
      </c>
      <c r="B413" s="280" t="s">
        <v>103</v>
      </c>
      <c r="C413" s="279" t="s">
        <v>1</v>
      </c>
      <c r="D413" s="281">
        <v>0.02</v>
      </c>
      <c r="E413" s="282">
        <v>464474</v>
      </c>
      <c r="F413" s="282">
        <v>9289.48</v>
      </c>
    </row>
    <row r="414" spans="1:6">
      <c r="A414" s="279">
        <v>9.6</v>
      </c>
      <c r="B414" s="280" t="s">
        <v>12</v>
      </c>
      <c r="C414" s="279"/>
      <c r="D414" s="281"/>
      <c r="E414" s="282"/>
      <c r="F414" s="282"/>
    </row>
    <row r="415" spans="1:6">
      <c r="A415" s="279" t="s">
        <v>925</v>
      </c>
      <c r="B415" s="280" t="s">
        <v>66</v>
      </c>
      <c r="C415" s="279" t="s">
        <v>4</v>
      </c>
      <c r="D415" s="281">
        <v>41.94</v>
      </c>
      <c r="E415" s="282">
        <v>808</v>
      </c>
      <c r="F415" s="282">
        <v>33887.519999999997</v>
      </c>
    </row>
    <row r="416" spans="1:6">
      <c r="A416" s="279">
        <v>9.6999999999999993</v>
      </c>
      <c r="B416" s="280" t="s">
        <v>21</v>
      </c>
      <c r="C416" s="279"/>
      <c r="D416" s="281"/>
      <c r="E416" s="282"/>
      <c r="F416" s="282"/>
    </row>
    <row r="417" spans="1:6">
      <c r="A417" s="279" t="s">
        <v>926</v>
      </c>
      <c r="B417" s="280" t="s">
        <v>25</v>
      </c>
      <c r="C417" s="279" t="s">
        <v>10</v>
      </c>
      <c r="D417" s="281">
        <v>1.5</v>
      </c>
      <c r="E417" s="282">
        <v>351941</v>
      </c>
      <c r="F417" s="282">
        <v>527911.5</v>
      </c>
    </row>
    <row r="418" spans="1:6">
      <c r="A418" s="279">
        <v>9.8000000000000007</v>
      </c>
      <c r="B418" s="280" t="s">
        <v>26</v>
      </c>
      <c r="C418" s="279"/>
      <c r="D418" s="281"/>
      <c r="E418" s="282"/>
      <c r="F418" s="282"/>
    </row>
    <row r="419" spans="1:6">
      <c r="A419" s="279" t="s">
        <v>927</v>
      </c>
      <c r="B419" s="280" t="s">
        <v>27</v>
      </c>
      <c r="C419" s="279" t="s">
        <v>10</v>
      </c>
      <c r="D419" s="281">
        <v>595</v>
      </c>
      <c r="E419" s="282">
        <v>23111</v>
      </c>
      <c r="F419" s="282">
        <v>13751045</v>
      </c>
    </row>
    <row r="420" spans="1:6">
      <c r="A420" s="279">
        <v>9.9</v>
      </c>
      <c r="B420" s="280" t="s">
        <v>28</v>
      </c>
      <c r="C420" s="279"/>
      <c r="D420" s="281"/>
      <c r="E420" s="282"/>
      <c r="F420" s="282"/>
    </row>
    <row r="421" spans="1:6" ht="120">
      <c r="A421" s="279" t="s">
        <v>928</v>
      </c>
      <c r="B421" s="280" t="s">
        <v>108</v>
      </c>
      <c r="C421" s="279" t="s">
        <v>10</v>
      </c>
      <c r="D421" s="281">
        <v>595</v>
      </c>
      <c r="E421" s="282">
        <v>158939</v>
      </c>
      <c r="F421" s="282">
        <v>94568705</v>
      </c>
    </row>
    <row r="422" spans="1:6">
      <c r="A422" s="279" t="s">
        <v>929</v>
      </c>
      <c r="B422" s="280" t="s">
        <v>103</v>
      </c>
      <c r="C422" s="279" t="s">
        <v>1</v>
      </c>
      <c r="D422" s="281">
        <v>2.29</v>
      </c>
      <c r="E422" s="282">
        <v>464474</v>
      </c>
      <c r="F422" s="282">
        <v>1063645.46</v>
      </c>
    </row>
    <row r="423" spans="1:6">
      <c r="A423" s="530" t="s">
        <v>930</v>
      </c>
      <c r="B423" s="530"/>
      <c r="C423" s="530"/>
      <c r="D423" s="530"/>
      <c r="E423" s="530"/>
      <c r="F423" s="296">
        <f>SUM(F372:F422,0)</f>
        <v>489571111.67999995</v>
      </c>
    </row>
    <row r="424" spans="1:6">
      <c r="A424" s="278">
        <v>10</v>
      </c>
      <c r="B424" s="535" t="s">
        <v>142</v>
      </c>
      <c r="C424" s="535"/>
      <c r="D424" s="535"/>
      <c r="E424" s="535"/>
      <c r="F424" s="535"/>
    </row>
    <row r="425" spans="1:6">
      <c r="A425" s="279">
        <v>10.1</v>
      </c>
      <c r="B425" s="280" t="s">
        <v>931</v>
      </c>
      <c r="C425" s="279"/>
      <c r="D425" s="281"/>
      <c r="E425" s="282"/>
      <c r="F425" s="282"/>
    </row>
    <row r="426" spans="1:6">
      <c r="A426" s="279" t="s">
        <v>932</v>
      </c>
      <c r="B426" s="280" t="s">
        <v>9</v>
      </c>
      <c r="C426" s="279" t="s">
        <v>1</v>
      </c>
      <c r="D426" s="281">
        <v>28.91</v>
      </c>
      <c r="E426" s="282">
        <v>6946</v>
      </c>
      <c r="F426" s="282">
        <v>200808.86000000002</v>
      </c>
    </row>
    <row r="427" spans="1:6">
      <c r="A427" s="279" t="s">
        <v>933</v>
      </c>
      <c r="B427" s="280" t="s">
        <v>76</v>
      </c>
      <c r="C427" s="279" t="s">
        <v>1</v>
      </c>
      <c r="D427" s="281">
        <v>18.920000000000002</v>
      </c>
      <c r="E427" s="282">
        <v>13134</v>
      </c>
      <c r="F427" s="282">
        <v>248495.28000000003</v>
      </c>
    </row>
    <row r="428" spans="1:6" ht="30">
      <c r="A428" s="279" t="s">
        <v>934</v>
      </c>
      <c r="B428" s="280" t="s">
        <v>22</v>
      </c>
      <c r="C428" s="279" t="s">
        <v>1</v>
      </c>
      <c r="D428" s="281">
        <v>9.99</v>
      </c>
      <c r="E428" s="282">
        <v>37243</v>
      </c>
      <c r="F428" s="282">
        <v>372057.57</v>
      </c>
    </row>
    <row r="429" spans="1:6">
      <c r="A429" s="279">
        <v>10.199999999999999</v>
      </c>
      <c r="B429" s="280" t="s">
        <v>935</v>
      </c>
      <c r="C429" s="279"/>
      <c r="D429" s="281"/>
      <c r="E429" s="282"/>
      <c r="F429" s="282"/>
    </row>
    <row r="430" spans="1:6">
      <c r="A430" s="279" t="s">
        <v>936</v>
      </c>
      <c r="B430" s="280" t="s">
        <v>937</v>
      </c>
      <c r="C430" s="279" t="s">
        <v>1</v>
      </c>
      <c r="D430" s="281">
        <v>12.3</v>
      </c>
      <c r="E430" s="282">
        <v>839854</v>
      </c>
      <c r="F430" s="282">
        <v>10330204.200000001</v>
      </c>
    </row>
    <row r="431" spans="1:6">
      <c r="A431" s="279" t="s">
        <v>938</v>
      </c>
      <c r="B431" s="280" t="s">
        <v>103</v>
      </c>
      <c r="C431" s="279" t="s">
        <v>1</v>
      </c>
      <c r="D431" s="281">
        <v>0.78</v>
      </c>
      <c r="E431" s="282">
        <v>492313</v>
      </c>
      <c r="F431" s="282">
        <v>384004.14</v>
      </c>
    </row>
    <row r="432" spans="1:6">
      <c r="A432" s="279">
        <v>10.3</v>
      </c>
      <c r="B432" s="280" t="s">
        <v>12</v>
      </c>
      <c r="C432" s="279"/>
      <c r="D432" s="281"/>
      <c r="E432" s="282"/>
      <c r="F432" s="282"/>
    </row>
    <row r="433" spans="1:7">
      <c r="A433" s="279" t="s">
        <v>939</v>
      </c>
      <c r="B433" s="280" t="s">
        <v>66</v>
      </c>
      <c r="C433" s="279" t="s">
        <v>4</v>
      </c>
      <c r="D433" s="281">
        <v>1261</v>
      </c>
      <c r="E433" s="282">
        <v>808</v>
      </c>
      <c r="F433" s="282">
        <v>1018888</v>
      </c>
    </row>
    <row r="434" spans="1:7">
      <c r="A434" s="279">
        <v>10.4</v>
      </c>
      <c r="B434" s="280" t="s">
        <v>21</v>
      </c>
      <c r="C434" s="279"/>
      <c r="D434" s="281"/>
      <c r="E434" s="282"/>
      <c r="F434" s="282"/>
    </row>
    <row r="435" spans="1:7">
      <c r="A435" s="279" t="s">
        <v>940</v>
      </c>
      <c r="B435" s="280" t="s">
        <v>941</v>
      </c>
      <c r="C435" s="279" t="s">
        <v>2</v>
      </c>
      <c r="D435" s="281">
        <v>0.64</v>
      </c>
      <c r="E435" s="282">
        <v>188681</v>
      </c>
      <c r="F435" s="282">
        <v>120755.84</v>
      </c>
    </row>
    <row r="436" spans="1:7">
      <c r="A436" s="279">
        <v>10.5</v>
      </c>
      <c r="B436" s="280" t="s">
        <v>942</v>
      </c>
      <c r="C436" s="279"/>
      <c r="D436" s="281"/>
      <c r="E436" s="282"/>
      <c r="F436" s="282"/>
    </row>
    <row r="437" spans="1:7">
      <c r="A437" s="279" t="s">
        <v>943</v>
      </c>
      <c r="B437" s="280" t="s">
        <v>14</v>
      </c>
      <c r="C437" s="279" t="s">
        <v>67</v>
      </c>
      <c r="D437" s="281">
        <v>1.5</v>
      </c>
      <c r="E437" s="282">
        <v>187736</v>
      </c>
      <c r="F437" s="282">
        <v>281604</v>
      </c>
    </row>
    <row r="438" spans="1:7">
      <c r="A438" s="279">
        <v>10.6</v>
      </c>
      <c r="B438" s="280" t="s">
        <v>944</v>
      </c>
      <c r="C438" s="279"/>
      <c r="D438" s="281"/>
      <c r="E438" s="282"/>
      <c r="F438" s="282"/>
    </row>
    <row r="439" spans="1:7">
      <c r="A439" s="279" t="s">
        <v>945</v>
      </c>
      <c r="B439" s="280" t="s">
        <v>946</v>
      </c>
      <c r="C439" s="279" t="s">
        <v>10</v>
      </c>
      <c r="D439" s="281">
        <v>2</v>
      </c>
      <c r="E439" s="282">
        <v>32875</v>
      </c>
      <c r="F439" s="282">
        <v>65750</v>
      </c>
    </row>
    <row r="440" spans="1:7">
      <c r="A440" s="279" t="s">
        <v>947</v>
      </c>
      <c r="B440" s="280" t="s">
        <v>948</v>
      </c>
      <c r="C440" s="279" t="s">
        <v>10</v>
      </c>
      <c r="D440" s="281">
        <v>4</v>
      </c>
      <c r="E440" s="282">
        <v>32875</v>
      </c>
      <c r="F440" s="282">
        <v>131500</v>
      </c>
    </row>
    <row r="441" spans="1:7">
      <c r="A441" s="279" t="s">
        <v>949</v>
      </c>
      <c r="B441" s="280" t="s">
        <v>950</v>
      </c>
      <c r="C441" s="279" t="s">
        <v>10</v>
      </c>
      <c r="D441" s="281">
        <v>6</v>
      </c>
      <c r="E441" s="282">
        <v>6721</v>
      </c>
      <c r="F441" s="282">
        <v>40326</v>
      </c>
    </row>
    <row r="442" spans="1:7">
      <c r="A442" s="279" t="s">
        <v>951</v>
      </c>
      <c r="B442" s="280" t="s">
        <v>952</v>
      </c>
      <c r="C442" s="279" t="s">
        <v>10</v>
      </c>
      <c r="D442" s="281">
        <v>1</v>
      </c>
      <c r="E442" s="282">
        <v>26990</v>
      </c>
      <c r="F442" s="282">
        <v>26990</v>
      </c>
    </row>
    <row r="443" spans="1:7">
      <c r="A443" s="539" t="s">
        <v>953</v>
      </c>
      <c r="B443" s="539"/>
      <c r="C443" s="539"/>
      <c r="D443" s="539"/>
      <c r="E443" s="539"/>
      <c r="F443" s="298">
        <f>SUM(F426:F442,0)</f>
        <v>13221383.890000001</v>
      </c>
    </row>
    <row r="444" spans="1:7">
      <c r="A444" s="540" t="s">
        <v>954</v>
      </c>
      <c r="B444" s="540"/>
      <c r="C444" s="540"/>
      <c r="D444" s="540"/>
      <c r="E444" s="540"/>
      <c r="F444" s="299">
        <f>+F443*24%</f>
        <v>3173132.1335999998</v>
      </c>
      <c r="G444" s="300">
        <f>+F443*0.05</f>
        <v>661069.1945000001</v>
      </c>
    </row>
    <row r="445" spans="1:7">
      <c r="A445" s="540" t="s">
        <v>955</v>
      </c>
      <c r="B445" s="540"/>
      <c r="C445" s="540"/>
      <c r="D445" s="540"/>
      <c r="E445" s="540"/>
      <c r="F445" s="299">
        <f>1846708*16%</f>
        <v>295473.28000000003</v>
      </c>
      <c r="G445" s="301"/>
    </row>
    <row r="446" spans="1:7">
      <c r="A446" s="538" t="s">
        <v>243</v>
      </c>
      <c r="B446" s="538"/>
      <c r="C446" s="538"/>
      <c r="D446" s="538"/>
      <c r="E446" s="538"/>
      <c r="F446" s="302">
        <f>ROUND(SUM(F443:F445),0)</f>
        <v>16689989</v>
      </c>
    </row>
    <row r="447" spans="1:7">
      <c r="A447" s="303">
        <v>11</v>
      </c>
      <c r="B447" s="536" t="s">
        <v>956</v>
      </c>
      <c r="C447" s="536"/>
      <c r="D447" s="536"/>
      <c r="E447" s="536"/>
      <c r="F447" s="536"/>
    </row>
    <row r="448" spans="1:7">
      <c r="A448" s="279">
        <v>11.1</v>
      </c>
      <c r="B448" s="280" t="s">
        <v>957</v>
      </c>
      <c r="C448" s="279" t="s">
        <v>2</v>
      </c>
      <c r="D448" s="281">
        <v>130</v>
      </c>
      <c r="E448" s="282">
        <v>2311</v>
      </c>
      <c r="F448" s="282">
        <v>300430</v>
      </c>
    </row>
    <row r="449" spans="1:6">
      <c r="A449" s="279">
        <v>11.2</v>
      </c>
      <c r="B449" s="280" t="s">
        <v>958</v>
      </c>
      <c r="C449" s="279" t="s">
        <v>2</v>
      </c>
      <c r="D449" s="281">
        <v>130</v>
      </c>
      <c r="E449" s="282">
        <v>2058</v>
      </c>
      <c r="F449" s="282">
        <v>267540</v>
      </c>
    </row>
    <row r="450" spans="1:6">
      <c r="A450" s="279">
        <v>11.3</v>
      </c>
      <c r="B450" s="280" t="s">
        <v>9</v>
      </c>
      <c r="C450" s="279" t="s">
        <v>1</v>
      </c>
      <c r="D450" s="281">
        <v>52.56</v>
      </c>
      <c r="E450" s="282">
        <v>6946</v>
      </c>
      <c r="F450" s="282">
        <v>365081.76</v>
      </c>
    </row>
    <row r="451" spans="1:6" ht="30">
      <c r="A451" s="279">
        <v>11.4</v>
      </c>
      <c r="B451" s="280" t="s">
        <v>22</v>
      </c>
      <c r="C451" s="279" t="s">
        <v>1</v>
      </c>
      <c r="D451" s="281">
        <v>52.56</v>
      </c>
      <c r="E451" s="282">
        <v>37243</v>
      </c>
      <c r="F451" s="282">
        <v>1957492.08</v>
      </c>
    </row>
    <row r="452" spans="1:6" ht="30">
      <c r="A452" s="279">
        <v>11.5</v>
      </c>
      <c r="B452" s="280" t="s">
        <v>959</v>
      </c>
      <c r="C452" s="279" t="s">
        <v>1</v>
      </c>
      <c r="D452" s="281">
        <v>50.7</v>
      </c>
      <c r="E452" s="282">
        <v>1123099</v>
      </c>
      <c r="F452" s="282">
        <v>56941119.300000004</v>
      </c>
    </row>
    <row r="453" spans="1:6">
      <c r="A453" s="279">
        <v>11.6</v>
      </c>
      <c r="B453" s="280" t="s">
        <v>960</v>
      </c>
      <c r="C453" s="279" t="s">
        <v>1</v>
      </c>
      <c r="D453" s="281">
        <v>8.76</v>
      </c>
      <c r="E453" s="282">
        <v>570055</v>
      </c>
      <c r="F453" s="282">
        <v>4993681.8</v>
      </c>
    </row>
    <row r="454" spans="1:6">
      <c r="A454" s="279">
        <v>11.7</v>
      </c>
      <c r="B454" s="280" t="s">
        <v>66</v>
      </c>
      <c r="C454" s="279" t="s">
        <v>4</v>
      </c>
      <c r="D454" s="281">
        <v>5381.7</v>
      </c>
      <c r="E454" s="282">
        <v>808</v>
      </c>
      <c r="F454" s="282">
        <v>4348413.5999999996</v>
      </c>
    </row>
    <row r="455" spans="1:6">
      <c r="A455" s="279">
        <v>11.8</v>
      </c>
      <c r="B455" s="280" t="s">
        <v>961</v>
      </c>
      <c r="C455" s="279" t="s">
        <v>67</v>
      </c>
      <c r="D455" s="281">
        <v>145.5</v>
      </c>
      <c r="E455" s="282">
        <v>10826</v>
      </c>
      <c r="F455" s="282">
        <v>1575183</v>
      </c>
    </row>
    <row r="456" spans="1:6">
      <c r="A456" s="279">
        <v>12</v>
      </c>
      <c r="B456" s="280" t="s">
        <v>962</v>
      </c>
      <c r="C456" s="279"/>
      <c r="D456" s="281"/>
      <c r="E456" s="282"/>
      <c r="F456" s="282"/>
    </row>
    <row r="457" spans="1:6">
      <c r="A457" s="279">
        <v>12.1</v>
      </c>
      <c r="B457" s="280" t="s">
        <v>963</v>
      </c>
      <c r="C457" s="279"/>
      <c r="D457" s="281"/>
      <c r="E457" s="282"/>
      <c r="F457" s="282"/>
    </row>
    <row r="458" spans="1:6" ht="30">
      <c r="A458" s="279" t="s">
        <v>964</v>
      </c>
      <c r="B458" s="280" t="s">
        <v>965</v>
      </c>
      <c r="C458" s="279" t="s">
        <v>2</v>
      </c>
      <c r="D458" s="281">
        <v>116.91</v>
      </c>
      <c r="E458" s="282">
        <v>60328</v>
      </c>
      <c r="F458" s="282">
        <v>7052946.4799999995</v>
      </c>
    </row>
    <row r="459" spans="1:6">
      <c r="A459" s="279" t="s">
        <v>966</v>
      </c>
      <c r="B459" s="280" t="s">
        <v>967</v>
      </c>
      <c r="C459" s="279" t="s">
        <v>2</v>
      </c>
      <c r="D459" s="281">
        <v>12.79</v>
      </c>
      <c r="E459" s="282">
        <v>321638</v>
      </c>
      <c r="F459" s="282">
        <v>4113750.0199999996</v>
      </c>
    </row>
    <row r="460" spans="1:6" ht="30">
      <c r="A460" s="279" t="s">
        <v>968</v>
      </c>
      <c r="B460" s="280" t="s">
        <v>969</v>
      </c>
      <c r="C460" s="279" t="s">
        <v>2</v>
      </c>
      <c r="D460" s="281">
        <v>15.42</v>
      </c>
      <c r="E460" s="282">
        <v>120956</v>
      </c>
      <c r="F460" s="282">
        <v>1865141.52</v>
      </c>
    </row>
    <row r="461" spans="1:6" ht="30">
      <c r="A461" s="279" t="s">
        <v>970</v>
      </c>
      <c r="B461" s="280" t="s">
        <v>971</v>
      </c>
      <c r="C461" s="279" t="s">
        <v>2</v>
      </c>
      <c r="D461" s="281">
        <v>156.37</v>
      </c>
      <c r="E461" s="282">
        <v>141024</v>
      </c>
      <c r="F461" s="282">
        <v>22051922.879999999</v>
      </c>
    </row>
    <row r="462" spans="1:6" ht="30">
      <c r="A462" s="279" t="s">
        <v>972</v>
      </c>
      <c r="B462" s="280" t="s">
        <v>973</v>
      </c>
      <c r="C462" s="279" t="s">
        <v>2</v>
      </c>
      <c r="D462" s="281">
        <v>1</v>
      </c>
      <c r="E462" s="282">
        <v>88840</v>
      </c>
      <c r="F462" s="282">
        <v>88840</v>
      </c>
    </row>
    <row r="463" spans="1:6">
      <c r="A463" s="279">
        <v>13</v>
      </c>
      <c r="B463" s="280" t="s">
        <v>974</v>
      </c>
      <c r="C463" s="279"/>
      <c r="D463" s="281"/>
      <c r="E463" s="282"/>
      <c r="F463" s="282"/>
    </row>
    <row r="464" spans="1:6" ht="30">
      <c r="A464" s="279">
        <v>13.1</v>
      </c>
      <c r="B464" s="280" t="s">
        <v>975</v>
      </c>
      <c r="C464" s="279" t="s">
        <v>10</v>
      </c>
      <c r="D464" s="281">
        <v>4</v>
      </c>
      <c r="E464" s="282">
        <v>562679</v>
      </c>
      <c r="F464" s="282">
        <v>2250716</v>
      </c>
    </row>
    <row r="465" spans="1:6">
      <c r="A465" s="279">
        <v>13.2</v>
      </c>
      <c r="B465" s="280" t="s">
        <v>976</v>
      </c>
      <c r="C465" s="279" t="s">
        <v>10</v>
      </c>
      <c r="D465" s="281">
        <v>2</v>
      </c>
      <c r="E465" s="282">
        <v>140025</v>
      </c>
      <c r="F465" s="282">
        <v>280050</v>
      </c>
    </row>
    <row r="466" spans="1:6" ht="30">
      <c r="A466" s="279">
        <v>13.3</v>
      </c>
      <c r="B466" s="280" t="s">
        <v>977</v>
      </c>
      <c r="C466" s="279" t="s">
        <v>10</v>
      </c>
      <c r="D466" s="281">
        <v>3</v>
      </c>
      <c r="E466" s="282">
        <v>281818</v>
      </c>
      <c r="F466" s="282">
        <v>845454</v>
      </c>
    </row>
    <row r="467" spans="1:6" ht="30">
      <c r="A467" s="279">
        <v>13.4</v>
      </c>
      <c r="B467" s="280" t="s">
        <v>978</v>
      </c>
      <c r="C467" s="279" t="s">
        <v>10</v>
      </c>
      <c r="D467" s="281">
        <v>1</v>
      </c>
      <c r="E467" s="282">
        <v>1953492</v>
      </c>
      <c r="F467" s="282">
        <v>1953492</v>
      </c>
    </row>
    <row r="468" spans="1:6" ht="30">
      <c r="A468" s="279">
        <v>13.5</v>
      </c>
      <c r="B468" s="280" t="s">
        <v>979</v>
      </c>
      <c r="C468" s="279" t="s">
        <v>10</v>
      </c>
      <c r="D468" s="281">
        <v>1</v>
      </c>
      <c r="E468" s="282">
        <v>691184</v>
      </c>
      <c r="F468" s="282">
        <v>691184</v>
      </c>
    </row>
    <row r="469" spans="1:6" ht="30">
      <c r="A469" s="279">
        <v>13.6</v>
      </c>
      <c r="B469" s="280" t="s">
        <v>980</v>
      </c>
      <c r="C469" s="279" t="s">
        <v>10</v>
      </c>
      <c r="D469" s="281">
        <v>1</v>
      </c>
      <c r="E469" s="282">
        <v>833428</v>
      </c>
      <c r="F469" s="282">
        <v>833428</v>
      </c>
    </row>
    <row r="470" spans="1:6">
      <c r="A470" s="279">
        <v>14</v>
      </c>
      <c r="B470" s="280" t="s">
        <v>981</v>
      </c>
      <c r="C470" s="279"/>
      <c r="D470" s="281"/>
      <c r="E470" s="282"/>
      <c r="F470" s="282"/>
    </row>
    <row r="471" spans="1:6" ht="30">
      <c r="A471" s="279">
        <v>14.1</v>
      </c>
      <c r="B471" s="280" t="s">
        <v>982</v>
      </c>
      <c r="C471" s="279" t="s">
        <v>10</v>
      </c>
      <c r="D471" s="281">
        <v>22</v>
      </c>
      <c r="E471" s="282">
        <v>208087</v>
      </c>
      <c r="F471" s="282">
        <v>4577914</v>
      </c>
    </row>
    <row r="472" spans="1:6">
      <c r="A472" s="279">
        <v>14.2</v>
      </c>
      <c r="B472" s="280" t="s">
        <v>983</v>
      </c>
      <c r="C472" s="279" t="s">
        <v>10</v>
      </c>
      <c r="D472" s="281">
        <v>9</v>
      </c>
      <c r="E472" s="282">
        <v>139122</v>
      </c>
      <c r="F472" s="282">
        <v>1252098</v>
      </c>
    </row>
    <row r="473" spans="1:6">
      <c r="A473" s="279">
        <v>14.3</v>
      </c>
      <c r="B473" s="280" t="s">
        <v>984</v>
      </c>
      <c r="C473" s="279" t="s">
        <v>10</v>
      </c>
      <c r="D473" s="281">
        <v>8</v>
      </c>
      <c r="E473" s="282">
        <v>154345</v>
      </c>
      <c r="F473" s="282">
        <v>1234760</v>
      </c>
    </row>
    <row r="474" spans="1:6">
      <c r="A474" s="279">
        <v>14.4</v>
      </c>
      <c r="B474" s="280" t="s">
        <v>985</v>
      </c>
      <c r="C474" s="279" t="s">
        <v>10</v>
      </c>
      <c r="D474" s="281">
        <v>6</v>
      </c>
      <c r="E474" s="282">
        <v>164878</v>
      </c>
      <c r="F474" s="282">
        <v>989268</v>
      </c>
    </row>
    <row r="475" spans="1:6">
      <c r="A475" s="279">
        <v>14.5</v>
      </c>
      <c r="B475" s="280" t="s">
        <v>986</v>
      </c>
      <c r="C475" s="279" t="s">
        <v>10</v>
      </c>
      <c r="D475" s="281">
        <v>10</v>
      </c>
      <c r="E475" s="282">
        <v>72096</v>
      </c>
      <c r="F475" s="282">
        <v>720960</v>
      </c>
    </row>
    <row r="476" spans="1:6">
      <c r="A476" s="279">
        <v>14.6</v>
      </c>
      <c r="B476" s="280" t="s">
        <v>987</v>
      </c>
      <c r="C476" s="279" t="s">
        <v>10</v>
      </c>
      <c r="D476" s="281">
        <v>3</v>
      </c>
      <c r="E476" s="282">
        <v>61914</v>
      </c>
      <c r="F476" s="282">
        <v>185742</v>
      </c>
    </row>
    <row r="477" spans="1:6">
      <c r="A477" s="279">
        <v>14.7</v>
      </c>
      <c r="B477" s="280" t="s">
        <v>988</v>
      </c>
      <c r="C477" s="279" t="s">
        <v>10</v>
      </c>
      <c r="D477" s="281">
        <v>13</v>
      </c>
      <c r="E477" s="282">
        <v>75123</v>
      </c>
      <c r="F477" s="282">
        <v>976599</v>
      </c>
    </row>
    <row r="478" spans="1:6">
      <c r="A478" s="279">
        <v>14.8</v>
      </c>
      <c r="B478" s="280" t="s">
        <v>989</v>
      </c>
      <c r="C478" s="279" t="s">
        <v>10</v>
      </c>
      <c r="D478" s="281">
        <v>3</v>
      </c>
      <c r="E478" s="282">
        <v>92283</v>
      </c>
      <c r="F478" s="282">
        <v>276849</v>
      </c>
    </row>
    <row r="479" spans="1:6">
      <c r="A479" s="279">
        <v>14.9</v>
      </c>
      <c r="B479" s="280" t="s">
        <v>990</v>
      </c>
      <c r="C479" s="279" t="s">
        <v>10</v>
      </c>
      <c r="D479" s="281">
        <v>1</v>
      </c>
      <c r="E479" s="282">
        <v>183792</v>
      </c>
      <c r="F479" s="282">
        <v>183792</v>
      </c>
    </row>
    <row r="480" spans="1:6">
      <c r="A480" s="279">
        <v>14.1</v>
      </c>
      <c r="B480" s="280" t="s">
        <v>991</v>
      </c>
      <c r="C480" s="279" t="s">
        <v>10</v>
      </c>
      <c r="D480" s="281">
        <v>2</v>
      </c>
      <c r="E480" s="282">
        <v>52183</v>
      </c>
      <c r="F480" s="282">
        <v>104366</v>
      </c>
    </row>
    <row r="481" spans="1:6">
      <c r="A481" s="279">
        <v>14.11</v>
      </c>
      <c r="B481" s="280" t="s">
        <v>992</v>
      </c>
      <c r="C481" s="279" t="s">
        <v>10</v>
      </c>
      <c r="D481" s="281">
        <v>11</v>
      </c>
      <c r="E481" s="282">
        <v>16336</v>
      </c>
      <c r="F481" s="282">
        <v>179696</v>
      </c>
    </row>
    <row r="482" spans="1:6">
      <c r="A482" s="279">
        <v>14.12</v>
      </c>
      <c r="B482" s="280" t="s">
        <v>993</v>
      </c>
      <c r="C482" s="279" t="s">
        <v>10</v>
      </c>
      <c r="D482" s="281">
        <v>1</v>
      </c>
      <c r="E482" s="282">
        <v>102867</v>
      </c>
      <c r="F482" s="282">
        <v>102867</v>
      </c>
    </row>
    <row r="483" spans="1:6">
      <c r="A483" s="279">
        <v>14.13</v>
      </c>
      <c r="B483" s="280" t="s">
        <v>994</v>
      </c>
      <c r="C483" s="279" t="s">
        <v>10</v>
      </c>
      <c r="D483" s="281">
        <v>1</v>
      </c>
      <c r="E483" s="282">
        <v>108814</v>
      </c>
      <c r="F483" s="282">
        <v>108814</v>
      </c>
    </row>
    <row r="484" spans="1:6">
      <c r="A484" s="279">
        <v>14.14</v>
      </c>
      <c r="B484" s="280" t="s">
        <v>995</v>
      </c>
      <c r="C484" s="279" t="s">
        <v>10</v>
      </c>
      <c r="D484" s="281">
        <v>1</v>
      </c>
      <c r="E484" s="282">
        <v>115298</v>
      </c>
      <c r="F484" s="282">
        <v>115298</v>
      </c>
    </row>
    <row r="485" spans="1:6">
      <c r="A485" s="279">
        <v>14.15</v>
      </c>
      <c r="B485" s="280" t="s">
        <v>996</v>
      </c>
      <c r="C485" s="279" t="s">
        <v>10</v>
      </c>
      <c r="D485" s="281">
        <v>1</v>
      </c>
      <c r="E485" s="282">
        <v>108814</v>
      </c>
      <c r="F485" s="282">
        <v>108814</v>
      </c>
    </row>
    <row r="486" spans="1:6">
      <c r="A486" s="279">
        <v>14.16</v>
      </c>
      <c r="B486" s="280" t="s">
        <v>997</v>
      </c>
      <c r="C486" s="279" t="s">
        <v>10</v>
      </c>
      <c r="D486" s="281">
        <v>4</v>
      </c>
      <c r="E486" s="282">
        <v>547223</v>
      </c>
      <c r="F486" s="282">
        <v>2188892</v>
      </c>
    </row>
    <row r="487" spans="1:6" ht="30">
      <c r="A487" s="279">
        <v>14.17</v>
      </c>
      <c r="B487" s="280" t="s">
        <v>998</v>
      </c>
      <c r="C487" s="279" t="s">
        <v>10</v>
      </c>
      <c r="D487" s="281">
        <v>5</v>
      </c>
      <c r="E487" s="282">
        <v>3439119</v>
      </c>
      <c r="F487" s="282">
        <v>17195595</v>
      </c>
    </row>
    <row r="488" spans="1:6">
      <c r="A488" s="279">
        <v>14.18</v>
      </c>
      <c r="B488" s="280" t="s">
        <v>999</v>
      </c>
      <c r="C488" s="279" t="s">
        <v>67</v>
      </c>
      <c r="D488" s="281">
        <v>5</v>
      </c>
      <c r="E488" s="282">
        <v>48079</v>
      </c>
      <c r="F488" s="282">
        <v>240395</v>
      </c>
    </row>
    <row r="489" spans="1:6">
      <c r="A489" s="279">
        <v>14.19</v>
      </c>
      <c r="B489" s="280" t="s">
        <v>1000</v>
      </c>
      <c r="C489" s="279" t="s">
        <v>67</v>
      </c>
      <c r="D489" s="281">
        <v>10</v>
      </c>
      <c r="E489" s="282">
        <v>31063</v>
      </c>
      <c r="F489" s="282">
        <v>310630</v>
      </c>
    </row>
    <row r="490" spans="1:6">
      <c r="A490" s="279">
        <v>14.2</v>
      </c>
      <c r="B490" s="280" t="s">
        <v>1001</v>
      </c>
      <c r="C490" s="279" t="s">
        <v>67</v>
      </c>
      <c r="D490" s="281">
        <v>5</v>
      </c>
      <c r="E490" s="282">
        <v>25447</v>
      </c>
      <c r="F490" s="282">
        <v>127235</v>
      </c>
    </row>
    <row r="491" spans="1:6">
      <c r="A491" s="279">
        <v>14.21</v>
      </c>
      <c r="B491" s="280" t="s">
        <v>1002</v>
      </c>
      <c r="C491" s="279" t="s">
        <v>67</v>
      </c>
      <c r="D491" s="281">
        <v>70</v>
      </c>
      <c r="E491" s="282">
        <v>28811</v>
      </c>
      <c r="F491" s="282">
        <v>2016770</v>
      </c>
    </row>
    <row r="492" spans="1:6">
      <c r="A492" s="279">
        <v>14.22</v>
      </c>
      <c r="B492" s="280" t="s">
        <v>1003</v>
      </c>
      <c r="C492" s="279" t="s">
        <v>67</v>
      </c>
      <c r="D492" s="281">
        <v>60</v>
      </c>
      <c r="E492" s="282">
        <v>77690</v>
      </c>
      <c r="F492" s="282">
        <v>4661400</v>
      </c>
    </row>
    <row r="493" spans="1:6">
      <c r="A493" s="279">
        <v>14.23</v>
      </c>
      <c r="B493" s="280" t="s">
        <v>1004</v>
      </c>
      <c r="C493" s="279" t="s">
        <v>67</v>
      </c>
      <c r="D493" s="281">
        <v>7</v>
      </c>
      <c r="E493" s="282">
        <v>624612</v>
      </c>
      <c r="F493" s="282">
        <v>4372284</v>
      </c>
    </row>
    <row r="494" spans="1:6">
      <c r="A494" s="279">
        <v>14.24</v>
      </c>
      <c r="B494" s="280" t="s">
        <v>1005</v>
      </c>
      <c r="C494" s="279" t="s">
        <v>67</v>
      </c>
      <c r="D494" s="281">
        <v>90</v>
      </c>
      <c r="E494" s="282">
        <v>116316</v>
      </c>
      <c r="F494" s="282">
        <v>10468440</v>
      </c>
    </row>
    <row r="495" spans="1:6" ht="30">
      <c r="A495" s="279">
        <v>14.25</v>
      </c>
      <c r="B495" s="280" t="s">
        <v>1006</v>
      </c>
      <c r="C495" s="279" t="s">
        <v>67</v>
      </c>
      <c r="D495" s="281">
        <v>90</v>
      </c>
      <c r="E495" s="282">
        <v>30556</v>
      </c>
      <c r="F495" s="282">
        <v>2750040</v>
      </c>
    </row>
    <row r="496" spans="1:6" ht="30">
      <c r="A496" s="279">
        <v>14.26</v>
      </c>
      <c r="B496" s="280" t="s">
        <v>1007</v>
      </c>
      <c r="C496" s="279" t="s">
        <v>67</v>
      </c>
      <c r="D496" s="281">
        <v>50</v>
      </c>
      <c r="E496" s="282">
        <v>823207</v>
      </c>
      <c r="F496" s="282">
        <v>41160350</v>
      </c>
    </row>
    <row r="497" spans="1:6">
      <c r="A497" s="279">
        <v>14.27</v>
      </c>
      <c r="B497" s="280" t="s">
        <v>1008</v>
      </c>
      <c r="C497" s="279" t="s">
        <v>10</v>
      </c>
      <c r="D497" s="281">
        <v>4</v>
      </c>
      <c r="E497" s="282">
        <v>17778429</v>
      </c>
      <c r="F497" s="282">
        <v>71113716</v>
      </c>
    </row>
    <row r="498" spans="1:6">
      <c r="A498" s="279">
        <v>14.28</v>
      </c>
      <c r="B498" s="280" t="s">
        <v>1009</v>
      </c>
      <c r="C498" s="279" t="s">
        <v>10</v>
      </c>
      <c r="D498" s="281">
        <v>1</v>
      </c>
      <c r="E498" s="282">
        <v>77804724</v>
      </c>
      <c r="F498" s="282">
        <v>77804724</v>
      </c>
    </row>
    <row r="499" spans="1:6">
      <c r="A499" s="279">
        <v>14.29</v>
      </c>
      <c r="B499" s="280" t="s">
        <v>1010</v>
      </c>
      <c r="C499" s="279" t="s">
        <v>10</v>
      </c>
      <c r="D499" s="281">
        <v>1</v>
      </c>
      <c r="E499" s="282">
        <v>26299893</v>
      </c>
      <c r="F499" s="282">
        <v>26299893</v>
      </c>
    </row>
    <row r="500" spans="1:6" ht="75">
      <c r="A500" s="279">
        <v>14.3</v>
      </c>
      <c r="B500" s="280" t="s">
        <v>1011</v>
      </c>
      <c r="C500" s="279" t="s">
        <v>10</v>
      </c>
      <c r="D500" s="281">
        <v>1</v>
      </c>
      <c r="E500" s="282">
        <v>1604320</v>
      </c>
      <c r="F500" s="282">
        <v>1604320</v>
      </c>
    </row>
    <row r="501" spans="1:6" ht="30">
      <c r="A501" s="279">
        <v>14.31</v>
      </c>
      <c r="B501" s="280" t="s">
        <v>1012</v>
      </c>
      <c r="C501" s="279" t="s">
        <v>10</v>
      </c>
      <c r="D501" s="281">
        <v>1</v>
      </c>
      <c r="E501" s="282">
        <v>49857854</v>
      </c>
      <c r="F501" s="282">
        <v>49857854</v>
      </c>
    </row>
    <row r="502" spans="1:6" ht="30">
      <c r="A502" s="279">
        <v>14.32</v>
      </c>
      <c r="B502" s="280" t="s">
        <v>1013</v>
      </c>
      <c r="C502" s="279" t="s">
        <v>10</v>
      </c>
      <c r="D502" s="281">
        <v>1</v>
      </c>
      <c r="E502" s="282">
        <v>2241633</v>
      </c>
      <c r="F502" s="282">
        <v>2241633</v>
      </c>
    </row>
    <row r="503" spans="1:6" ht="45">
      <c r="A503" s="279">
        <v>14.33</v>
      </c>
      <c r="B503" s="280" t="s">
        <v>1014</v>
      </c>
      <c r="C503" s="279" t="s">
        <v>10</v>
      </c>
      <c r="D503" s="281">
        <v>1</v>
      </c>
      <c r="E503" s="282">
        <v>1585105</v>
      </c>
      <c r="F503" s="282">
        <v>1585105</v>
      </c>
    </row>
    <row r="504" spans="1:6" ht="30">
      <c r="A504" s="279">
        <v>14.34</v>
      </c>
      <c r="B504" s="280" t="s">
        <v>1015</v>
      </c>
      <c r="C504" s="279" t="s">
        <v>67</v>
      </c>
      <c r="D504" s="281">
        <v>515</v>
      </c>
      <c r="E504" s="282">
        <v>8742</v>
      </c>
      <c r="F504" s="282">
        <v>4502130</v>
      </c>
    </row>
    <row r="505" spans="1:6" ht="30">
      <c r="A505" s="279">
        <v>14.35</v>
      </c>
      <c r="B505" s="280" t="s">
        <v>1016</v>
      </c>
      <c r="C505" s="279" t="s">
        <v>67</v>
      </c>
      <c r="D505" s="281">
        <v>100</v>
      </c>
      <c r="E505" s="282">
        <v>73773</v>
      </c>
      <c r="F505" s="282">
        <v>7377300</v>
      </c>
    </row>
    <row r="506" spans="1:6" ht="30">
      <c r="A506" s="279">
        <v>14.36</v>
      </c>
      <c r="B506" s="280" t="s">
        <v>1017</v>
      </c>
      <c r="C506" s="279" t="s">
        <v>10</v>
      </c>
      <c r="D506" s="281">
        <v>10</v>
      </c>
      <c r="E506" s="282">
        <v>618416</v>
      </c>
      <c r="F506" s="282">
        <v>6184160</v>
      </c>
    </row>
    <row r="507" spans="1:6" ht="45">
      <c r="A507" s="279">
        <v>14.37</v>
      </c>
      <c r="B507" s="280" t="s">
        <v>1018</v>
      </c>
      <c r="C507" s="279" t="s">
        <v>10</v>
      </c>
      <c r="D507" s="281">
        <v>19</v>
      </c>
      <c r="E507" s="282">
        <v>1527052</v>
      </c>
      <c r="F507" s="282">
        <v>29013988</v>
      </c>
    </row>
    <row r="508" spans="1:6">
      <c r="A508" s="279">
        <v>14.38</v>
      </c>
      <c r="B508" s="280" t="s">
        <v>1019</v>
      </c>
      <c r="C508" s="279" t="s">
        <v>67</v>
      </c>
      <c r="D508" s="281">
        <v>300</v>
      </c>
      <c r="E508" s="282">
        <v>5925</v>
      </c>
      <c r="F508" s="282">
        <v>1777500</v>
      </c>
    </row>
    <row r="509" spans="1:6">
      <c r="A509" s="279">
        <v>14.39</v>
      </c>
      <c r="B509" s="280" t="s">
        <v>1020</v>
      </c>
      <c r="C509" s="279" t="s">
        <v>10</v>
      </c>
      <c r="D509" s="281">
        <v>1</v>
      </c>
      <c r="E509" s="282">
        <v>179244761</v>
      </c>
      <c r="F509" s="282">
        <v>179244761</v>
      </c>
    </row>
    <row r="510" spans="1:6" ht="30">
      <c r="A510" s="279">
        <v>14.4</v>
      </c>
      <c r="B510" s="280" t="s">
        <v>1021</v>
      </c>
      <c r="C510" s="279" t="s">
        <v>10</v>
      </c>
      <c r="D510" s="281">
        <v>1</v>
      </c>
      <c r="E510" s="282">
        <v>21624910</v>
      </c>
      <c r="F510" s="282">
        <v>21624910</v>
      </c>
    </row>
    <row r="511" spans="1:6">
      <c r="A511" s="279">
        <v>14.41</v>
      </c>
      <c r="B511" s="280" t="s">
        <v>1022</v>
      </c>
      <c r="C511" s="279" t="s">
        <v>10</v>
      </c>
      <c r="D511" s="281">
        <v>5</v>
      </c>
      <c r="E511" s="282">
        <v>123831</v>
      </c>
      <c r="F511" s="282">
        <v>619155</v>
      </c>
    </row>
    <row r="512" spans="1:6" ht="30">
      <c r="A512" s="279">
        <v>14.42</v>
      </c>
      <c r="B512" s="280" t="s">
        <v>1023</v>
      </c>
      <c r="C512" s="279" t="s">
        <v>10</v>
      </c>
      <c r="D512" s="281">
        <v>10</v>
      </c>
      <c r="E512" s="282">
        <v>506276</v>
      </c>
      <c r="F512" s="282">
        <v>5062760</v>
      </c>
    </row>
    <row r="513" spans="1:9">
      <c r="A513" s="279">
        <v>14.43</v>
      </c>
      <c r="B513" s="280" t="s">
        <v>1024</v>
      </c>
      <c r="C513" s="279" t="s">
        <v>10</v>
      </c>
      <c r="D513" s="281">
        <v>2</v>
      </c>
      <c r="E513" s="282">
        <v>290522</v>
      </c>
      <c r="F513" s="282">
        <v>581044</v>
      </c>
      <c r="H513" s="544" t="s">
        <v>465</v>
      </c>
    </row>
    <row r="514" spans="1:9">
      <c r="A514" s="279">
        <v>14.44</v>
      </c>
      <c r="B514" s="280" t="s">
        <v>1025</v>
      </c>
      <c r="C514" s="279" t="s">
        <v>10</v>
      </c>
      <c r="D514" s="281">
        <v>1</v>
      </c>
      <c r="E514" s="282">
        <v>4046985</v>
      </c>
      <c r="F514" s="282">
        <v>4046985</v>
      </c>
      <c r="H514" s="545"/>
    </row>
    <row r="515" spans="1:9">
      <c r="A515" s="279">
        <v>14.45</v>
      </c>
      <c r="B515" s="280" t="s">
        <v>1026</v>
      </c>
      <c r="C515" s="279" t="s">
        <v>10</v>
      </c>
      <c r="D515" s="281">
        <v>1</v>
      </c>
      <c r="E515" s="282">
        <v>152930</v>
      </c>
      <c r="F515" s="282">
        <v>152930</v>
      </c>
      <c r="H515" s="304">
        <f>+F6+F51+F96+F148+F209+F262+F312+F370+F423+F443+F525</f>
        <v>4454555599.2399988</v>
      </c>
    </row>
    <row r="516" spans="1:9">
      <c r="A516" s="279">
        <v>14.46</v>
      </c>
      <c r="B516" s="280" t="s">
        <v>1027</v>
      </c>
      <c r="C516" s="279" t="s">
        <v>10</v>
      </c>
      <c r="D516" s="281">
        <v>4</v>
      </c>
      <c r="E516" s="282">
        <v>3085635</v>
      </c>
      <c r="F516" s="282">
        <v>12342540</v>
      </c>
      <c r="H516" s="301">
        <v>296561074</v>
      </c>
      <c r="I516" s="274" t="s">
        <v>1028</v>
      </c>
    </row>
    <row r="517" spans="1:9">
      <c r="A517" s="279">
        <v>15</v>
      </c>
      <c r="B517" s="280" t="s">
        <v>1029</v>
      </c>
      <c r="C517" s="279"/>
      <c r="D517" s="281"/>
      <c r="E517" s="282"/>
      <c r="F517" s="282"/>
      <c r="H517" s="304">
        <f>+H515*16%</f>
        <v>712728895.87839985</v>
      </c>
      <c r="I517" s="274" t="s">
        <v>1030</v>
      </c>
    </row>
    <row r="518" spans="1:9" ht="30">
      <c r="A518" s="279">
        <v>15.1</v>
      </c>
      <c r="B518" s="280" t="s">
        <v>1031</v>
      </c>
      <c r="C518" s="279" t="s">
        <v>1</v>
      </c>
      <c r="D518" s="281">
        <v>268.54000000000002</v>
      </c>
      <c r="E518" s="282">
        <v>754424</v>
      </c>
      <c r="F518" s="282">
        <v>202593020.96000001</v>
      </c>
      <c r="H518" s="305">
        <f>+H515+H517+H516</f>
        <v>5463845569.1183987</v>
      </c>
    </row>
    <row r="519" spans="1:9">
      <c r="A519" s="279">
        <v>15.2</v>
      </c>
      <c r="B519" s="280" t="s">
        <v>1032</v>
      </c>
      <c r="C519" s="279" t="s">
        <v>4</v>
      </c>
      <c r="D519" s="281">
        <v>2090.1999999999998</v>
      </c>
      <c r="E519" s="282">
        <v>1144</v>
      </c>
      <c r="F519" s="282">
        <v>2391188.7999999998</v>
      </c>
      <c r="H519" s="300">
        <v>8019157032</v>
      </c>
    </row>
    <row r="520" spans="1:9">
      <c r="A520" s="279">
        <v>15.3</v>
      </c>
      <c r="B520" s="280" t="s">
        <v>68</v>
      </c>
      <c r="C520" s="279" t="s">
        <v>1</v>
      </c>
      <c r="D520" s="281">
        <v>134.30000000000001</v>
      </c>
      <c r="E520" s="282">
        <v>67222</v>
      </c>
      <c r="F520" s="282">
        <v>9027914.6000000015</v>
      </c>
      <c r="H520" s="306">
        <f>+H519-H518</f>
        <v>2555311462.8816013</v>
      </c>
      <c r="I520" s="274" t="s">
        <v>1028</v>
      </c>
    </row>
    <row r="521" spans="1:9">
      <c r="A521" s="279">
        <v>16</v>
      </c>
      <c r="B521" s="280" t="s">
        <v>1033</v>
      </c>
      <c r="C521" s="279"/>
      <c r="D521" s="281"/>
      <c r="E521" s="282"/>
      <c r="F521" s="282"/>
    </row>
    <row r="522" spans="1:9">
      <c r="A522" s="279">
        <v>16.100000000000001</v>
      </c>
      <c r="B522" s="280" t="s">
        <v>1034</v>
      </c>
      <c r="C522" s="279" t="s">
        <v>67</v>
      </c>
      <c r="D522" s="281">
        <v>51.14</v>
      </c>
      <c r="E522" s="282">
        <v>109745</v>
      </c>
      <c r="F522" s="282">
        <v>5612359.2999999998</v>
      </c>
    </row>
    <row r="523" spans="1:9">
      <c r="A523" s="279">
        <v>16.2</v>
      </c>
      <c r="B523" s="280" t="s">
        <v>1035</v>
      </c>
      <c r="C523" s="279" t="s">
        <v>67</v>
      </c>
      <c r="D523" s="281">
        <v>468.97</v>
      </c>
      <c r="E523" s="282">
        <v>124817</v>
      </c>
      <c r="F523" s="282">
        <v>58535428.490000002</v>
      </c>
    </row>
    <row r="524" spans="1:9">
      <c r="A524" s="279">
        <v>16.3</v>
      </c>
      <c r="B524" s="280" t="s">
        <v>1036</v>
      </c>
      <c r="C524" s="279" t="s">
        <v>10</v>
      </c>
      <c r="D524" s="281">
        <v>1</v>
      </c>
      <c r="E524" s="282">
        <v>1272615</v>
      </c>
      <c r="F524" s="282">
        <v>1272615</v>
      </c>
    </row>
    <row r="525" spans="1:9">
      <c r="A525" s="307"/>
      <c r="B525" s="307" t="s">
        <v>1037</v>
      </c>
      <c r="C525" s="307"/>
      <c r="D525" s="307"/>
      <c r="E525" s="307"/>
      <c r="F525" s="308">
        <f>SUM(F448:F524,0)</f>
        <v>991855669.59000003</v>
      </c>
    </row>
    <row r="526" spans="1:9">
      <c r="A526" s="309"/>
      <c r="B526" s="310" t="s">
        <v>954</v>
      </c>
      <c r="C526" s="309"/>
      <c r="D526" s="309"/>
      <c r="E526" s="309"/>
      <c r="F526" s="298">
        <f>+F525*24%</f>
        <v>238045360.70159999</v>
      </c>
      <c r="G526" s="274">
        <f>+F525*5%</f>
        <v>49592783.479500003</v>
      </c>
    </row>
    <row r="527" spans="1:9">
      <c r="A527" s="309"/>
      <c r="B527" s="310" t="s">
        <v>955</v>
      </c>
      <c r="C527" s="309"/>
      <c r="D527" s="309"/>
      <c r="E527" s="309"/>
      <c r="F527" s="298">
        <f>50578633*16%</f>
        <v>8092581.2800000003</v>
      </c>
      <c r="G527" s="298">
        <f>50578633/991855669</f>
        <v>5.0993944563520965E-2</v>
      </c>
    </row>
    <row r="528" spans="1:9">
      <c r="A528" s="541" t="s">
        <v>243</v>
      </c>
      <c r="B528" s="542"/>
      <c r="C528" s="542"/>
      <c r="D528" s="542"/>
      <c r="E528" s="543"/>
      <c r="F528" s="311">
        <f>+F525+F526+F527</f>
        <v>1237993611.5716</v>
      </c>
    </row>
    <row r="529" spans="1:7">
      <c r="A529" s="546" t="s">
        <v>1038</v>
      </c>
      <c r="B529" s="546"/>
      <c r="C529" s="546"/>
      <c r="D529" s="546"/>
      <c r="E529" s="546"/>
      <c r="F529" s="312">
        <f>+F446+F528</f>
        <v>1254683600.5716</v>
      </c>
    </row>
    <row r="530" spans="1:7">
      <c r="B530" s="313" t="s">
        <v>1039</v>
      </c>
      <c r="E530" s="315"/>
      <c r="F530" s="315">
        <f>+F6+F51+F96+F148+F209+F262+F312+F370+F423</f>
        <v>3449478545.7599993</v>
      </c>
    </row>
    <row r="531" spans="1:7">
      <c r="B531" s="313" t="s">
        <v>1040</v>
      </c>
      <c r="E531" s="316"/>
      <c r="F531" s="315">
        <f>+F530*0.19</f>
        <v>655400923.69439983</v>
      </c>
      <c r="G531" s="300">
        <f>+F530*19%</f>
        <v>655400923.69439983</v>
      </c>
    </row>
    <row r="532" spans="1:7">
      <c r="B532" s="313" t="s">
        <v>1041</v>
      </c>
      <c r="E532" s="315"/>
      <c r="F532" s="315">
        <v>0</v>
      </c>
    </row>
    <row r="533" spans="1:7">
      <c r="B533" s="313" t="s">
        <v>1042</v>
      </c>
      <c r="E533" s="315"/>
      <c r="F533" s="315">
        <f>+F530*0.05</f>
        <v>172473927.28799999</v>
      </c>
      <c r="G533" s="300">
        <f>+F530*5%</f>
        <v>172473927.28799999</v>
      </c>
    </row>
    <row r="534" spans="1:7">
      <c r="B534" s="313" t="s">
        <v>1043</v>
      </c>
      <c r="E534" s="315">
        <v>35636444.79392001</v>
      </c>
      <c r="F534" s="315">
        <f>+F533*0.16</f>
        <v>27595828.366079997</v>
      </c>
    </row>
    <row r="535" spans="1:7">
      <c r="B535" s="313" t="s">
        <v>1044</v>
      </c>
      <c r="E535" s="315">
        <v>5559285387.8515205</v>
      </c>
      <c r="F535" s="315">
        <f>+F530+F531+F533</f>
        <v>4277353396.7423992</v>
      </c>
    </row>
    <row r="537" spans="1:7">
      <c r="A537" s="547" t="s">
        <v>1045</v>
      </c>
      <c r="B537" s="548"/>
      <c r="C537" s="548"/>
      <c r="D537" s="548"/>
      <c r="E537" s="548"/>
      <c r="F537" s="549"/>
    </row>
    <row r="538" spans="1:7">
      <c r="A538" s="550"/>
      <c r="B538" s="551"/>
      <c r="C538" s="551"/>
      <c r="D538" s="551"/>
      <c r="E538" s="551"/>
      <c r="F538" s="552"/>
    </row>
    <row r="539" spans="1:7">
      <c r="A539" s="275" t="s">
        <v>327</v>
      </c>
      <c r="B539" s="276" t="s">
        <v>584</v>
      </c>
      <c r="C539" s="275" t="s">
        <v>585</v>
      </c>
      <c r="D539" s="277" t="s">
        <v>586</v>
      </c>
      <c r="E539" s="277" t="s">
        <v>3</v>
      </c>
      <c r="F539" s="277" t="s">
        <v>465</v>
      </c>
    </row>
    <row r="540" spans="1:7">
      <c r="A540" s="278">
        <v>1</v>
      </c>
      <c r="B540" s="532" t="s">
        <v>1046</v>
      </c>
      <c r="C540" s="533"/>
      <c r="D540" s="533"/>
      <c r="E540" s="533"/>
      <c r="F540" s="534"/>
    </row>
    <row r="541" spans="1:7">
      <c r="A541" s="279">
        <v>1.1000000000000001</v>
      </c>
      <c r="B541" s="280" t="s">
        <v>29</v>
      </c>
      <c r="C541" s="317"/>
      <c r="D541" s="318"/>
      <c r="E541" s="318"/>
      <c r="F541" s="318"/>
    </row>
    <row r="542" spans="1:7">
      <c r="A542" s="279" t="s">
        <v>143</v>
      </c>
      <c r="B542" s="280" t="s">
        <v>144</v>
      </c>
      <c r="C542" s="279" t="s">
        <v>67</v>
      </c>
      <c r="D542" s="281">
        <v>366.36</v>
      </c>
      <c r="E542" s="282">
        <v>20974</v>
      </c>
      <c r="F542" s="282">
        <v>7684034.6400000006</v>
      </c>
    </row>
    <row r="543" spans="1:7">
      <c r="A543" s="279" t="s">
        <v>145</v>
      </c>
      <c r="B543" s="280" t="s">
        <v>146</v>
      </c>
      <c r="C543" s="279" t="s">
        <v>67</v>
      </c>
      <c r="D543" s="281">
        <v>1853.56</v>
      </c>
      <c r="E543" s="282">
        <v>72086.600000000006</v>
      </c>
      <c r="F543" s="282">
        <v>133616838.296</v>
      </c>
    </row>
    <row r="544" spans="1:7">
      <c r="A544" s="279">
        <v>1.2</v>
      </c>
      <c r="B544" s="280" t="s">
        <v>12</v>
      </c>
      <c r="C544" s="279"/>
      <c r="D544" s="281"/>
      <c r="E544" s="282"/>
      <c r="F544" s="282"/>
    </row>
    <row r="545" spans="1:6">
      <c r="A545" s="279" t="s">
        <v>147</v>
      </c>
      <c r="B545" s="280" t="s">
        <v>70</v>
      </c>
      <c r="C545" s="279" t="s">
        <v>4</v>
      </c>
      <c r="D545" s="281">
        <v>41.94</v>
      </c>
      <c r="E545" s="282">
        <v>3435</v>
      </c>
      <c r="F545" s="282">
        <v>144063.9</v>
      </c>
    </row>
    <row r="546" spans="1:6">
      <c r="A546" s="279">
        <v>1.3</v>
      </c>
      <c r="B546" s="280" t="s">
        <v>31</v>
      </c>
      <c r="C546" s="279"/>
      <c r="D546" s="281"/>
      <c r="E546" s="282"/>
      <c r="F546" s="282"/>
    </row>
    <row r="547" spans="1:6">
      <c r="A547" s="279" t="s">
        <v>148</v>
      </c>
      <c r="B547" s="280" t="s">
        <v>32</v>
      </c>
      <c r="C547" s="279" t="s">
        <v>10</v>
      </c>
      <c r="D547" s="281">
        <v>1</v>
      </c>
      <c r="E547" s="282">
        <v>331255</v>
      </c>
      <c r="F547" s="282">
        <v>331255</v>
      </c>
    </row>
    <row r="548" spans="1:6">
      <c r="A548" s="279" t="s">
        <v>149</v>
      </c>
      <c r="B548" s="280" t="s">
        <v>150</v>
      </c>
      <c r="C548" s="279" t="s">
        <v>10</v>
      </c>
      <c r="D548" s="281">
        <v>1</v>
      </c>
      <c r="E548" s="282">
        <v>65822</v>
      </c>
      <c r="F548" s="282">
        <v>65822</v>
      </c>
    </row>
    <row r="549" spans="1:6">
      <c r="A549" s="279" t="s">
        <v>151</v>
      </c>
      <c r="B549" s="280" t="s">
        <v>33</v>
      </c>
      <c r="C549" s="279" t="s">
        <v>10</v>
      </c>
      <c r="D549" s="281">
        <v>2</v>
      </c>
      <c r="E549" s="282">
        <v>242111</v>
      </c>
      <c r="F549" s="282">
        <v>484222</v>
      </c>
    </row>
    <row r="550" spans="1:6">
      <c r="A550" s="279" t="s">
        <v>152</v>
      </c>
      <c r="B550" s="280" t="s">
        <v>35</v>
      </c>
      <c r="C550" s="279" t="s">
        <v>10</v>
      </c>
      <c r="D550" s="281">
        <v>1</v>
      </c>
      <c r="E550" s="282">
        <v>44790</v>
      </c>
      <c r="F550" s="282">
        <v>44790</v>
      </c>
    </row>
    <row r="551" spans="1:6">
      <c r="A551" s="279" t="s">
        <v>153</v>
      </c>
      <c r="B551" s="280" t="s">
        <v>36</v>
      </c>
      <c r="C551" s="279" t="s">
        <v>10</v>
      </c>
      <c r="D551" s="281">
        <v>2</v>
      </c>
      <c r="E551" s="282">
        <v>194150</v>
      </c>
      <c r="F551" s="282">
        <v>388300</v>
      </c>
    </row>
    <row r="552" spans="1:6">
      <c r="A552" s="279" t="s">
        <v>154</v>
      </c>
      <c r="B552" s="280" t="s">
        <v>38</v>
      </c>
      <c r="C552" s="279" t="s">
        <v>10</v>
      </c>
      <c r="D552" s="281">
        <v>5</v>
      </c>
      <c r="E552" s="282">
        <v>44202</v>
      </c>
      <c r="F552" s="282">
        <v>221010</v>
      </c>
    </row>
    <row r="553" spans="1:6">
      <c r="A553" s="279" t="s">
        <v>1047</v>
      </c>
      <c r="B553" s="280" t="s">
        <v>40</v>
      </c>
      <c r="C553" s="279" t="s">
        <v>10</v>
      </c>
      <c r="D553" s="281">
        <v>4</v>
      </c>
      <c r="E553" s="282">
        <v>174023</v>
      </c>
      <c r="F553" s="282">
        <v>696092</v>
      </c>
    </row>
    <row r="554" spans="1:6">
      <c r="A554" s="279" t="s">
        <v>155</v>
      </c>
      <c r="B554" s="280" t="s">
        <v>41</v>
      </c>
      <c r="C554" s="279" t="s">
        <v>10</v>
      </c>
      <c r="D554" s="281">
        <v>4</v>
      </c>
      <c r="E554" s="282">
        <v>40462</v>
      </c>
      <c r="F554" s="282">
        <v>161848</v>
      </c>
    </row>
    <row r="555" spans="1:6">
      <c r="A555" s="279" t="s">
        <v>1048</v>
      </c>
      <c r="B555" s="280" t="s">
        <v>156</v>
      </c>
      <c r="C555" s="279" t="s">
        <v>10</v>
      </c>
      <c r="D555" s="281">
        <v>4</v>
      </c>
      <c r="E555" s="282">
        <v>660772</v>
      </c>
      <c r="F555" s="282">
        <v>2643088</v>
      </c>
    </row>
    <row r="556" spans="1:6">
      <c r="A556" s="279" t="s">
        <v>1049</v>
      </c>
      <c r="B556" s="280" t="s">
        <v>157</v>
      </c>
      <c r="C556" s="279" t="s">
        <v>10</v>
      </c>
      <c r="D556" s="281">
        <v>3</v>
      </c>
      <c r="E556" s="282">
        <v>185483</v>
      </c>
      <c r="F556" s="282">
        <v>556449</v>
      </c>
    </row>
    <row r="557" spans="1:6">
      <c r="A557" s="279" t="s">
        <v>158</v>
      </c>
      <c r="B557" s="280" t="s">
        <v>43</v>
      </c>
      <c r="C557" s="279" t="s">
        <v>10</v>
      </c>
      <c r="D557" s="281">
        <v>1</v>
      </c>
      <c r="E557" s="282">
        <v>467248</v>
      </c>
      <c r="F557" s="282">
        <v>467248</v>
      </c>
    </row>
    <row r="558" spans="1:6">
      <c r="A558" s="279" t="s">
        <v>159</v>
      </c>
      <c r="B558" s="280" t="s">
        <v>44</v>
      </c>
      <c r="C558" s="279" t="s">
        <v>10</v>
      </c>
      <c r="D558" s="281">
        <v>2</v>
      </c>
      <c r="E558" s="282">
        <v>343696</v>
      </c>
      <c r="F558" s="282">
        <v>687392</v>
      </c>
    </row>
    <row r="559" spans="1:6">
      <c r="A559" s="279" t="s">
        <v>160</v>
      </c>
      <c r="B559" s="280" t="s">
        <v>45</v>
      </c>
      <c r="C559" s="279" t="s">
        <v>10</v>
      </c>
      <c r="D559" s="281">
        <v>1</v>
      </c>
      <c r="E559" s="282">
        <v>583345</v>
      </c>
      <c r="F559" s="282">
        <v>583345</v>
      </c>
    </row>
    <row r="560" spans="1:6">
      <c r="A560" s="279" t="s">
        <v>161</v>
      </c>
      <c r="B560" s="280" t="s">
        <v>1050</v>
      </c>
      <c r="C560" s="279" t="s">
        <v>10</v>
      </c>
      <c r="D560" s="281">
        <v>1</v>
      </c>
      <c r="E560" s="282">
        <v>1187213</v>
      </c>
      <c r="F560" s="282">
        <v>1187213</v>
      </c>
    </row>
    <row r="561" spans="1:6">
      <c r="A561" s="279" t="s">
        <v>1051</v>
      </c>
      <c r="B561" s="280" t="s">
        <v>1052</v>
      </c>
      <c r="C561" s="279" t="s">
        <v>10</v>
      </c>
      <c r="D561" s="281">
        <v>1</v>
      </c>
      <c r="E561" s="282">
        <v>1339471</v>
      </c>
      <c r="F561" s="282">
        <v>1339471</v>
      </c>
    </row>
    <row r="562" spans="1:6">
      <c r="A562" s="279" t="s">
        <v>1053</v>
      </c>
      <c r="B562" s="280" t="s">
        <v>47</v>
      </c>
      <c r="C562" s="279" t="s">
        <v>10</v>
      </c>
      <c r="D562" s="281">
        <v>1</v>
      </c>
      <c r="E562" s="282">
        <v>135593</v>
      </c>
      <c r="F562" s="282">
        <v>135593</v>
      </c>
    </row>
    <row r="563" spans="1:6">
      <c r="A563" s="279">
        <v>1.4</v>
      </c>
      <c r="B563" s="280" t="s">
        <v>50</v>
      </c>
      <c r="C563" s="279"/>
      <c r="D563" s="281"/>
      <c r="E563" s="282"/>
      <c r="F563" s="282"/>
    </row>
    <row r="564" spans="1:6">
      <c r="A564" s="279" t="s">
        <v>162</v>
      </c>
      <c r="B564" s="280" t="s">
        <v>163</v>
      </c>
      <c r="C564" s="279" t="s">
        <v>10</v>
      </c>
      <c r="D564" s="281">
        <v>595</v>
      </c>
      <c r="E564" s="282">
        <v>83240</v>
      </c>
      <c r="F564" s="282">
        <v>49527800</v>
      </c>
    </row>
    <row r="565" spans="1:6">
      <c r="A565" s="279" t="s">
        <v>164</v>
      </c>
      <c r="B565" s="280" t="s">
        <v>69</v>
      </c>
      <c r="C565" s="279" t="s">
        <v>10</v>
      </c>
      <c r="D565" s="281">
        <v>595</v>
      </c>
      <c r="E565" s="282">
        <v>22006</v>
      </c>
      <c r="F565" s="282">
        <v>13093570</v>
      </c>
    </row>
    <row r="566" spans="1:6">
      <c r="A566" s="279" t="s">
        <v>165</v>
      </c>
      <c r="B566" s="280" t="s">
        <v>51</v>
      </c>
      <c r="C566" s="279" t="s">
        <v>10</v>
      </c>
      <c r="D566" s="281">
        <v>595</v>
      </c>
      <c r="E566" s="282">
        <v>462</v>
      </c>
      <c r="F566" s="282">
        <v>274890</v>
      </c>
    </row>
    <row r="567" spans="1:6">
      <c r="A567" s="279" t="s">
        <v>166</v>
      </c>
      <c r="B567" s="280" t="s">
        <v>52</v>
      </c>
      <c r="C567" s="279" t="s">
        <v>10</v>
      </c>
      <c r="D567" s="281">
        <v>595</v>
      </c>
      <c r="E567" s="282">
        <v>2835</v>
      </c>
      <c r="F567" s="282">
        <v>1686825</v>
      </c>
    </row>
    <row r="568" spans="1:6">
      <c r="A568" s="279" t="s">
        <v>167</v>
      </c>
      <c r="B568" s="280" t="s">
        <v>168</v>
      </c>
      <c r="C568" s="279" t="s">
        <v>10</v>
      </c>
      <c r="D568" s="281">
        <v>1190</v>
      </c>
      <c r="E568" s="282">
        <v>2391</v>
      </c>
      <c r="F568" s="282">
        <v>2845290</v>
      </c>
    </row>
    <row r="569" spans="1:6">
      <c r="A569" s="279" t="s">
        <v>169</v>
      </c>
      <c r="B569" s="280" t="s">
        <v>170</v>
      </c>
      <c r="C569" s="279" t="s">
        <v>10</v>
      </c>
      <c r="D569" s="281">
        <v>595</v>
      </c>
      <c r="E569" s="282">
        <v>75197</v>
      </c>
      <c r="F569" s="282">
        <v>44742215</v>
      </c>
    </row>
    <row r="570" spans="1:6">
      <c r="A570" s="279" t="s">
        <v>171</v>
      </c>
      <c r="B570" s="280" t="s">
        <v>172</v>
      </c>
      <c r="C570" s="279" t="s">
        <v>10</v>
      </c>
      <c r="D570" s="281">
        <v>595</v>
      </c>
      <c r="E570" s="282">
        <v>27047</v>
      </c>
      <c r="F570" s="282">
        <v>16092965</v>
      </c>
    </row>
    <row r="571" spans="1:6">
      <c r="A571" s="279" t="s">
        <v>173</v>
      </c>
      <c r="B571" s="280" t="s">
        <v>174</v>
      </c>
      <c r="C571" s="279" t="s">
        <v>67</v>
      </c>
      <c r="D571" s="281">
        <v>1190</v>
      </c>
      <c r="E571" s="282">
        <v>2055</v>
      </c>
      <c r="F571" s="282">
        <v>2445450</v>
      </c>
    </row>
    <row r="572" spans="1:6">
      <c r="A572" s="279" t="s">
        <v>175</v>
      </c>
      <c r="B572" s="280" t="s">
        <v>176</v>
      </c>
      <c r="C572" s="279" t="s">
        <v>10</v>
      </c>
      <c r="D572" s="281">
        <v>595</v>
      </c>
      <c r="E572" s="282">
        <v>18387</v>
      </c>
      <c r="F572" s="282">
        <v>10940265</v>
      </c>
    </row>
    <row r="573" spans="1:6">
      <c r="A573" s="541" t="s">
        <v>1054</v>
      </c>
      <c r="B573" s="542"/>
      <c r="C573" s="542"/>
      <c r="D573" s="542"/>
      <c r="E573" s="543"/>
      <c r="F573" s="296">
        <f>SUM(F541:F572,0)</f>
        <v>293087344.83599997</v>
      </c>
    </row>
    <row r="574" spans="1:6">
      <c r="A574" s="278">
        <v>2</v>
      </c>
      <c r="B574" s="532" t="s">
        <v>610</v>
      </c>
      <c r="C574" s="533"/>
      <c r="D574" s="533"/>
      <c r="E574" s="533"/>
      <c r="F574" s="534"/>
    </row>
    <row r="575" spans="1:6">
      <c r="A575" s="279">
        <v>2.1</v>
      </c>
      <c r="B575" s="280" t="s">
        <v>29</v>
      </c>
      <c r="C575" s="317"/>
      <c r="D575" s="318"/>
      <c r="E575" s="318"/>
      <c r="F575" s="318"/>
    </row>
    <row r="576" spans="1:6">
      <c r="A576" s="279" t="s">
        <v>72</v>
      </c>
      <c r="B576" s="280" t="s">
        <v>177</v>
      </c>
      <c r="C576" s="317" t="s">
        <v>67</v>
      </c>
      <c r="D576" s="318">
        <v>710.14</v>
      </c>
      <c r="E576" s="318">
        <v>33961</v>
      </c>
      <c r="F576" s="318">
        <v>24117064.539999999</v>
      </c>
    </row>
    <row r="577" spans="1:6">
      <c r="A577" s="279" t="s">
        <v>73</v>
      </c>
      <c r="B577" s="280" t="s">
        <v>146</v>
      </c>
      <c r="C577" s="317" t="s">
        <v>67</v>
      </c>
      <c r="D577" s="318">
        <v>1253.24</v>
      </c>
      <c r="E577" s="318">
        <v>72086</v>
      </c>
      <c r="F577" s="318">
        <v>90341058.640000001</v>
      </c>
    </row>
    <row r="578" spans="1:6">
      <c r="A578" s="279" t="s">
        <v>1055</v>
      </c>
      <c r="B578" s="280" t="s">
        <v>751</v>
      </c>
      <c r="C578" s="317" t="s">
        <v>10</v>
      </c>
      <c r="D578" s="318">
        <v>2</v>
      </c>
      <c r="E578" s="318">
        <v>1763595</v>
      </c>
      <c r="F578" s="318">
        <v>3527190</v>
      </c>
    </row>
    <row r="579" spans="1:6">
      <c r="A579" s="279">
        <v>2.2000000000000002</v>
      </c>
      <c r="B579" s="280" t="s">
        <v>12</v>
      </c>
      <c r="C579" s="317"/>
      <c r="D579" s="318"/>
      <c r="E579" s="318"/>
      <c r="F579" s="318"/>
    </row>
    <row r="580" spans="1:6">
      <c r="A580" s="279" t="s">
        <v>75</v>
      </c>
      <c r="B580" s="280" t="s">
        <v>70</v>
      </c>
      <c r="C580" s="317" t="s">
        <v>4</v>
      </c>
      <c r="D580" s="318">
        <v>755</v>
      </c>
      <c r="E580" s="318">
        <v>3435</v>
      </c>
      <c r="F580" s="318">
        <v>2593425</v>
      </c>
    </row>
    <row r="581" spans="1:6">
      <c r="A581" s="279">
        <v>2.2999999999999998</v>
      </c>
      <c r="B581" s="280" t="s">
        <v>31</v>
      </c>
      <c r="C581" s="317"/>
      <c r="D581" s="318"/>
      <c r="E581" s="318"/>
      <c r="F581" s="318"/>
    </row>
    <row r="582" spans="1:6">
      <c r="A582" s="279" t="s">
        <v>80</v>
      </c>
      <c r="B582" s="280" t="s">
        <v>32</v>
      </c>
      <c r="C582" s="317" t="s">
        <v>10</v>
      </c>
      <c r="D582" s="318">
        <v>1</v>
      </c>
      <c r="E582" s="318">
        <v>331255</v>
      </c>
      <c r="F582" s="318">
        <v>331255</v>
      </c>
    </row>
    <row r="583" spans="1:6">
      <c r="A583" s="279" t="s">
        <v>589</v>
      </c>
      <c r="B583" s="280" t="s">
        <v>1056</v>
      </c>
      <c r="C583" s="317" t="s">
        <v>10</v>
      </c>
      <c r="D583" s="318">
        <v>1</v>
      </c>
      <c r="E583" s="318">
        <v>126541</v>
      </c>
      <c r="F583" s="318">
        <v>126541</v>
      </c>
    </row>
    <row r="584" spans="1:6">
      <c r="A584" s="279" t="s">
        <v>590</v>
      </c>
      <c r="B584" s="280" t="s">
        <v>33</v>
      </c>
      <c r="C584" s="317" t="s">
        <v>10</v>
      </c>
      <c r="D584" s="318">
        <v>1</v>
      </c>
      <c r="E584" s="318">
        <v>242111</v>
      </c>
      <c r="F584" s="318">
        <v>242111</v>
      </c>
    </row>
    <row r="585" spans="1:6">
      <c r="A585" s="279" t="s">
        <v>592</v>
      </c>
      <c r="B585" s="280" t="s">
        <v>34</v>
      </c>
      <c r="C585" s="317" t="s">
        <v>10</v>
      </c>
      <c r="D585" s="318">
        <v>3</v>
      </c>
      <c r="E585" s="318">
        <v>90796</v>
      </c>
      <c r="F585" s="318">
        <v>272388</v>
      </c>
    </row>
    <row r="586" spans="1:6">
      <c r="A586" s="279" t="s">
        <v>1057</v>
      </c>
      <c r="B586" s="280" t="s">
        <v>36</v>
      </c>
      <c r="C586" s="317" t="s">
        <v>10</v>
      </c>
      <c r="D586" s="318">
        <v>2</v>
      </c>
      <c r="E586" s="318">
        <v>194150</v>
      </c>
      <c r="F586" s="318">
        <v>388300</v>
      </c>
    </row>
    <row r="587" spans="1:6">
      <c r="A587" s="279" t="s">
        <v>1058</v>
      </c>
      <c r="B587" s="280" t="s">
        <v>37</v>
      </c>
      <c r="C587" s="317" t="s">
        <v>10</v>
      </c>
      <c r="D587" s="318">
        <v>3</v>
      </c>
      <c r="E587" s="318">
        <v>81368</v>
      </c>
      <c r="F587" s="318">
        <v>244104</v>
      </c>
    </row>
    <row r="588" spans="1:6">
      <c r="A588" s="279" t="s">
        <v>1059</v>
      </c>
      <c r="B588" s="280" t="s">
        <v>40</v>
      </c>
      <c r="C588" s="317" t="s">
        <v>10</v>
      </c>
      <c r="D588" s="318">
        <v>4</v>
      </c>
      <c r="E588" s="318">
        <v>174023</v>
      </c>
      <c r="F588" s="318">
        <v>696092</v>
      </c>
    </row>
    <row r="589" spans="1:6">
      <c r="A589" s="279" t="s">
        <v>1060</v>
      </c>
      <c r="B589" s="280" t="s">
        <v>30</v>
      </c>
      <c r="C589" s="317" t="s">
        <v>10</v>
      </c>
      <c r="D589" s="318">
        <v>2</v>
      </c>
      <c r="E589" s="318">
        <v>77505</v>
      </c>
      <c r="F589" s="318">
        <v>155010</v>
      </c>
    </row>
    <row r="590" spans="1:6">
      <c r="A590" s="279" t="s">
        <v>1061</v>
      </c>
      <c r="B590" s="280" t="s">
        <v>156</v>
      </c>
      <c r="C590" s="317" t="s">
        <v>10</v>
      </c>
      <c r="D590" s="318">
        <v>4</v>
      </c>
      <c r="E590" s="318">
        <v>660772</v>
      </c>
      <c r="F590" s="318">
        <v>2643088</v>
      </c>
    </row>
    <row r="591" spans="1:6">
      <c r="A591" s="279" t="s">
        <v>1062</v>
      </c>
      <c r="B591" s="280" t="s">
        <v>178</v>
      </c>
      <c r="C591" s="317" t="s">
        <v>10</v>
      </c>
      <c r="D591" s="318">
        <v>2</v>
      </c>
      <c r="E591" s="318">
        <v>291999</v>
      </c>
      <c r="F591" s="318">
        <v>583998</v>
      </c>
    </row>
    <row r="592" spans="1:6">
      <c r="A592" s="279" t="s">
        <v>1063</v>
      </c>
      <c r="B592" s="280" t="s">
        <v>42</v>
      </c>
      <c r="C592" s="317" t="s">
        <v>10</v>
      </c>
      <c r="D592" s="318">
        <v>1</v>
      </c>
      <c r="E592" s="318">
        <v>125536</v>
      </c>
      <c r="F592" s="318">
        <v>125536</v>
      </c>
    </row>
    <row r="593" spans="1:6">
      <c r="A593" s="279" t="s">
        <v>1064</v>
      </c>
      <c r="B593" s="280" t="s">
        <v>43</v>
      </c>
      <c r="C593" s="317" t="s">
        <v>10</v>
      </c>
      <c r="D593" s="318">
        <v>2</v>
      </c>
      <c r="E593" s="318">
        <v>467248</v>
      </c>
      <c r="F593" s="318">
        <v>934496</v>
      </c>
    </row>
    <row r="594" spans="1:6">
      <c r="A594" s="279" t="s">
        <v>1065</v>
      </c>
      <c r="B594" s="280" t="s">
        <v>44</v>
      </c>
      <c r="C594" s="317" t="s">
        <v>10</v>
      </c>
      <c r="D594" s="318">
        <v>2</v>
      </c>
      <c r="E594" s="318">
        <v>343696</v>
      </c>
      <c r="F594" s="318">
        <v>687392</v>
      </c>
    </row>
    <row r="595" spans="1:6">
      <c r="A595" s="279" t="s">
        <v>1066</v>
      </c>
      <c r="B595" s="280" t="s">
        <v>45</v>
      </c>
      <c r="C595" s="317" t="s">
        <v>10</v>
      </c>
      <c r="D595" s="318">
        <v>1</v>
      </c>
      <c r="E595" s="318">
        <v>583345</v>
      </c>
      <c r="F595" s="318">
        <v>583345</v>
      </c>
    </row>
    <row r="596" spans="1:6">
      <c r="A596" s="279" t="s">
        <v>1067</v>
      </c>
      <c r="B596" s="280" t="s">
        <v>47</v>
      </c>
      <c r="C596" s="317" t="s">
        <v>10</v>
      </c>
      <c r="D596" s="318">
        <v>1</v>
      </c>
      <c r="E596" s="318">
        <v>135593</v>
      </c>
      <c r="F596" s="318">
        <v>135593</v>
      </c>
    </row>
    <row r="597" spans="1:6">
      <c r="A597" s="279">
        <v>2.4</v>
      </c>
      <c r="B597" s="280" t="s">
        <v>50</v>
      </c>
      <c r="C597" s="317"/>
      <c r="D597" s="318"/>
      <c r="E597" s="318"/>
      <c r="F597" s="318"/>
    </row>
    <row r="598" spans="1:6">
      <c r="A598" s="279" t="s">
        <v>594</v>
      </c>
      <c r="B598" s="280" t="s">
        <v>163</v>
      </c>
      <c r="C598" s="317" t="s">
        <v>10</v>
      </c>
      <c r="D598" s="318">
        <v>595</v>
      </c>
      <c r="E598" s="318">
        <v>83240</v>
      </c>
      <c r="F598" s="318">
        <v>49527800</v>
      </c>
    </row>
    <row r="599" spans="1:6">
      <c r="A599" s="279" t="s">
        <v>595</v>
      </c>
      <c r="B599" s="280" t="s">
        <v>69</v>
      </c>
      <c r="C599" s="317" t="s">
        <v>10</v>
      </c>
      <c r="D599" s="318">
        <v>595</v>
      </c>
      <c r="E599" s="318">
        <v>22006</v>
      </c>
      <c r="F599" s="318">
        <v>13093570</v>
      </c>
    </row>
    <row r="600" spans="1:6">
      <c r="A600" s="279" t="s">
        <v>597</v>
      </c>
      <c r="B600" s="280" t="s">
        <v>51</v>
      </c>
      <c r="C600" s="317" t="s">
        <v>10</v>
      </c>
      <c r="D600" s="318">
        <v>595</v>
      </c>
      <c r="E600" s="318">
        <v>462</v>
      </c>
      <c r="F600" s="318">
        <v>274890</v>
      </c>
    </row>
    <row r="601" spans="1:6">
      <c r="A601" s="279" t="s">
        <v>85</v>
      </c>
      <c r="B601" s="280" t="s">
        <v>52</v>
      </c>
      <c r="C601" s="317" t="s">
        <v>10</v>
      </c>
      <c r="D601" s="318">
        <v>595.05999999999995</v>
      </c>
      <c r="E601" s="318">
        <v>2726</v>
      </c>
      <c r="F601" s="318">
        <v>1622133.5599999998</v>
      </c>
    </row>
    <row r="602" spans="1:6">
      <c r="A602" s="279" t="s">
        <v>598</v>
      </c>
      <c r="B602" s="280" t="s">
        <v>168</v>
      </c>
      <c r="C602" s="317" t="s">
        <v>10</v>
      </c>
      <c r="D602" s="318">
        <v>1190</v>
      </c>
      <c r="E602" s="318">
        <v>2391</v>
      </c>
      <c r="F602" s="318">
        <v>2845290</v>
      </c>
    </row>
    <row r="603" spans="1:6">
      <c r="A603" s="279" t="s">
        <v>87</v>
      </c>
      <c r="B603" s="280" t="s">
        <v>170</v>
      </c>
      <c r="C603" s="317" t="s">
        <v>10</v>
      </c>
      <c r="D603" s="318">
        <v>595</v>
      </c>
      <c r="E603" s="318">
        <v>75197</v>
      </c>
      <c r="F603" s="318">
        <v>44742215</v>
      </c>
    </row>
    <row r="604" spans="1:6">
      <c r="A604" s="279" t="s">
        <v>599</v>
      </c>
      <c r="B604" s="280" t="s">
        <v>172</v>
      </c>
      <c r="C604" s="317" t="s">
        <v>10</v>
      </c>
      <c r="D604" s="318">
        <v>595</v>
      </c>
      <c r="E604" s="318">
        <v>27047</v>
      </c>
      <c r="F604" s="318">
        <v>16092965</v>
      </c>
    </row>
    <row r="605" spans="1:6">
      <c r="A605" s="279" t="s">
        <v>89</v>
      </c>
      <c r="B605" s="280" t="s">
        <v>174</v>
      </c>
      <c r="C605" s="317" t="s">
        <v>67</v>
      </c>
      <c r="D605" s="318">
        <v>1190</v>
      </c>
      <c r="E605" s="318">
        <v>2055</v>
      </c>
      <c r="F605" s="318">
        <v>2445450</v>
      </c>
    </row>
    <row r="606" spans="1:6">
      <c r="A606" s="279" t="s">
        <v>600</v>
      </c>
      <c r="B606" s="280" t="s">
        <v>176</v>
      </c>
      <c r="C606" s="317" t="s">
        <v>10</v>
      </c>
      <c r="D606" s="318">
        <v>595</v>
      </c>
      <c r="E606" s="318">
        <v>18387</v>
      </c>
      <c r="F606" s="318">
        <v>10940265</v>
      </c>
    </row>
    <row r="607" spans="1:6">
      <c r="A607" s="541" t="s">
        <v>1068</v>
      </c>
      <c r="B607" s="542"/>
      <c r="C607" s="542"/>
      <c r="D607" s="542"/>
      <c r="E607" s="543"/>
      <c r="F607" s="296">
        <f>SUM(F576:F606,0)</f>
        <v>270312565.74000001</v>
      </c>
    </row>
    <row r="608" spans="1:6">
      <c r="A608" s="278">
        <v>3</v>
      </c>
      <c r="B608" s="532" t="s">
        <v>642</v>
      </c>
      <c r="C608" s="533"/>
      <c r="D608" s="533"/>
      <c r="E608" s="533"/>
      <c r="F608" s="534"/>
    </row>
    <row r="609" spans="1:6">
      <c r="A609" s="279">
        <v>3.1</v>
      </c>
      <c r="B609" s="280" t="s">
        <v>29</v>
      </c>
      <c r="C609" s="317"/>
      <c r="D609" s="318"/>
      <c r="E609" s="318"/>
      <c r="F609" s="282"/>
    </row>
    <row r="610" spans="1:6">
      <c r="A610" s="279" t="s">
        <v>611</v>
      </c>
      <c r="B610" s="280" t="s">
        <v>177</v>
      </c>
      <c r="C610" s="317" t="s">
        <v>67</v>
      </c>
      <c r="D610" s="318">
        <v>1424.84</v>
      </c>
      <c r="E610" s="318">
        <v>33961</v>
      </c>
      <c r="F610" s="282">
        <v>48388991.239999995</v>
      </c>
    </row>
    <row r="611" spans="1:6">
      <c r="A611" s="279" t="s">
        <v>612</v>
      </c>
      <c r="B611" s="280" t="s">
        <v>146</v>
      </c>
      <c r="C611" s="317" t="s">
        <v>67</v>
      </c>
      <c r="D611" s="318">
        <v>637.51</v>
      </c>
      <c r="E611" s="318">
        <v>72086</v>
      </c>
      <c r="F611" s="282">
        <v>45955545.859999999</v>
      </c>
    </row>
    <row r="612" spans="1:6">
      <c r="A612" s="279" t="s">
        <v>179</v>
      </c>
      <c r="B612" s="280" t="s">
        <v>180</v>
      </c>
      <c r="C612" s="317" t="s">
        <v>67</v>
      </c>
      <c r="D612" s="318">
        <v>15.79</v>
      </c>
      <c r="E612" s="318">
        <v>122930</v>
      </c>
      <c r="F612" s="282">
        <v>1941064.7</v>
      </c>
    </row>
    <row r="613" spans="1:6">
      <c r="A613" s="279" t="s">
        <v>181</v>
      </c>
      <c r="B613" s="280" t="s">
        <v>1069</v>
      </c>
      <c r="C613" s="317" t="s">
        <v>10</v>
      </c>
      <c r="D613" s="318">
        <v>1</v>
      </c>
      <c r="E613" s="318">
        <v>2343631</v>
      </c>
      <c r="F613" s="282">
        <v>2343631</v>
      </c>
    </row>
    <row r="614" spans="1:6">
      <c r="A614" s="279" t="s">
        <v>182</v>
      </c>
      <c r="B614" s="280" t="s">
        <v>751</v>
      </c>
      <c r="C614" s="317" t="s">
        <v>10</v>
      </c>
      <c r="D614" s="318">
        <v>3</v>
      </c>
      <c r="E614" s="318">
        <v>1763595</v>
      </c>
      <c r="F614" s="282">
        <v>5290785</v>
      </c>
    </row>
    <row r="615" spans="1:6">
      <c r="A615" s="279" t="s">
        <v>183</v>
      </c>
      <c r="B615" s="280" t="s">
        <v>1052</v>
      </c>
      <c r="C615" s="317" t="s">
        <v>10</v>
      </c>
      <c r="D615" s="318">
        <v>2</v>
      </c>
      <c r="E615" s="318">
        <v>1339471</v>
      </c>
      <c r="F615" s="282">
        <v>2678942</v>
      </c>
    </row>
    <row r="616" spans="1:6">
      <c r="A616" s="279">
        <v>3.2</v>
      </c>
      <c r="B616" s="280" t="s">
        <v>12</v>
      </c>
      <c r="C616" s="317"/>
      <c r="D616" s="318"/>
      <c r="E616" s="318"/>
      <c r="F616" s="282"/>
    </row>
    <row r="617" spans="1:6">
      <c r="A617" s="279" t="s">
        <v>613</v>
      </c>
      <c r="B617" s="280" t="s">
        <v>1070</v>
      </c>
      <c r="C617" s="317" t="s">
        <v>4</v>
      </c>
      <c r="D617" s="318">
        <v>41.94</v>
      </c>
      <c r="E617" s="318">
        <v>3435</v>
      </c>
      <c r="F617" s="282">
        <v>144063.9</v>
      </c>
    </row>
    <row r="618" spans="1:6">
      <c r="A618" s="279">
        <v>3.3</v>
      </c>
      <c r="B618" s="280" t="s">
        <v>31</v>
      </c>
      <c r="C618" s="317"/>
      <c r="D618" s="318"/>
      <c r="E618" s="318"/>
      <c r="F618" s="282"/>
    </row>
    <row r="619" spans="1:6">
      <c r="A619" s="279" t="s">
        <v>79</v>
      </c>
      <c r="B619" s="280" t="s">
        <v>32</v>
      </c>
      <c r="C619" s="317" t="s">
        <v>10</v>
      </c>
      <c r="D619" s="318">
        <v>1</v>
      </c>
      <c r="E619" s="318">
        <v>331255</v>
      </c>
      <c r="F619" s="282">
        <v>331255</v>
      </c>
    </row>
    <row r="620" spans="1:6">
      <c r="A620" s="279" t="s">
        <v>620</v>
      </c>
      <c r="B620" s="280" t="s">
        <v>1056</v>
      </c>
      <c r="C620" s="317" t="s">
        <v>10</v>
      </c>
      <c r="D620" s="318">
        <v>1</v>
      </c>
      <c r="E620" s="318">
        <v>126541</v>
      </c>
      <c r="F620" s="282">
        <v>126541</v>
      </c>
    </row>
    <row r="621" spans="1:6">
      <c r="A621" s="279" t="s">
        <v>621</v>
      </c>
      <c r="B621" s="280" t="s">
        <v>33</v>
      </c>
      <c r="C621" s="317" t="s">
        <v>10</v>
      </c>
      <c r="D621" s="318">
        <v>1</v>
      </c>
      <c r="E621" s="318">
        <v>242111</v>
      </c>
      <c r="F621" s="282">
        <v>242111</v>
      </c>
    </row>
    <row r="622" spans="1:6">
      <c r="A622" s="279" t="s">
        <v>1071</v>
      </c>
      <c r="B622" s="280" t="s">
        <v>34</v>
      </c>
      <c r="C622" s="317" t="s">
        <v>10</v>
      </c>
      <c r="D622" s="318">
        <v>3</v>
      </c>
      <c r="E622" s="318">
        <v>90796</v>
      </c>
      <c r="F622" s="282">
        <v>272388</v>
      </c>
    </row>
    <row r="623" spans="1:6">
      <c r="A623" s="279" t="s">
        <v>184</v>
      </c>
      <c r="B623" s="280" t="s">
        <v>185</v>
      </c>
      <c r="C623" s="317" t="s">
        <v>10</v>
      </c>
      <c r="D623" s="318">
        <v>1</v>
      </c>
      <c r="E623" s="318">
        <v>406368</v>
      </c>
      <c r="F623" s="282">
        <v>406368</v>
      </c>
    </row>
    <row r="624" spans="1:6">
      <c r="A624" s="279" t="s">
        <v>1072</v>
      </c>
      <c r="B624" s="280" t="s">
        <v>36</v>
      </c>
      <c r="C624" s="317" t="s">
        <v>10</v>
      </c>
      <c r="D624" s="318">
        <v>3</v>
      </c>
      <c r="E624" s="318">
        <v>194150</v>
      </c>
      <c r="F624" s="282">
        <v>582450</v>
      </c>
    </row>
    <row r="625" spans="1:6">
      <c r="A625" s="279" t="s">
        <v>1073</v>
      </c>
      <c r="B625" s="280" t="s">
        <v>37</v>
      </c>
      <c r="C625" s="317" t="s">
        <v>10</v>
      </c>
      <c r="D625" s="318">
        <v>3</v>
      </c>
      <c r="E625" s="318">
        <v>81368</v>
      </c>
      <c r="F625" s="282">
        <v>244104</v>
      </c>
    </row>
    <row r="626" spans="1:6">
      <c r="A626" s="279" t="s">
        <v>1074</v>
      </c>
      <c r="B626" s="280" t="s">
        <v>39</v>
      </c>
      <c r="C626" s="317" t="s">
        <v>10</v>
      </c>
      <c r="D626" s="318">
        <v>1</v>
      </c>
      <c r="E626" s="318">
        <v>349504</v>
      </c>
      <c r="F626" s="282">
        <v>349504</v>
      </c>
    </row>
    <row r="627" spans="1:6">
      <c r="A627" s="279" t="s">
        <v>1075</v>
      </c>
      <c r="B627" s="280" t="s">
        <v>40</v>
      </c>
      <c r="C627" s="317" t="s">
        <v>10</v>
      </c>
      <c r="D627" s="318">
        <v>4</v>
      </c>
      <c r="E627" s="318">
        <v>174023</v>
      </c>
      <c r="F627" s="282">
        <v>696092</v>
      </c>
    </row>
    <row r="628" spans="1:6">
      <c r="A628" s="279" t="s">
        <v>1076</v>
      </c>
      <c r="B628" s="280" t="s">
        <v>30</v>
      </c>
      <c r="C628" s="317" t="s">
        <v>10</v>
      </c>
      <c r="D628" s="318">
        <v>2</v>
      </c>
      <c r="E628" s="318">
        <v>77505</v>
      </c>
      <c r="F628" s="282">
        <v>155010</v>
      </c>
    </row>
    <row r="629" spans="1:6">
      <c r="A629" s="279" t="s">
        <v>1077</v>
      </c>
      <c r="B629" s="280" t="s">
        <v>1078</v>
      </c>
      <c r="C629" s="317" t="s">
        <v>10</v>
      </c>
      <c r="D629" s="318">
        <v>3</v>
      </c>
      <c r="E629" s="318">
        <v>794781</v>
      </c>
      <c r="F629" s="282">
        <v>2384343</v>
      </c>
    </row>
    <row r="630" spans="1:6">
      <c r="A630" s="279" t="s">
        <v>1079</v>
      </c>
      <c r="B630" s="280" t="s">
        <v>156</v>
      </c>
      <c r="C630" s="317" t="s">
        <v>10</v>
      </c>
      <c r="D630" s="318">
        <v>4</v>
      </c>
      <c r="E630" s="318">
        <v>660772</v>
      </c>
      <c r="F630" s="282">
        <v>2643088</v>
      </c>
    </row>
    <row r="631" spans="1:6">
      <c r="A631" s="279" t="s">
        <v>1080</v>
      </c>
      <c r="B631" s="280" t="s">
        <v>178</v>
      </c>
      <c r="C631" s="317" t="s">
        <v>10</v>
      </c>
      <c r="D631" s="318">
        <v>2</v>
      </c>
      <c r="E631" s="318">
        <v>291999</v>
      </c>
      <c r="F631" s="282">
        <v>583998</v>
      </c>
    </row>
    <row r="632" spans="1:6">
      <c r="A632" s="279" t="s">
        <v>1081</v>
      </c>
      <c r="B632" s="280" t="s">
        <v>42</v>
      </c>
      <c r="C632" s="317" t="s">
        <v>10</v>
      </c>
      <c r="D632" s="318">
        <v>1</v>
      </c>
      <c r="E632" s="318">
        <v>125536</v>
      </c>
      <c r="F632" s="282">
        <v>125536</v>
      </c>
    </row>
    <row r="633" spans="1:6">
      <c r="A633" s="279" t="s">
        <v>1082</v>
      </c>
      <c r="B633" s="280" t="s">
        <v>43</v>
      </c>
      <c r="C633" s="317" t="s">
        <v>10</v>
      </c>
      <c r="D633" s="318">
        <v>2</v>
      </c>
      <c r="E633" s="318">
        <v>467248</v>
      </c>
      <c r="F633" s="282">
        <v>934496</v>
      </c>
    </row>
    <row r="634" spans="1:6">
      <c r="A634" s="279" t="s">
        <v>1083</v>
      </c>
      <c r="B634" s="280" t="s">
        <v>44</v>
      </c>
      <c r="C634" s="317" t="s">
        <v>10</v>
      </c>
      <c r="D634" s="318">
        <v>2</v>
      </c>
      <c r="E634" s="318">
        <v>343696</v>
      </c>
      <c r="F634" s="282">
        <v>687392</v>
      </c>
    </row>
    <row r="635" spans="1:6">
      <c r="A635" s="279" t="s">
        <v>1084</v>
      </c>
      <c r="B635" s="280" t="s">
        <v>45</v>
      </c>
      <c r="C635" s="317" t="s">
        <v>10</v>
      </c>
      <c r="D635" s="318">
        <v>1</v>
      </c>
      <c r="E635" s="318">
        <v>583345</v>
      </c>
      <c r="F635" s="282">
        <v>583345</v>
      </c>
    </row>
    <row r="636" spans="1:6">
      <c r="A636" s="279" t="s">
        <v>186</v>
      </c>
      <c r="B636" s="280" t="s">
        <v>46</v>
      </c>
      <c r="C636" s="317" t="s">
        <v>10</v>
      </c>
      <c r="D636" s="318">
        <v>1</v>
      </c>
      <c r="E636" s="318">
        <v>196775</v>
      </c>
      <c r="F636" s="282">
        <v>196775</v>
      </c>
    </row>
    <row r="637" spans="1:6">
      <c r="A637" s="279" t="s">
        <v>187</v>
      </c>
      <c r="B637" s="280" t="s">
        <v>47</v>
      </c>
      <c r="C637" s="317" t="s">
        <v>10</v>
      </c>
      <c r="D637" s="318">
        <v>1</v>
      </c>
      <c r="E637" s="318">
        <v>135593</v>
      </c>
      <c r="F637" s="282">
        <v>135593</v>
      </c>
    </row>
    <row r="638" spans="1:6">
      <c r="A638" s="279">
        <v>3.4</v>
      </c>
      <c r="B638" s="280" t="s">
        <v>50</v>
      </c>
      <c r="C638" s="317"/>
      <c r="D638" s="318"/>
      <c r="E638" s="318"/>
      <c r="F638" s="282"/>
    </row>
    <row r="639" spans="1:6">
      <c r="A639" s="279" t="s">
        <v>622</v>
      </c>
      <c r="B639" s="280" t="s">
        <v>163</v>
      </c>
      <c r="C639" s="317" t="s">
        <v>10</v>
      </c>
      <c r="D639" s="318">
        <v>595</v>
      </c>
      <c r="E639" s="318">
        <v>83240</v>
      </c>
      <c r="F639" s="282">
        <v>49527800</v>
      </c>
    </row>
    <row r="640" spans="1:6">
      <c r="A640" s="279" t="s">
        <v>623</v>
      </c>
      <c r="B640" s="280" t="s">
        <v>69</v>
      </c>
      <c r="C640" s="317" t="s">
        <v>10</v>
      </c>
      <c r="D640" s="318">
        <v>595</v>
      </c>
      <c r="E640" s="318">
        <v>22006</v>
      </c>
      <c r="F640" s="282">
        <v>13093570</v>
      </c>
    </row>
    <row r="641" spans="1:6">
      <c r="A641" s="279" t="s">
        <v>625</v>
      </c>
      <c r="B641" s="280" t="s">
        <v>51</v>
      </c>
      <c r="C641" s="317" t="s">
        <v>10</v>
      </c>
      <c r="D641" s="318">
        <v>595</v>
      </c>
      <c r="E641" s="318">
        <v>462</v>
      </c>
      <c r="F641" s="282">
        <v>274890</v>
      </c>
    </row>
    <row r="642" spans="1:6">
      <c r="A642" s="279" t="s">
        <v>110</v>
      </c>
      <c r="B642" s="280" t="s">
        <v>52</v>
      </c>
      <c r="C642" s="317" t="s">
        <v>10</v>
      </c>
      <c r="D642" s="318">
        <v>595.05999999999995</v>
      </c>
      <c r="E642" s="318">
        <v>2726</v>
      </c>
      <c r="F642" s="282">
        <v>1622133.5599999998</v>
      </c>
    </row>
    <row r="643" spans="1:6">
      <c r="A643" s="279" t="s">
        <v>626</v>
      </c>
      <c r="B643" s="280" t="s">
        <v>168</v>
      </c>
      <c r="C643" s="317" t="s">
        <v>10</v>
      </c>
      <c r="D643" s="318">
        <v>1190</v>
      </c>
      <c r="E643" s="318">
        <v>2391</v>
      </c>
      <c r="F643" s="282">
        <v>2845290</v>
      </c>
    </row>
    <row r="644" spans="1:6">
      <c r="A644" s="279" t="s">
        <v>81</v>
      </c>
      <c r="B644" s="280" t="s">
        <v>170</v>
      </c>
      <c r="C644" s="317" t="s">
        <v>10</v>
      </c>
      <c r="D644" s="318">
        <v>595</v>
      </c>
      <c r="E644" s="318">
        <v>75197</v>
      </c>
      <c r="F644" s="282">
        <v>44742215</v>
      </c>
    </row>
    <row r="645" spans="1:6">
      <c r="A645" s="279" t="s">
        <v>627</v>
      </c>
      <c r="B645" s="280" t="s">
        <v>172</v>
      </c>
      <c r="C645" s="317" t="s">
        <v>10</v>
      </c>
      <c r="D645" s="318">
        <v>595</v>
      </c>
      <c r="E645" s="318">
        <v>27047</v>
      </c>
      <c r="F645" s="282">
        <v>16092965</v>
      </c>
    </row>
    <row r="646" spans="1:6">
      <c r="A646" s="279" t="s">
        <v>628</v>
      </c>
      <c r="B646" s="280" t="s">
        <v>174</v>
      </c>
      <c r="C646" s="317" t="s">
        <v>67</v>
      </c>
      <c r="D646" s="318">
        <v>1190</v>
      </c>
      <c r="E646" s="318">
        <v>2055</v>
      </c>
      <c r="F646" s="282">
        <v>2445450</v>
      </c>
    </row>
    <row r="647" spans="1:6">
      <c r="A647" s="279" t="s">
        <v>629</v>
      </c>
      <c r="B647" s="280" t="s">
        <v>176</v>
      </c>
      <c r="C647" s="317" t="s">
        <v>10</v>
      </c>
      <c r="D647" s="318">
        <v>595</v>
      </c>
      <c r="E647" s="318">
        <v>18387</v>
      </c>
      <c r="F647" s="282">
        <v>10940265</v>
      </c>
    </row>
    <row r="648" spans="1:6">
      <c r="A648" s="541" t="s">
        <v>1085</v>
      </c>
      <c r="B648" s="542"/>
      <c r="C648" s="542"/>
      <c r="D648" s="542"/>
      <c r="E648" s="543"/>
      <c r="F648" s="296">
        <f>SUM(F609:F647,0)</f>
        <v>260007991.25999999</v>
      </c>
    </row>
    <row r="649" spans="1:6">
      <c r="A649" s="278">
        <v>4</v>
      </c>
      <c r="B649" s="532" t="s">
        <v>686</v>
      </c>
      <c r="C649" s="533"/>
      <c r="D649" s="533"/>
      <c r="E649" s="533"/>
      <c r="F649" s="534"/>
    </row>
    <row r="650" spans="1:6">
      <c r="A650" s="279">
        <v>4.0999999999999996</v>
      </c>
      <c r="B650" s="280" t="s">
        <v>29</v>
      </c>
      <c r="C650" s="317"/>
      <c r="D650" s="318"/>
      <c r="E650" s="318"/>
      <c r="F650" s="318"/>
    </row>
    <row r="651" spans="1:6">
      <c r="A651" s="279" t="s">
        <v>643</v>
      </c>
      <c r="B651" s="280" t="s">
        <v>144</v>
      </c>
      <c r="C651" s="317" t="s">
        <v>67</v>
      </c>
      <c r="D651" s="318">
        <v>697.25</v>
      </c>
      <c r="E651" s="318">
        <v>20974</v>
      </c>
      <c r="F651" s="318">
        <v>14624121.5</v>
      </c>
    </row>
    <row r="652" spans="1:6">
      <c r="A652" s="279" t="s">
        <v>644</v>
      </c>
      <c r="B652" s="280" t="s">
        <v>177</v>
      </c>
      <c r="C652" s="317" t="s">
        <v>67</v>
      </c>
      <c r="D652" s="318">
        <v>662.36</v>
      </c>
      <c r="E652" s="318">
        <v>33961</v>
      </c>
      <c r="F652" s="318">
        <v>22494407.960000001</v>
      </c>
    </row>
    <row r="653" spans="1:6">
      <c r="A653" s="279" t="s">
        <v>1086</v>
      </c>
      <c r="B653" s="280" t="s">
        <v>146</v>
      </c>
      <c r="C653" s="317" t="s">
        <v>67</v>
      </c>
      <c r="D653" s="318">
        <v>992.51</v>
      </c>
      <c r="E653" s="318">
        <v>72086</v>
      </c>
      <c r="F653" s="318">
        <v>71546075.859999999</v>
      </c>
    </row>
    <row r="654" spans="1:6">
      <c r="A654" s="279" t="s">
        <v>1087</v>
      </c>
      <c r="B654" s="280" t="s">
        <v>180</v>
      </c>
      <c r="C654" s="317" t="s">
        <v>67</v>
      </c>
      <c r="D654" s="318">
        <v>30.15</v>
      </c>
      <c r="E654" s="318">
        <v>122930</v>
      </c>
      <c r="F654" s="318">
        <v>3706339.5</v>
      </c>
    </row>
    <row r="655" spans="1:6">
      <c r="A655" s="279" t="s">
        <v>1088</v>
      </c>
      <c r="B655" s="280" t="s">
        <v>1069</v>
      </c>
      <c r="C655" s="317" t="s">
        <v>10</v>
      </c>
      <c r="D655" s="318">
        <v>1</v>
      </c>
      <c r="E655" s="318">
        <v>2343631</v>
      </c>
      <c r="F655" s="318">
        <v>2343631</v>
      </c>
    </row>
    <row r="656" spans="1:6">
      <c r="A656" s="279" t="s">
        <v>1089</v>
      </c>
      <c r="B656" s="280" t="s">
        <v>751</v>
      </c>
      <c r="C656" s="317" t="s">
        <v>10</v>
      </c>
      <c r="D656" s="318">
        <v>2</v>
      </c>
      <c r="E656" s="318">
        <v>1763595</v>
      </c>
      <c r="F656" s="318">
        <v>3527190</v>
      </c>
    </row>
    <row r="657" spans="1:6">
      <c r="A657" s="279" t="s">
        <v>1090</v>
      </c>
      <c r="B657" s="280" t="s">
        <v>1052</v>
      </c>
      <c r="C657" s="317" t="s">
        <v>10</v>
      </c>
      <c r="D657" s="318">
        <v>1</v>
      </c>
      <c r="E657" s="318">
        <v>1339471</v>
      </c>
      <c r="F657" s="318">
        <v>1339471</v>
      </c>
    </row>
    <row r="658" spans="1:6">
      <c r="A658" s="279" t="s">
        <v>1091</v>
      </c>
      <c r="B658" s="280" t="s">
        <v>1050</v>
      </c>
      <c r="C658" s="317" t="s">
        <v>10</v>
      </c>
      <c r="D658" s="318">
        <v>1</v>
      </c>
      <c r="E658" s="318">
        <v>1187213</v>
      </c>
      <c r="F658" s="318">
        <v>1187213</v>
      </c>
    </row>
    <row r="659" spans="1:6">
      <c r="A659" s="279">
        <v>4.2</v>
      </c>
      <c r="B659" s="280" t="s">
        <v>12</v>
      </c>
      <c r="C659" s="317"/>
      <c r="D659" s="318"/>
      <c r="E659" s="318"/>
      <c r="F659" s="318"/>
    </row>
    <row r="660" spans="1:6">
      <c r="A660" s="279" t="s">
        <v>645</v>
      </c>
      <c r="B660" s="280" t="s">
        <v>70</v>
      </c>
      <c r="C660" s="317" t="s">
        <v>4</v>
      </c>
      <c r="D660" s="318">
        <v>41.94</v>
      </c>
      <c r="E660" s="318">
        <v>3435</v>
      </c>
      <c r="F660" s="318">
        <v>144063.9</v>
      </c>
    </row>
    <row r="661" spans="1:6">
      <c r="A661" s="279">
        <v>4.3</v>
      </c>
      <c r="B661" s="280" t="s">
        <v>31</v>
      </c>
      <c r="C661" s="317"/>
      <c r="D661" s="318"/>
      <c r="E661" s="318"/>
      <c r="F661" s="318"/>
    </row>
    <row r="662" spans="1:6">
      <c r="A662" s="279" t="s">
        <v>652</v>
      </c>
      <c r="B662" s="280" t="s">
        <v>32</v>
      </c>
      <c r="C662" s="317" t="s">
        <v>10</v>
      </c>
      <c r="D662" s="318">
        <v>1</v>
      </c>
      <c r="E662" s="318">
        <v>331255</v>
      </c>
      <c r="F662" s="318">
        <v>331255</v>
      </c>
    </row>
    <row r="663" spans="1:6">
      <c r="A663" s="279" t="s">
        <v>653</v>
      </c>
      <c r="B663" s="280" t="s">
        <v>1056</v>
      </c>
      <c r="C663" s="317" t="s">
        <v>10</v>
      </c>
      <c r="D663" s="318">
        <v>2</v>
      </c>
      <c r="E663" s="318">
        <v>126541</v>
      </c>
      <c r="F663" s="318">
        <v>253082</v>
      </c>
    </row>
    <row r="664" spans="1:6">
      <c r="A664" s="279" t="s">
        <v>654</v>
      </c>
      <c r="B664" s="280" t="s">
        <v>150</v>
      </c>
      <c r="C664" s="317" t="s">
        <v>10</v>
      </c>
      <c r="D664" s="318">
        <v>3</v>
      </c>
      <c r="E664" s="318">
        <v>65822</v>
      </c>
      <c r="F664" s="318">
        <v>197466</v>
      </c>
    </row>
    <row r="665" spans="1:6">
      <c r="A665" s="279" t="s">
        <v>655</v>
      </c>
      <c r="B665" s="280" t="s">
        <v>33</v>
      </c>
      <c r="C665" s="317" t="s">
        <v>10</v>
      </c>
      <c r="D665" s="318">
        <v>1</v>
      </c>
      <c r="E665" s="318">
        <v>242111</v>
      </c>
      <c r="F665" s="318">
        <v>242111</v>
      </c>
    </row>
    <row r="666" spans="1:6">
      <c r="A666" s="279" t="s">
        <v>657</v>
      </c>
      <c r="B666" s="280" t="s">
        <v>34</v>
      </c>
      <c r="C666" s="317" t="s">
        <v>10</v>
      </c>
      <c r="D666" s="318">
        <v>3</v>
      </c>
      <c r="E666" s="318">
        <v>90796</v>
      </c>
      <c r="F666" s="318">
        <v>272388</v>
      </c>
    </row>
    <row r="667" spans="1:6">
      <c r="A667" s="279" t="s">
        <v>658</v>
      </c>
      <c r="B667" s="280" t="s">
        <v>35</v>
      </c>
      <c r="C667" s="317" t="s">
        <v>10</v>
      </c>
      <c r="D667" s="318">
        <v>3</v>
      </c>
      <c r="E667" s="318">
        <v>44790</v>
      </c>
      <c r="F667" s="318">
        <v>134370</v>
      </c>
    </row>
    <row r="668" spans="1:6">
      <c r="A668" s="279" t="s">
        <v>1092</v>
      </c>
      <c r="B668" s="280" t="s">
        <v>185</v>
      </c>
      <c r="C668" s="317" t="s">
        <v>10</v>
      </c>
      <c r="D668" s="318">
        <v>1</v>
      </c>
      <c r="E668" s="318">
        <v>406368</v>
      </c>
      <c r="F668" s="318">
        <v>406368</v>
      </c>
    </row>
    <row r="669" spans="1:6">
      <c r="A669" s="279" t="s">
        <v>1093</v>
      </c>
      <c r="B669" s="280" t="s">
        <v>36</v>
      </c>
      <c r="C669" s="317" t="s">
        <v>10</v>
      </c>
      <c r="D669" s="318">
        <v>3</v>
      </c>
      <c r="E669" s="318">
        <v>194150</v>
      </c>
      <c r="F669" s="318">
        <v>582450</v>
      </c>
    </row>
    <row r="670" spans="1:6">
      <c r="A670" s="279" t="s">
        <v>1094</v>
      </c>
      <c r="B670" s="280" t="s">
        <v>37</v>
      </c>
      <c r="C670" s="317" t="s">
        <v>10</v>
      </c>
      <c r="D670" s="318">
        <v>3</v>
      </c>
      <c r="E670" s="318">
        <v>81368</v>
      </c>
      <c r="F670" s="318">
        <v>244104</v>
      </c>
    </row>
    <row r="671" spans="1:6">
      <c r="A671" s="279" t="s">
        <v>1095</v>
      </c>
      <c r="B671" s="280" t="s">
        <v>38</v>
      </c>
      <c r="C671" s="317" t="s">
        <v>10</v>
      </c>
      <c r="D671" s="318">
        <v>6</v>
      </c>
      <c r="E671" s="318">
        <v>44202</v>
      </c>
      <c r="F671" s="318">
        <v>265212</v>
      </c>
    </row>
    <row r="672" spans="1:6">
      <c r="A672" s="279" t="s">
        <v>188</v>
      </c>
      <c r="B672" s="280" t="s">
        <v>39</v>
      </c>
      <c r="C672" s="317" t="s">
        <v>10</v>
      </c>
      <c r="D672" s="318">
        <v>1</v>
      </c>
      <c r="E672" s="318">
        <v>349504</v>
      </c>
      <c r="F672" s="318">
        <v>349504</v>
      </c>
    </row>
    <row r="673" spans="1:6">
      <c r="A673" s="279" t="s">
        <v>1096</v>
      </c>
      <c r="B673" s="280" t="s">
        <v>40</v>
      </c>
      <c r="C673" s="317" t="s">
        <v>10</v>
      </c>
      <c r="D673" s="318">
        <v>4</v>
      </c>
      <c r="E673" s="318">
        <v>174023</v>
      </c>
      <c r="F673" s="318">
        <v>696092</v>
      </c>
    </row>
    <row r="674" spans="1:6">
      <c r="A674" s="279" t="s">
        <v>1097</v>
      </c>
      <c r="B674" s="280" t="s">
        <v>30</v>
      </c>
      <c r="C674" s="317" t="s">
        <v>10</v>
      </c>
      <c r="D674" s="318">
        <v>2</v>
      </c>
      <c r="E674" s="318">
        <v>77505</v>
      </c>
      <c r="F674" s="318">
        <v>155010</v>
      </c>
    </row>
    <row r="675" spans="1:6">
      <c r="A675" s="279" t="s">
        <v>1098</v>
      </c>
      <c r="B675" s="280" t="s">
        <v>41</v>
      </c>
      <c r="C675" s="317" t="s">
        <v>10</v>
      </c>
      <c r="D675" s="318">
        <v>5</v>
      </c>
      <c r="E675" s="318">
        <v>40462</v>
      </c>
      <c r="F675" s="318">
        <v>202310</v>
      </c>
    </row>
    <row r="676" spans="1:6">
      <c r="A676" s="279" t="s">
        <v>1099</v>
      </c>
      <c r="B676" s="280" t="s">
        <v>156</v>
      </c>
      <c r="C676" s="317" t="s">
        <v>10</v>
      </c>
      <c r="D676" s="318">
        <v>4</v>
      </c>
      <c r="E676" s="318">
        <v>660772</v>
      </c>
      <c r="F676" s="318">
        <v>2643088</v>
      </c>
    </row>
    <row r="677" spans="1:6">
      <c r="A677" s="279" t="s">
        <v>1100</v>
      </c>
      <c r="B677" s="280" t="s">
        <v>178</v>
      </c>
      <c r="C677" s="317" t="s">
        <v>10</v>
      </c>
      <c r="D677" s="318">
        <v>2</v>
      </c>
      <c r="E677" s="318">
        <v>291999</v>
      </c>
      <c r="F677" s="318">
        <v>583998</v>
      </c>
    </row>
    <row r="678" spans="1:6">
      <c r="A678" s="279" t="s">
        <v>1101</v>
      </c>
      <c r="B678" s="280" t="s">
        <v>157</v>
      </c>
      <c r="C678" s="317" t="s">
        <v>10</v>
      </c>
      <c r="D678" s="318">
        <v>4</v>
      </c>
      <c r="E678" s="318">
        <v>185483</v>
      </c>
      <c r="F678" s="318">
        <v>741932</v>
      </c>
    </row>
    <row r="679" spans="1:6">
      <c r="A679" s="279" t="s">
        <v>1102</v>
      </c>
      <c r="B679" s="280" t="s">
        <v>42</v>
      </c>
      <c r="C679" s="317" t="s">
        <v>10</v>
      </c>
      <c r="D679" s="318">
        <v>1</v>
      </c>
      <c r="E679" s="318">
        <v>125536</v>
      </c>
      <c r="F679" s="318">
        <v>125536</v>
      </c>
    </row>
    <row r="680" spans="1:6">
      <c r="A680" s="279" t="s">
        <v>1103</v>
      </c>
      <c r="B680" s="280" t="s">
        <v>43</v>
      </c>
      <c r="C680" s="317" t="s">
        <v>10</v>
      </c>
      <c r="D680" s="318">
        <v>2</v>
      </c>
      <c r="E680" s="318">
        <v>467248</v>
      </c>
      <c r="F680" s="318">
        <v>934496</v>
      </c>
    </row>
    <row r="681" spans="1:6">
      <c r="A681" s="279" t="s">
        <v>1104</v>
      </c>
      <c r="B681" s="280" t="s">
        <v>44</v>
      </c>
      <c r="C681" s="317" t="s">
        <v>10</v>
      </c>
      <c r="D681" s="318">
        <v>2</v>
      </c>
      <c r="E681" s="318">
        <v>343696</v>
      </c>
      <c r="F681" s="318">
        <v>687392</v>
      </c>
    </row>
    <row r="682" spans="1:6">
      <c r="A682" s="279" t="s">
        <v>189</v>
      </c>
      <c r="B682" s="280" t="s">
        <v>45</v>
      </c>
      <c r="C682" s="317" t="s">
        <v>10</v>
      </c>
      <c r="D682" s="318">
        <v>1</v>
      </c>
      <c r="E682" s="318">
        <v>583345</v>
      </c>
      <c r="F682" s="318">
        <v>583345</v>
      </c>
    </row>
    <row r="683" spans="1:6">
      <c r="A683" s="279" t="s">
        <v>1105</v>
      </c>
      <c r="B683" s="280" t="s">
        <v>46</v>
      </c>
      <c r="C683" s="317" t="s">
        <v>10</v>
      </c>
      <c r="D683" s="318">
        <v>2</v>
      </c>
      <c r="E683" s="318">
        <v>196775</v>
      </c>
      <c r="F683" s="318">
        <v>393550</v>
      </c>
    </row>
    <row r="684" spans="1:6">
      <c r="A684" s="279" t="s">
        <v>1106</v>
      </c>
      <c r="B684" s="280" t="s">
        <v>47</v>
      </c>
      <c r="C684" s="317" t="s">
        <v>10</v>
      </c>
      <c r="D684" s="318">
        <v>2</v>
      </c>
      <c r="E684" s="318">
        <v>135593</v>
      </c>
      <c r="F684" s="318">
        <v>271186</v>
      </c>
    </row>
    <row r="685" spans="1:6">
      <c r="A685" s="279">
        <v>4.4000000000000004</v>
      </c>
      <c r="B685" s="280" t="s">
        <v>731</v>
      </c>
      <c r="C685" s="317"/>
      <c r="D685" s="318"/>
      <c r="E685" s="318"/>
      <c r="F685" s="318"/>
    </row>
    <row r="686" spans="1:6">
      <c r="A686" s="279" t="s">
        <v>118</v>
      </c>
      <c r="B686" s="280" t="s">
        <v>1107</v>
      </c>
      <c r="C686" s="317" t="s">
        <v>10</v>
      </c>
      <c r="D686" s="318">
        <v>1</v>
      </c>
      <c r="E686" s="318">
        <v>637450</v>
      </c>
      <c r="F686" s="318">
        <v>637450</v>
      </c>
    </row>
    <row r="687" spans="1:6">
      <c r="A687" s="279" t="s">
        <v>660</v>
      </c>
      <c r="B687" s="280" t="s">
        <v>1108</v>
      </c>
      <c r="C687" s="317" t="s">
        <v>10</v>
      </c>
      <c r="D687" s="318">
        <v>1</v>
      </c>
      <c r="E687" s="318">
        <v>63187</v>
      </c>
      <c r="F687" s="318">
        <v>63187</v>
      </c>
    </row>
    <row r="688" spans="1:6">
      <c r="A688" s="279" t="s">
        <v>120</v>
      </c>
      <c r="B688" s="280" t="s">
        <v>1109</v>
      </c>
      <c r="C688" s="317" t="s">
        <v>10</v>
      </c>
      <c r="D688" s="318">
        <v>1</v>
      </c>
      <c r="E688" s="318">
        <v>76869</v>
      </c>
      <c r="F688" s="318">
        <v>76869</v>
      </c>
    </row>
    <row r="689" spans="1:6">
      <c r="A689" s="279" t="s">
        <v>661</v>
      </c>
      <c r="B689" s="280" t="s">
        <v>1110</v>
      </c>
      <c r="C689" s="317" t="s">
        <v>10</v>
      </c>
      <c r="D689" s="318">
        <v>1</v>
      </c>
      <c r="E689" s="318">
        <v>109254</v>
      </c>
      <c r="F689" s="318">
        <v>109254</v>
      </c>
    </row>
    <row r="690" spans="1:6">
      <c r="A690" s="279" t="s">
        <v>662</v>
      </c>
      <c r="B690" s="280" t="s">
        <v>1111</v>
      </c>
      <c r="C690" s="317" t="s">
        <v>10</v>
      </c>
      <c r="D690" s="318">
        <v>1</v>
      </c>
      <c r="E690" s="318">
        <v>126218</v>
      </c>
      <c r="F690" s="318">
        <v>126218</v>
      </c>
    </row>
    <row r="691" spans="1:6">
      <c r="A691" s="279" t="s">
        <v>664</v>
      </c>
      <c r="B691" s="280" t="s">
        <v>1112</v>
      </c>
      <c r="C691" s="317" t="s">
        <v>10</v>
      </c>
      <c r="D691" s="318">
        <v>1</v>
      </c>
      <c r="E691" s="318">
        <v>234785</v>
      </c>
      <c r="F691" s="318">
        <v>234785</v>
      </c>
    </row>
    <row r="692" spans="1:6">
      <c r="A692" s="279" t="s">
        <v>122</v>
      </c>
      <c r="B692" s="280" t="s">
        <v>1113</v>
      </c>
      <c r="C692" s="317" t="s">
        <v>10</v>
      </c>
      <c r="D692" s="318">
        <v>1</v>
      </c>
      <c r="E692" s="318">
        <v>135593</v>
      </c>
      <c r="F692" s="318">
        <v>135593</v>
      </c>
    </row>
    <row r="693" spans="1:6">
      <c r="A693" s="279" t="s">
        <v>124</v>
      </c>
      <c r="B693" s="280" t="s">
        <v>1114</v>
      </c>
      <c r="C693" s="317" t="s">
        <v>10</v>
      </c>
      <c r="D693" s="318">
        <v>1</v>
      </c>
      <c r="E693" s="318">
        <v>84200</v>
      </c>
      <c r="F693" s="318">
        <v>84200</v>
      </c>
    </row>
    <row r="694" spans="1:6">
      <c r="A694" s="279" t="s">
        <v>665</v>
      </c>
      <c r="B694" s="280" t="s">
        <v>1115</v>
      </c>
      <c r="C694" s="317" t="s">
        <v>10</v>
      </c>
      <c r="D694" s="318">
        <v>1</v>
      </c>
      <c r="E694" s="318">
        <v>90425</v>
      </c>
      <c r="F694" s="318">
        <v>90425</v>
      </c>
    </row>
    <row r="695" spans="1:6">
      <c r="A695" s="279" t="s">
        <v>83</v>
      </c>
      <c r="B695" s="280" t="s">
        <v>1116</v>
      </c>
      <c r="C695" s="317" t="s">
        <v>10</v>
      </c>
      <c r="D695" s="318">
        <v>1</v>
      </c>
      <c r="E695" s="318">
        <v>537680</v>
      </c>
      <c r="F695" s="318">
        <v>537680</v>
      </c>
    </row>
    <row r="696" spans="1:6">
      <c r="A696" s="279" t="s">
        <v>666</v>
      </c>
      <c r="B696" s="280" t="s">
        <v>1117</v>
      </c>
      <c r="C696" s="317" t="s">
        <v>10</v>
      </c>
      <c r="D696" s="318">
        <v>1</v>
      </c>
      <c r="E696" s="318">
        <v>1485164</v>
      </c>
      <c r="F696" s="318">
        <v>1485164</v>
      </c>
    </row>
    <row r="697" spans="1:6">
      <c r="A697" s="279">
        <v>4.5</v>
      </c>
      <c r="B697" s="280" t="s">
        <v>50</v>
      </c>
      <c r="C697" s="317"/>
      <c r="D697" s="318"/>
      <c r="E697" s="318"/>
      <c r="F697" s="318"/>
    </row>
    <row r="698" spans="1:6">
      <c r="A698" s="279" t="s">
        <v>678</v>
      </c>
      <c r="B698" s="280" t="s">
        <v>163</v>
      </c>
      <c r="C698" s="317" t="s">
        <v>10</v>
      </c>
      <c r="D698" s="318">
        <v>595</v>
      </c>
      <c r="E698" s="318">
        <v>83240</v>
      </c>
      <c r="F698" s="318">
        <v>49527800</v>
      </c>
    </row>
    <row r="699" spans="1:6">
      <c r="A699" s="279" t="s">
        <v>679</v>
      </c>
      <c r="B699" s="280" t="s">
        <v>69</v>
      </c>
      <c r="C699" s="317" t="s">
        <v>10</v>
      </c>
      <c r="D699" s="318">
        <v>595</v>
      </c>
      <c r="E699" s="318">
        <v>22006</v>
      </c>
      <c r="F699" s="318">
        <v>13093570</v>
      </c>
    </row>
    <row r="700" spans="1:6">
      <c r="A700" s="279" t="s">
        <v>1118</v>
      </c>
      <c r="B700" s="280" t="s">
        <v>51</v>
      </c>
      <c r="C700" s="317" t="s">
        <v>10</v>
      </c>
      <c r="D700" s="318">
        <v>595</v>
      </c>
      <c r="E700" s="318">
        <v>462</v>
      </c>
      <c r="F700" s="318">
        <v>274890</v>
      </c>
    </row>
    <row r="701" spans="1:6">
      <c r="A701" s="279" t="s">
        <v>1119</v>
      </c>
      <c r="B701" s="280" t="s">
        <v>52</v>
      </c>
      <c r="C701" s="317" t="s">
        <v>10</v>
      </c>
      <c r="D701" s="318">
        <v>595.05999999999995</v>
      </c>
      <c r="E701" s="318">
        <v>2726</v>
      </c>
      <c r="F701" s="318">
        <v>1622133.5599999998</v>
      </c>
    </row>
    <row r="702" spans="1:6">
      <c r="A702" s="279" t="s">
        <v>1120</v>
      </c>
      <c r="B702" s="280" t="s">
        <v>168</v>
      </c>
      <c r="C702" s="317" t="s">
        <v>10</v>
      </c>
      <c r="D702" s="318">
        <v>1190</v>
      </c>
      <c r="E702" s="318">
        <v>2391</v>
      </c>
      <c r="F702" s="318">
        <v>2845290</v>
      </c>
    </row>
    <row r="703" spans="1:6">
      <c r="A703" s="279" t="s">
        <v>1121</v>
      </c>
      <c r="B703" s="280" t="s">
        <v>170</v>
      </c>
      <c r="C703" s="317" t="s">
        <v>10</v>
      </c>
      <c r="D703" s="318">
        <v>595</v>
      </c>
      <c r="E703" s="318">
        <v>75197</v>
      </c>
      <c r="F703" s="318">
        <v>44742215</v>
      </c>
    </row>
    <row r="704" spans="1:6">
      <c r="A704" s="279" t="s">
        <v>1122</v>
      </c>
      <c r="B704" s="280" t="s">
        <v>172</v>
      </c>
      <c r="C704" s="317" t="s">
        <v>10</v>
      </c>
      <c r="D704" s="318">
        <v>595</v>
      </c>
      <c r="E704" s="318">
        <v>27047</v>
      </c>
      <c r="F704" s="318">
        <v>16092965</v>
      </c>
    </row>
    <row r="705" spans="1:6">
      <c r="A705" s="279" t="s">
        <v>1123</v>
      </c>
      <c r="B705" s="280" t="s">
        <v>174</v>
      </c>
      <c r="C705" s="317" t="s">
        <v>67</v>
      </c>
      <c r="D705" s="318">
        <v>1190</v>
      </c>
      <c r="E705" s="318">
        <v>2055</v>
      </c>
      <c r="F705" s="318">
        <v>2445450</v>
      </c>
    </row>
    <row r="706" spans="1:6">
      <c r="A706" s="279" t="s">
        <v>1124</v>
      </c>
      <c r="B706" s="280" t="s">
        <v>176</v>
      </c>
      <c r="C706" s="317" t="s">
        <v>10</v>
      </c>
      <c r="D706" s="318">
        <v>595</v>
      </c>
      <c r="E706" s="318">
        <v>18387</v>
      </c>
      <c r="F706" s="318">
        <v>10940265</v>
      </c>
    </row>
    <row r="707" spans="1:6">
      <c r="A707" s="541" t="s">
        <v>1125</v>
      </c>
      <c r="B707" s="542"/>
      <c r="C707" s="542"/>
      <c r="D707" s="542"/>
      <c r="E707" s="543"/>
      <c r="F707" s="296">
        <f>SUM(F650:F706,0)</f>
        <v>277374162.27999997</v>
      </c>
    </row>
    <row r="708" spans="1:6">
      <c r="A708" s="278">
        <v>5</v>
      </c>
      <c r="B708" s="532" t="s">
        <v>738</v>
      </c>
      <c r="C708" s="533"/>
      <c r="D708" s="533"/>
      <c r="E708" s="533"/>
      <c r="F708" s="534"/>
    </row>
    <row r="709" spans="1:6">
      <c r="A709" s="279">
        <v>5.0999999999999996</v>
      </c>
      <c r="B709" s="280" t="s">
        <v>29</v>
      </c>
      <c r="C709" s="317"/>
      <c r="D709" s="318"/>
      <c r="E709" s="318"/>
      <c r="F709" s="318"/>
    </row>
    <row r="710" spans="1:6">
      <c r="A710" s="279" t="s">
        <v>687</v>
      </c>
      <c r="B710" s="280" t="s">
        <v>144</v>
      </c>
      <c r="C710" s="317" t="s">
        <v>67</v>
      </c>
      <c r="D710" s="318">
        <v>385.23</v>
      </c>
      <c r="E710" s="318">
        <v>20974</v>
      </c>
      <c r="F710" s="318">
        <v>8079814.0200000005</v>
      </c>
    </row>
    <row r="711" spans="1:6">
      <c r="A711" s="279" t="s">
        <v>688</v>
      </c>
      <c r="B711" s="280" t="s">
        <v>177</v>
      </c>
      <c r="C711" s="317" t="s">
        <v>67</v>
      </c>
      <c r="D711" s="318">
        <v>112.11</v>
      </c>
      <c r="E711" s="318">
        <v>33961</v>
      </c>
      <c r="F711" s="318">
        <v>3807367.71</v>
      </c>
    </row>
    <row r="712" spans="1:6">
      <c r="A712" s="279" t="s">
        <v>1126</v>
      </c>
      <c r="B712" s="280" t="s">
        <v>146</v>
      </c>
      <c r="C712" s="317" t="s">
        <v>67</v>
      </c>
      <c r="D712" s="318">
        <v>1267.58</v>
      </c>
      <c r="E712" s="318">
        <v>72086</v>
      </c>
      <c r="F712" s="318">
        <v>91374771.879999995</v>
      </c>
    </row>
    <row r="713" spans="1:6">
      <c r="A713" s="279" t="s">
        <v>1127</v>
      </c>
      <c r="B713" s="280" t="s">
        <v>751</v>
      </c>
      <c r="C713" s="317" t="s">
        <v>10</v>
      </c>
      <c r="D713" s="318">
        <v>4</v>
      </c>
      <c r="E713" s="318">
        <v>1763595</v>
      </c>
      <c r="F713" s="318">
        <v>7054380</v>
      </c>
    </row>
    <row r="714" spans="1:6">
      <c r="A714" s="279">
        <v>5.2</v>
      </c>
      <c r="B714" s="280" t="s">
        <v>12</v>
      </c>
      <c r="C714" s="317"/>
      <c r="D714" s="318"/>
      <c r="E714" s="318"/>
      <c r="F714" s="318"/>
    </row>
    <row r="715" spans="1:6">
      <c r="A715" s="279" t="s">
        <v>689</v>
      </c>
      <c r="B715" s="280" t="s">
        <v>70</v>
      </c>
      <c r="C715" s="317" t="s">
        <v>4</v>
      </c>
      <c r="D715" s="318">
        <v>41.94</v>
      </c>
      <c r="E715" s="318">
        <v>3435</v>
      </c>
      <c r="F715" s="318">
        <v>144063.9</v>
      </c>
    </row>
    <row r="716" spans="1:6">
      <c r="A716" s="279">
        <v>5.3</v>
      </c>
      <c r="B716" s="280" t="s">
        <v>31</v>
      </c>
      <c r="C716" s="317"/>
      <c r="D716" s="318"/>
      <c r="E716" s="318"/>
      <c r="F716" s="318"/>
    </row>
    <row r="717" spans="1:6">
      <c r="A717" s="279" t="s">
        <v>696</v>
      </c>
      <c r="B717" s="280" t="s">
        <v>32</v>
      </c>
      <c r="C717" s="317" t="s">
        <v>10</v>
      </c>
      <c r="D717" s="318">
        <v>1</v>
      </c>
      <c r="E717" s="318">
        <v>331255</v>
      </c>
      <c r="F717" s="318">
        <v>331255</v>
      </c>
    </row>
    <row r="718" spans="1:6">
      <c r="A718" s="279" t="s">
        <v>697</v>
      </c>
      <c r="B718" s="280" t="s">
        <v>1056</v>
      </c>
      <c r="C718" s="317" t="s">
        <v>10</v>
      </c>
      <c r="D718" s="318">
        <v>1</v>
      </c>
      <c r="E718" s="318">
        <v>126541</v>
      </c>
      <c r="F718" s="318">
        <v>126541</v>
      </c>
    </row>
    <row r="719" spans="1:6">
      <c r="A719" s="279" t="s">
        <v>698</v>
      </c>
      <c r="B719" s="280" t="s">
        <v>150</v>
      </c>
      <c r="C719" s="317" t="s">
        <v>10</v>
      </c>
      <c r="D719" s="318">
        <v>3</v>
      </c>
      <c r="E719" s="318">
        <v>65822</v>
      </c>
      <c r="F719" s="318">
        <v>197466</v>
      </c>
    </row>
    <row r="720" spans="1:6">
      <c r="A720" s="279" t="s">
        <v>699</v>
      </c>
      <c r="B720" s="280" t="s">
        <v>33</v>
      </c>
      <c r="C720" s="317" t="s">
        <v>10</v>
      </c>
      <c r="D720" s="318">
        <v>2</v>
      </c>
      <c r="E720" s="318">
        <v>242111</v>
      </c>
      <c r="F720" s="318">
        <v>484222</v>
      </c>
    </row>
    <row r="721" spans="1:6">
      <c r="A721" s="279" t="s">
        <v>700</v>
      </c>
      <c r="B721" s="280" t="s">
        <v>34</v>
      </c>
      <c r="C721" s="317" t="s">
        <v>10</v>
      </c>
      <c r="D721" s="318">
        <v>3</v>
      </c>
      <c r="E721" s="318">
        <v>90796</v>
      </c>
      <c r="F721" s="318">
        <v>272388</v>
      </c>
    </row>
    <row r="722" spans="1:6">
      <c r="A722" s="279" t="s">
        <v>701</v>
      </c>
      <c r="B722" s="280" t="s">
        <v>35</v>
      </c>
      <c r="C722" s="317" t="s">
        <v>10</v>
      </c>
      <c r="D722" s="318">
        <v>3</v>
      </c>
      <c r="E722" s="318">
        <v>44790</v>
      </c>
      <c r="F722" s="318">
        <v>134370</v>
      </c>
    </row>
    <row r="723" spans="1:6">
      <c r="A723" s="279" t="s">
        <v>702</v>
      </c>
      <c r="B723" s="280" t="s">
        <v>36</v>
      </c>
      <c r="C723" s="317" t="s">
        <v>10</v>
      </c>
      <c r="D723" s="318">
        <v>3</v>
      </c>
      <c r="E723" s="318">
        <v>194150</v>
      </c>
      <c r="F723" s="318">
        <v>582450</v>
      </c>
    </row>
    <row r="724" spans="1:6">
      <c r="A724" s="279" t="s">
        <v>703</v>
      </c>
      <c r="B724" s="280" t="s">
        <v>37</v>
      </c>
      <c r="C724" s="317" t="s">
        <v>10</v>
      </c>
      <c r="D724" s="318">
        <v>3</v>
      </c>
      <c r="E724" s="318">
        <v>81368</v>
      </c>
      <c r="F724" s="318">
        <v>244104</v>
      </c>
    </row>
    <row r="725" spans="1:6">
      <c r="A725" s="279" t="s">
        <v>1128</v>
      </c>
      <c r="B725" s="280" t="s">
        <v>38</v>
      </c>
      <c r="C725" s="317" t="s">
        <v>10</v>
      </c>
      <c r="D725" s="318">
        <v>6</v>
      </c>
      <c r="E725" s="318">
        <v>44202</v>
      </c>
      <c r="F725" s="318">
        <v>265212</v>
      </c>
    </row>
    <row r="726" spans="1:6">
      <c r="A726" s="279" t="s">
        <v>1129</v>
      </c>
      <c r="B726" s="280" t="s">
        <v>40</v>
      </c>
      <c r="C726" s="317" t="s">
        <v>10</v>
      </c>
      <c r="D726" s="318">
        <v>4</v>
      </c>
      <c r="E726" s="318">
        <v>174023</v>
      </c>
      <c r="F726" s="318">
        <v>696092</v>
      </c>
    </row>
    <row r="727" spans="1:6">
      <c r="A727" s="279" t="s">
        <v>1130</v>
      </c>
      <c r="B727" s="280" t="s">
        <v>30</v>
      </c>
      <c r="C727" s="317" t="s">
        <v>10</v>
      </c>
      <c r="D727" s="318">
        <v>3</v>
      </c>
      <c r="E727" s="318">
        <v>77505</v>
      </c>
      <c r="F727" s="318">
        <v>232515</v>
      </c>
    </row>
    <row r="728" spans="1:6">
      <c r="A728" s="279" t="s">
        <v>1131</v>
      </c>
      <c r="B728" s="280" t="s">
        <v>41</v>
      </c>
      <c r="C728" s="317" t="s">
        <v>10</v>
      </c>
      <c r="D728" s="318">
        <v>5</v>
      </c>
      <c r="E728" s="318">
        <v>40462</v>
      </c>
      <c r="F728" s="318">
        <v>202310</v>
      </c>
    </row>
    <row r="729" spans="1:6">
      <c r="A729" s="279" t="s">
        <v>1132</v>
      </c>
      <c r="B729" s="280" t="s">
        <v>156</v>
      </c>
      <c r="C729" s="317" t="s">
        <v>10</v>
      </c>
      <c r="D729" s="318">
        <v>5</v>
      </c>
      <c r="E729" s="318">
        <v>660772</v>
      </c>
      <c r="F729" s="318">
        <v>3303860</v>
      </c>
    </row>
    <row r="730" spans="1:6">
      <c r="A730" s="279" t="s">
        <v>1133</v>
      </c>
      <c r="B730" s="280" t="s">
        <v>178</v>
      </c>
      <c r="C730" s="317" t="s">
        <v>10</v>
      </c>
      <c r="D730" s="318">
        <v>3</v>
      </c>
      <c r="E730" s="318">
        <v>291999</v>
      </c>
      <c r="F730" s="318">
        <v>875997</v>
      </c>
    </row>
    <row r="731" spans="1:6">
      <c r="A731" s="279" t="s">
        <v>1134</v>
      </c>
      <c r="B731" s="280" t="s">
        <v>157</v>
      </c>
      <c r="C731" s="317" t="s">
        <v>10</v>
      </c>
      <c r="D731" s="318">
        <v>3</v>
      </c>
      <c r="E731" s="318">
        <v>185483</v>
      </c>
      <c r="F731" s="318">
        <v>556449</v>
      </c>
    </row>
    <row r="732" spans="1:6">
      <c r="A732" s="279" t="s">
        <v>1135</v>
      </c>
      <c r="B732" s="280" t="s">
        <v>1136</v>
      </c>
      <c r="C732" s="317" t="s">
        <v>10</v>
      </c>
      <c r="D732" s="318">
        <v>1</v>
      </c>
      <c r="E732" s="318">
        <v>628389</v>
      </c>
      <c r="F732" s="318">
        <v>628389</v>
      </c>
    </row>
    <row r="733" spans="1:6">
      <c r="A733" s="279" t="s">
        <v>1137</v>
      </c>
      <c r="B733" s="280" t="s">
        <v>42</v>
      </c>
      <c r="C733" s="317" t="s">
        <v>10</v>
      </c>
      <c r="D733" s="318">
        <v>1</v>
      </c>
      <c r="E733" s="318">
        <v>125536</v>
      </c>
      <c r="F733" s="318">
        <v>125536</v>
      </c>
    </row>
    <row r="734" spans="1:6">
      <c r="A734" s="279" t="s">
        <v>1138</v>
      </c>
      <c r="B734" s="280" t="s">
        <v>43</v>
      </c>
      <c r="C734" s="317" t="s">
        <v>10</v>
      </c>
      <c r="D734" s="318">
        <v>2</v>
      </c>
      <c r="E734" s="318">
        <v>467248</v>
      </c>
      <c r="F734" s="318">
        <v>934496</v>
      </c>
    </row>
    <row r="735" spans="1:6">
      <c r="A735" s="279" t="s">
        <v>1139</v>
      </c>
      <c r="B735" s="280" t="s">
        <v>44</v>
      </c>
      <c r="C735" s="317" t="s">
        <v>10</v>
      </c>
      <c r="D735" s="318">
        <v>3</v>
      </c>
      <c r="E735" s="318">
        <v>343696</v>
      </c>
      <c r="F735" s="318">
        <v>1031088</v>
      </c>
    </row>
    <row r="736" spans="1:6">
      <c r="A736" s="279" t="s">
        <v>1140</v>
      </c>
      <c r="B736" s="280" t="s">
        <v>45</v>
      </c>
      <c r="C736" s="317" t="s">
        <v>10</v>
      </c>
      <c r="D736" s="318">
        <v>2</v>
      </c>
      <c r="E736" s="318">
        <v>583345</v>
      </c>
      <c r="F736" s="318">
        <v>1166690</v>
      </c>
    </row>
    <row r="737" spans="1:6">
      <c r="A737" s="279" t="s">
        <v>1141</v>
      </c>
      <c r="B737" s="280" t="s">
        <v>47</v>
      </c>
      <c r="C737" s="317" t="s">
        <v>10</v>
      </c>
      <c r="D737" s="318">
        <v>2</v>
      </c>
      <c r="E737" s="318">
        <v>135593</v>
      </c>
      <c r="F737" s="318">
        <v>271186</v>
      </c>
    </row>
    <row r="738" spans="1:6">
      <c r="A738" s="279" t="s">
        <v>190</v>
      </c>
      <c r="B738" s="280" t="s">
        <v>49</v>
      </c>
      <c r="C738" s="317" t="s">
        <v>10</v>
      </c>
      <c r="D738" s="318">
        <v>1</v>
      </c>
      <c r="E738" s="318">
        <v>69124</v>
      </c>
      <c r="F738" s="318">
        <v>69124</v>
      </c>
    </row>
    <row r="739" spans="1:6">
      <c r="A739" s="279">
        <v>5.4</v>
      </c>
      <c r="B739" s="280" t="s">
        <v>50</v>
      </c>
      <c r="C739" s="317"/>
      <c r="D739" s="318"/>
      <c r="E739" s="318"/>
      <c r="F739" s="318"/>
    </row>
    <row r="740" spans="1:6">
      <c r="A740" s="279" t="s">
        <v>704</v>
      </c>
      <c r="B740" s="280" t="s">
        <v>163</v>
      </c>
      <c r="C740" s="317" t="s">
        <v>10</v>
      </c>
      <c r="D740" s="318">
        <v>595</v>
      </c>
      <c r="E740" s="318">
        <v>83240</v>
      </c>
      <c r="F740" s="318">
        <v>49527800</v>
      </c>
    </row>
    <row r="741" spans="1:6">
      <c r="A741" s="279" t="s">
        <v>705</v>
      </c>
      <c r="B741" s="280" t="s">
        <v>69</v>
      </c>
      <c r="C741" s="317" t="s">
        <v>10</v>
      </c>
      <c r="D741" s="318">
        <v>595</v>
      </c>
      <c r="E741" s="318">
        <v>22006</v>
      </c>
      <c r="F741" s="318">
        <v>13093570</v>
      </c>
    </row>
    <row r="742" spans="1:6">
      <c r="A742" s="279" t="s">
        <v>127</v>
      </c>
      <c r="B742" s="280" t="s">
        <v>51</v>
      </c>
      <c r="C742" s="317" t="s">
        <v>10</v>
      </c>
      <c r="D742" s="318">
        <v>595</v>
      </c>
      <c r="E742" s="318">
        <v>462</v>
      </c>
      <c r="F742" s="318">
        <v>274890</v>
      </c>
    </row>
    <row r="743" spans="1:6">
      <c r="A743" s="279" t="s">
        <v>706</v>
      </c>
      <c r="B743" s="280" t="s">
        <v>52</v>
      </c>
      <c r="C743" s="317" t="s">
        <v>10</v>
      </c>
      <c r="D743" s="318">
        <v>1190</v>
      </c>
      <c r="E743" s="318">
        <v>2726</v>
      </c>
      <c r="F743" s="318">
        <v>3243940</v>
      </c>
    </row>
    <row r="744" spans="1:6">
      <c r="A744" s="279" t="s">
        <v>707</v>
      </c>
      <c r="B744" s="280" t="s">
        <v>168</v>
      </c>
      <c r="C744" s="317" t="s">
        <v>10</v>
      </c>
      <c r="D744" s="318">
        <v>1190</v>
      </c>
      <c r="E744" s="318">
        <v>2391</v>
      </c>
      <c r="F744" s="318">
        <v>2845290</v>
      </c>
    </row>
    <row r="745" spans="1:6">
      <c r="A745" s="279" t="s">
        <v>708</v>
      </c>
      <c r="B745" s="280" t="s">
        <v>170</v>
      </c>
      <c r="C745" s="317" t="s">
        <v>10</v>
      </c>
      <c r="D745" s="318">
        <v>595</v>
      </c>
      <c r="E745" s="318">
        <v>75197</v>
      </c>
      <c r="F745" s="318">
        <v>44742215</v>
      </c>
    </row>
    <row r="746" spans="1:6">
      <c r="A746" s="279" t="s">
        <v>709</v>
      </c>
      <c r="B746" s="280" t="s">
        <v>172</v>
      </c>
      <c r="C746" s="317" t="s">
        <v>10</v>
      </c>
      <c r="D746" s="318">
        <v>595</v>
      </c>
      <c r="E746" s="318">
        <v>27047</v>
      </c>
      <c r="F746" s="318">
        <v>16092965</v>
      </c>
    </row>
    <row r="747" spans="1:6">
      <c r="A747" s="279" t="s">
        <v>710</v>
      </c>
      <c r="B747" s="280" t="s">
        <v>174</v>
      </c>
      <c r="C747" s="317" t="s">
        <v>67</v>
      </c>
      <c r="D747" s="318">
        <v>1190</v>
      </c>
      <c r="E747" s="318">
        <v>2055</v>
      </c>
      <c r="F747" s="318">
        <v>2445450</v>
      </c>
    </row>
    <row r="748" spans="1:6">
      <c r="A748" s="279" t="s">
        <v>711</v>
      </c>
      <c r="B748" s="280" t="s">
        <v>176</v>
      </c>
      <c r="C748" s="317" t="s">
        <v>10</v>
      </c>
      <c r="D748" s="318">
        <v>595</v>
      </c>
      <c r="E748" s="318">
        <v>18387</v>
      </c>
      <c r="F748" s="318">
        <v>10940265</v>
      </c>
    </row>
    <row r="749" spans="1:6">
      <c r="A749" s="541" t="s">
        <v>1142</v>
      </c>
      <c r="B749" s="542"/>
      <c r="C749" s="542"/>
      <c r="D749" s="542"/>
      <c r="E749" s="543"/>
      <c r="F749" s="296">
        <f>SUM(F709:F748,0)</f>
        <v>266398522.50999999</v>
      </c>
    </row>
    <row r="750" spans="1:6">
      <c r="A750" s="297">
        <v>6</v>
      </c>
      <c r="B750" s="291" t="s">
        <v>797</v>
      </c>
      <c r="C750" s="556"/>
      <c r="D750" s="557"/>
      <c r="E750" s="557"/>
      <c r="F750" s="558"/>
    </row>
    <row r="751" spans="1:6">
      <c r="A751" s="279">
        <v>6.1</v>
      </c>
      <c r="B751" s="280" t="s">
        <v>29</v>
      </c>
      <c r="C751" s="317"/>
      <c r="D751" s="318"/>
      <c r="E751" s="318"/>
      <c r="F751" s="318"/>
    </row>
    <row r="752" spans="1:6">
      <c r="A752" s="279" t="s">
        <v>739</v>
      </c>
      <c r="B752" s="280" t="s">
        <v>144</v>
      </c>
      <c r="C752" s="317" t="s">
        <v>67</v>
      </c>
      <c r="D752" s="318">
        <v>1177.8399999999999</v>
      </c>
      <c r="E752" s="318">
        <v>20974</v>
      </c>
      <c r="F752" s="318">
        <v>24704016.159999996</v>
      </c>
    </row>
    <row r="753" spans="1:6">
      <c r="A753" s="279" t="s">
        <v>740</v>
      </c>
      <c r="B753" s="280" t="s">
        <v>177</v>
      </c>
      <c r="C753" s="317" t="s">
        <v>67</v>
      </c>
      <c r="D753" s="318">
        <v>657.56</v>
      </c>
      <c r="E753" s="318">
        <v>33961</v>
      </c>
      <c r="F753" s="318">
        <v>22331395.159999996</v>
      </c>
    </row>
    <row r="754" spans="1:6">
      <c r="A754" s="279" t="s">
        <v>1143</v>
      </c>
      <c r="B754" s="280" t="s">
        <v>146</v>
      </c>
      <c r="C754" s="317" t="s">
        <v>67</v>
      </c>
      <c r="D754" s="318">
        <v>517.13</v>
      </c>
      <c r="E754" s="318">
        <v>72086</v>
      </c>
      <c r="F754" s="318">
        <v>37277833.18</v>
      </c>
    </row>
    <row r="755" spans="1:6">
      <c r="A755" s="279" t="s">
        <v>1144</v>
      </c>
      <c r="B755" s="280" t="s">
        <v>180</v>
      </c>
      <c r="C755" s="317" t="s">
        <v>67</v>
      </c>
      <c r="D755" s="318">
        <v>725.47</v>
      </c>
      <c r="E755" s="318">
        <v>122930</v>
      </c>
      <c r="F755" s="318">
        <v>89182027.100000009</v>
      </c>
    </row>
    <row r="756" spans="1:6">
      <c r="A756" s="279" t="s">
        <v>1145</v>
      </c>
      <c r="B756" s="280" t="s">
        <v>1069</v>
      </c>
      <c r="C756" s="317" t="s">
        <v>10</v>
      </c>
      <c r="D756" s="318">
        <v>1</v>
      </c>
      <c r="E756" s="318">
        <v>2343631</v>
      </c>
      <c r="F756" s="318">
        <v>2343631</v>
      </c>
    </row>
    <row r="757" spans="1:6">
      <c r="A757" s="279" t="s">
        <v>1146</v>
      </c>
      <c r="B757" s="280" t="s">
        <v>751</v>
      </c>
      <c r="C757" s="317" t="s">
        <v>10</v>
      </c>
      <c r="D757" s="318">
        <v>5</v>
      </c>
      <c r="E757" s="318">
        <v>1763595</v>
      </c>
      <c r="F757" s="318">
        <v>8817975</v>
      </c>
    </row>
    <row r="758" spans="1:6">
      <c r="A758" s="279" t="s">
        <v>1147</v>
      </c>
      <c r="B758" s="280" t="s">
        <v>1052</v>
      </c>
      <c r="C758" s="317" t="s">
        <v>10</v>
      </c>
      <c r="D758" s="318">
        <v>1</v>
      </c>
      <c r="E758" s="318">
        <v>1339471</v>
      </c>
      <c r="F758" s="318">
        <v>1339471</v>
      </c>
    </row>
    <row r="759" spans="1:6">
      <c r="A759" s="279" t="s">
        <v>1148</v>
      </c>
      <c r="B759" s="280" t="s">
        <v>1050</v>
      </c>
      <c r="C759" s="317" t="s">
        <v>10</v>
      </c>
      <c r="D759" s="318">
        <v>3</v>
      </c>
      <c r="E759" s="318">
        <v>1187213</v>
      </c>
      <c r="F759" s="318">
        <v>3561639</v>
      </c>
    </row>
    <row r="760" spans="1:6">
      <c r="A760" s="279">
        <v>6.2</v>
      </c>
      <c r="B760" s="280" t="s">
        <v>12</v>
      </c>
      <c r="C760" s="317"/>
      <c r="D760" s="318"/>
      <c r="E760" s="318"/>
      <c r="F760" s="318"/>
    </row>
    <row r="761" spans="1:6">
      <c r="A761" s="279" t="s">
        <v>741</v>
      </c>
      <c r="B761" s="280" t="s">
        <v>70</v>
      </c>
      <c r="C761" s="317" t="s">
        <v>4</v>
      </c>
      <c r="D761" s="318">
        <v>41.94</v>
      </c>
      <c r="E761" s="318">
        <v>3435</v>
      </c>
      <c r="F761" s="318">
        <v>144063.9</v>
      </c>
    </row>
    <row r="762" spans="1:6">
      <c r="A762" s="279">
        <v>6.3</v>
      </c>
      <c r="B762" s="280" t="s">
        <v>31</v>
      </c>
      <c r="C762" s="317"/>
      <c r="D762" s="318"/>
      <c r="E762" s="318"/>
      <c r="F762" s="318"/>
    </row>
    <row r="763" spans="1:6">
      <c r="A763" s="279" t="s">
        <v>748</v>
      </c>
      <c r="B763" s="280" t="s">
        <v>32</v>
      </c>
      <c r="C763" s="317" t="s">
        <v>10</v>
      </c>
      <c r="D763" s="318">
        <v>1</v>
      </c>
      <c r="E763" s="318">
        <v>331255</v>
      </c>
      <c r="F763" s="318">
        <v>331255</v>
      </c>
    </row>
    <row r="764" spans="1:6">
      <c r="A764" s="279" t="s">
        <v>749</v>
      </c>
      <c r="B764" s="280" t="s">
        <v>1056</v>
      </c>
      <c r="C764" s="317" t="s">
        <v>10</v>
      </c>
      <c r="D764" s="318">
        <v>1</v>
      </c>
      <c r="E764" s="318">
        <v>126541</v>
      </c>
      <c r="F764" s="318">
        <v>126541</v>
      </c>
    </row>
    <row r="765" spans="1:6">
      <c r="A765" s="279" t="s">
        <v>132</v>
      </c>
      <c r="B765" s="280" t="s">
        <v>150</v>
      </c>
      <c r="C765" s="317" t="s">
        <v>10</v>
      </c>
      <c r="D765" s="318">
        <v>3</v>
      </c>
      <c r="E765" s="318">
        <v>65822</v>
      </c>
      <c r="F765" s="318">
        <v>197466</v>
      </c>
    </row>
    <row r="766" spans="1:6">
      <c r="A766" s="279" t="s">
        <v>750</v>
      </c>
      <c r="B766" s="280" t="s">
        <v>33</v>
      </c>
      <c r="C766" s="317" t="s">
        <v>10</v>
      </c>
      <c r="D766" s="318">
        <v>2</v>
      </c>
      <c r="E766" s="318">
        <v>242111</v>
      </c>
      <c r="F766" s="318">
        <v>484222</v>
      </c>
    </row>
    <row r="767" spans="1:6">
      <c r="A767" s="279" t="s">
        <v>1149</v>
      </c>
      <c r="B767" s="280" t="s">
        <v>34</v>
      </c>
      <c r="C767" s="317" t="s">
        <v>10</v>
      </c>
      <c r="D767" s="318">
        <v>3</v>
      </c>
      <c r="E767" s="318">
        <v>90796</v>
      </c>
      <c r="F767" s="318">
        <v>272388</v>
      </c>
    </row>
    <row r="768" spans="1:6">
      <c r="A768" s="279" t="s">
        <v>1150</v>
      </c>
      <c r="B768" s="280" t="s">
        <v>35</v>
      </c>
      <c r="C768" s="317" t="s">
        <v>10</v>
      </c>
      <c r="D768" s="318">
        <v>2</v>
      </c>
      <c r="E768" s="318">
        <v>44790</v>
      </c>
      <c r="F768" s="318">
        <v>89580</v>
      </c>
    </row>
    <row r="769" spans="1:6">
      <c r="A769" s="279" t="s">
        <v>1151</v>
      </c>
      <c r="B769" s="280" t="s">
        <v>185</v>
      </c>
      <c r="C769" s="317" t="s">
        <v>10</v>
      </c>
      <c r="D769" s="318">
        <v>2</v>
      </c>
      <c r="E769" s="318">
        <v>406368</v>
      </c>
      <c r="F769" s="318">
        <v>812736</v>
      </c>
    </row>
    <row r="770" spans="1:6">
      <c r="A770" s="279" t="s">
        <v>1152</v>
      </c>
      <c r="B770" s="280" t="s">
        <v>36</v>
      </c>
      <c r="C770" s="317" t="s">
        <v>10</v>
      </c>
      <c r="D770" s="318">
        <v>3</v>
      </c>
      <c r="E770" s="318">
        <v>194150</v>
      </c>
      <c r="F770" s="318">
        <v>582450</v>
      </c>
    </row>
    <row r="771" spans="1:6">
      <c r="A771" s="279" t="s">
        <v>1153</v>
      </c>
      <c r="B771" s="280" t="s">
        <v>37</v>
      </c>
      <c r="C771" s="317" t="s">
        <v>10</v>
      </c>
      <c r="D771" s="318">
        <v>3</v>
      </c>
      <c r="E771" s="318">
        <v>81368</v>
      </c>
      <c r="F771" s="318">
        <v>244104</v>
      </c>
    </row>
    <row r="772" spans="1:6">
      <c r="A772" s="279" t="s">
        <v>1154</v>
      </c>
      <c r="B772" s="280" t="s">
        <v>38</v>
      </c>
      <c r="C772" s="317" t="s">
        <v>10</v>
      </c>
      <c r="D772" s="318">
        <v>6</v>
      </c>
      <c r="E772" s="318">
        <v>44202</v>
      </c>
      <c r="F772" s="318">
        <v>265212</v>
      </c>
    </row>
    <row r="773" spans="1:6">
      <c r="A773" s="279" t="s">
        <v>1155</v>
      </c>
      <c r="B773" s="280" t="s">
        <v>39</v>
      </c>
      <c r="C773" s="317" t="s">
        <v>10</v>
      </c>
      <c r="D773" s="318">
        <v>1</v>
      </c>
      <c r="E773" s="318">
        <v>349504</v>
      </c>
      <c r="F773" s="318">
        <v>349504</v>
      </c>
    </row>
    <row r="774" spans="1:6">
      <c r="A774" s="279" t="s">
        <v>1156</v>
      </c>
      <c r="B774" s="280" t="s">
        <v>40</v>
      </c>
      <c r="C774" s="317" t="s">
        <v>10</v>
      </c>
      <c r="D774" s="318">
        <v>4</v>
      </c>
      <c r="E774" s="318">
        <v>174023</v>
      </c>
      <c r="F774" s="318">
        <v>696092</v>
      </c>
    </row>
    <row r="775" spans="1:6">
      <c r="A775" s="279" t="s">
        <v>1157</v>
      </c>
      <c r="B775" s="280" t="s">
        <v>30</v>
      </c>
      <c r="C775" s="317" t="s">
        <v>10</v>
      </c>
      <c r="D775" s="318">
        <v>3</v>
      </c>
      <c r="E775" s="318">
        <v>77505</v>
      </c>
      <c r="F775" s="318">
        <v>232515</v>
      </c>
    </row>
    <row r="776" spans="1:6">
      <c r="A776" s="279" t="s">
        <v>1158</v>
      </c>
      <c r="B776" s="280" t="s">
        <v>41</v>
      </c>
      <c r="C776" s="317" t="s">
        <v>10</v>
      </c>
      <c r="D776" s="318">
        <v>5</v>
      </c>
      <c r="E776" s="318">
        <v>40462</v>
      </c>
      <c r="F776" s="318">
        <v>202310</v>
      </c>
    </row>
    <row r="777" spans="1:6">
      <c r="A777" s="279" t="s">
        <v>1159</v>
      </c>
      <c r="B777" s="280" t="s">
        <v>1078</v>
      </c>
      <c r="C777" s="317" t="s">
        <v>10</v>
      </c>
      <c r="D777" s="318">
        <v>3</v>
      </c>
      <c r="E777" s="318">
        <v>794781</v>
      </c>
      <c r="F777" s="318">
        <v>2384343</v>
      </c>
    </row>
    <row r="778" spans="1:6">
      <c r="A778" s="279" t="s">
        <v>1160</v>
      </c>
      <c r="B778" s="280" t="s">
        <v>156</v>
      </c>
      <c r="C778" s="317" t="s">
        <v>10</v>
      </c>
      <c r="D778" s="318">
        <v>5</v>
      </c>
      <c r="E778" s="318">
        <v>660772</v>
      </c>
      <c r="F778" s="318">
        <v>3303860</v>
      </c>
    </row>
    <row r="779" spans="1:6">
      <c r="A779" s="279" t="s">
        <v>1161</v>
      </c>
      <c r="B779" s="280" t="s">
        <v>178</v>
      </c>
      <c r="C779" s="317" t="s">
        <v>10</v>
      </c>
      <c r="D779" s="318">
        <v>3</v>
      </c>
      <c r="E779" s="318">
        <v>291999</v>
      </c>
      <c r="F779" s="318">
        <v>875997</v>
      </c>
    </row>
    <row r="780" spans="1:6">
      <c r="A780" s="279" t="s">
        <v>1162</v>
      </c>
      <c r="B780" s="280" t="s">
        <v>157</v>
      </c>
      <c r="C780" s="317" t="s">
        <v>10</v>
      </c>
      <c r="D780" s="318">
        <v>3</v>
      </c>
      <c r="E780" s="318">
        <v>185483</v>
      </c>
      <c r="F780" s="318">
        <v>556449</v>
      </c>
    </row>
    <row r="781" spans="1:6">
      <c r="A781" s="279" t="s">
        <v>1163</v>
      </c>
      <c r="B781" s="280" t="s">
        <v>1136</v>
      </c>
      <c r="C781" s="317" t="s">
        <v>10</v>
      </c>
      <c r="D781" s="318">
        <v>1</v>
      </c>
      <c r="E781" s="318">
        <v>628389</v>
      </c>
      <c r="F781" s="318">
        <v>628389</v>
      </c>
    </row>
    <row r="782" spans="1:6">
      <c r="A782" s="279" t="s">
        <v>1164</v>
      </c>
      <c r="B782" s="280" t="s">
        <v>42</v>
      </c>
      <c r="C782" s="317" t="s">
        <v>10</v>
      </c>
      <c r="D782" s="318">
        <v>1</v>
      </c>
      <c r="E782" s="318">
        <v>125536</v>
      </c>
      <c r="F782" s="318">
        <v>125536</v>
      </c>
    </row>
    <row r="783" spans="1:6">
      <c r="A783" s="279" t="s">
        <v>1165</v>
      </c>
      <c r="B783" s="280" t="s">
        <v>43</v>
      </c>
      <c r="C783" s="317" t="s">
        <v>10</v>
      </c>
      <c r="D783" s="318">
        <v>2</v>
      </c>
      <c r="E783" s="318">
        <v>467248</v>
      </c>
      <c r="F783" s="318">
        <v>934496</v>
      </c>
    </row>
    <row r="784" spans="1:6">
      <c r="A784" s="279" t="s">
        <v>1166</v>
      </c>
      <c r="B784" s="280" t="s">
        <v>44</v>
      </c>
      <c r="C784" s="317" t="s">
        <v>10</v>
      </c>
      <c r="D784" s="318">
        <v>3</v>
      </c>
      <c r="E784" s="318">
        <v>343696</v>
      </c>
      <c r="F784" s="318">
        <v>1031088</v>
      </c>
    </row>
    <row r="785" spans="1:6">
      <c r="A785" s="279" t="s">
        <v>1167</v>
      </c>
      <c r="B785" s="280" t="s">
        <v>45</v>
      </c>
      <c r="C785" s="317" t="s">
        <v>10</v>
      </c>
      <c r="D785" s="318">
        <v>2</v>
      </c>
      <c r="E785" s="318">
        <v>583345</v>
      </c>
      <c r="F785" s="318">
        <v>1166690</v>
      </c>
    </row>
    <row r="786" spans="1:6">
      <c r="A786" s="279" t="s">
        <v>1168</v>
      </c>
      <c r="B786" s="280" t="s">
        <v>46</v>
      </c>
      <c r="C786" s="317" t="s">
        <v>10</v>
      </c>
      <c r="D786" s="318">
        <v>3</v>
      </c>
      <c r="E786" s="318">
        <v>196775</v>
      </c>
      <c r="F786" s="318">
        <v>590325</v>
      </c>
    </row>
    <row r="787" spans="1:6">
      <c r="A787" s="279" t="s">
        <v>1169</v>
      </c>
      <c r="B787" s="280" t="s">
        <v>47</v>
      </c>
      <c r="C787" s="317" t="s">
        <v>10</v>
      </c>
      <c r="D787" s="318">
        <v>2</v>
      </c>
      <c r="E787" s="318">
        <v>135593</v>
      </c>
      <c r="F787" s="318">
        <v>271186</v>
      </c>
    </row>
    <row r="788" spans="1:6">
      <c r="A788" s="279" t="s">
        <v>1170</v>
      </c>
      <c r="B788" s="280" t="s">
        <v>49</v>
      </c>
      <c r="C788" s="317" t="s">
        <v>10</v>
      </c>
      <c r="D788" s="318">
        <v>1</v>
      </c>
      <c r="E788" s="318">
        <v>69124</v>
      </c>
      <c r="F788" s="318">
        <v>69124</v>
      </c>
    </row>
    <row r="789" spans="1:6">
      <c r="A789" s="279">
        <v>6.4</v>
      </c>
      <c r="B789" s="280" t="s">
        <v>50</v>
      </c>
      <c r="C789" s="317"/>
      <c r="D789" s="318"/>
      <c r="E789" s="318"/>
      <c r="F789" s="318"/>
    </row>
    <row r="790" spans="1:6">
      <c r="A790" s="279" t="s">
        <v>753</v>
      </c>
      <c r="B790" s="280" t="s">
        <v>163</v>
      </c>
      <c r="C790" s="317" t="s">
        <v>10</v>
      </c>
      <c r="D790" s="318">
        <v>595</v>
      </c>
      <c r="E790" s="318">
        <v>83240</v>
      </c>
      <c r="F790" s="318">
        <v>49527800</v>
      </c>
    </row>
    <row r="791" spans="1:6">
      <c r="A791" s="279" t="s">
        <v>754</v>
      </c>
      <c r="B791" s="280" t="s">
        <v>69</v>
      </c>
      <c r="C791" s="317" t="s">
        <v>10</v>
      </c>
      <c r="D791" s="318">
        <v>595</v>
      </c>
      <c r="E791" s="318">
        <v>22006</v>
      </c>
      <c r="F791" s="318">
        <v>13093570</v>
      </c>
    </row>
    <row r="792" spans="1:6">
      <c r="A792" s="279" t="s">
        <v>755</v>
      </c>
      <c r="B792" s="280" t="s">
        <v>51</v>
      </c>
      <c r="C792" s="317" t="s">
        <v>10</v>
      </c>
      <c r="D792" s="318">
        <v>595</v>
      </c>
      <c r="E792" s="318">
        <v>462</v>
      </c>
      <c r="F792" s="318">
        <v>274890</v>
      </c>
    </row>
    <row r="793" spans="1:6">
      <c r="A793" s="279" t="s">
        <v>756</v>
      </c>
      <c r="B793" s="280" t="s">
        <v>52</v>
      </c>
      <c r="C793" s="317" t="s">
        <v>10</v>
      </c>
      <c r="D793" s="318">
        <v>595.05999999999995</v>
      </c>
      <c r="E793" s="318">
        <v>2726</v>
      </c>
      <c r="F793" s="318">
        <v>1622133.5599999998</v>
      </c>
    </row>
    <row r="794" spans="1:6">
      <c r="A794" s="279" t="s">
        <v>758</v>
      </c>
      <c r="B794" s="280" t="s">
        <v>168</v>
      </c>
      <c r="C794" s="317" t="s">
        <v>10</v>
      </c>
      <c r="D794" s="318">
        <v>1190</v>
      </c>
      <c r="E794" s="318">
        <v>2391</v>
      </c>
      <c r="F794" s="318">
        <v>2845290</v>
      </c>
    </row>
    <row r="795" spans="1:6">
      <c r="A795" s="279" t="s">
        <v>759</v>
      </c>
      <c r="B795" s="280" t="s">
        <v>170</v>
      </c>
      <c r="C795" s="317" t="s">
        <v>10</v>
      </c>
      <c r="D795" s="318">
        <v>595</v>
      </c>
      <c r="E795" s="318">
        <v>75197</v>
      </c>
      <c r="F795" s="318">
        <v>44742215</v>
      </c>
    </row>
    <row r="796" spans="1:6">
      <c r="A796" s="279" t="s">
        <v>761</v>
      </c>
      <c r="B796" s="280" t="s">
        <v>172</v>
      </c>
      <c r="C796" s="317" t="s">
        <v>10</v>
      </c>
      <c r="D796" s="318">
        <v>595</v>
      </c>
      <c r="E796" s="318">
        <v>27047</v>
      </c>
      <c r="F796" s="318">
        <v>16092965</v>
      </c>
    </row>
    <row r="797" spans="1:6">
      <c r="A797" s="279" t="s">
        <v>763</v>
      </c>
      <c r="B797" s="280" t="s">
        <v>174</v>
      </c>
      <c r="C797" s="317" t="s">
        <v>67</v>
      </c>
      <c r="D797" s="318">
        <v>1190</v>
      </c>
      <c r="E797" s="318">
        <v>2055</v>
      </c>
      <c r="F797" s="318">
        <v>2445450</v>
      </c>
    </row>
    <row r="798" spans="1:6">
      <c r="A798" s="279" t="s">
        <v>765</v>
      </c>
      <c r="B798" s="280" t="s">
        <v>176</v>
      </c>
      <c r="C798" s="317" t="s">
        <v>10</v>
      </c>
      <c r="D798" s="318">
        <v>595</v>
      </c>
      <c r="E798" s="318">
        <v>18387</v>
      </c>
      <c r="F798" s="318">
        <v>10940265</v>
      </c>
    </row>
    <row r="799" spans="1:6">
      <c r="A799" s="541" t="s">
        <v>1171</v>
      </c>
      <c r="B799" s="542"/>
      <c r="C799" s="542"/>
      <c r="D799" s="542"/>
      <c r="E799" s="542"/>
      <c r="F799" s="319">
        <f>SUM(F752:F798,0)</f>
        <v>348110488.06</v>
      </c>
    </row>
    <row r="800" spans="1:6">
      <c r="A800" s="278">
        <v>7</v>
      </c>
      <c r="B800" s="532" t="s">
        <v>839</v>
      </c>
      <c r="C800" s="533"/>
      <c r="D800" s="533"/>
      <c r="E800" s="533"/>
      <c r="F800" s="534"/>
    </row>
    <row r="801" spans="1:6">
      <c r="A801" s="279">
        <v>7.1</v>
      </c>
      <c r="B801" s="280" t="s">
        <v>29</v>
      </c>
      <c r="C801" s="317"/>
      <c r="D801" s="318"/>
      <c r="E801" s="318"/>
      <c r="F801" s="318"/>
    </row>
    <row r="802" spans="1:6">
      <c r="A802" s="279" t="s">
        <v>798</v>
      </c>
      <c r="B802" s="280" t="s">
        <v>144</v>
      </c>
      <c r="C802" s="317" t="s">
        <v>67</v>
      </c>
      <c r="D802" s="318">
        <v>1278.27</v>
      </c>
      <c r="E802" s="318">
        <v>20974</v>
      </c>
      <c r="F802" s="318">
        <v>26810434.98</v>
      </c>
    </row>
    <row r="803" spans="1:6">
      <c r="A803" s="279" t="s">
        <v>799</v>
      </c>
      <c r="B803" s="280" t="s">
        <v>146</v>
      </c>
      <c r="C803" s="317" t="s">
        <v>67</v>
      </c>
      <c r="D803" s="318">
        <v>106.28</v>
      </c>
      <c r="E803" s="318">
        <v>72086</v>
      </c>
      <c r="F803" s="318">
        <v>7661300.0800000001</v>
      </c>
    </row>
    <row r="804" spans="1:6">
      <c r="A804" s="279" t="s">
        <v>1172</v>
      </c>
      <c r="B804" s="280" t="s">
        <v>751</v>
      </c>
      <c r="C804" s="317" t="s">
        <v>10</v>
      </c>
      <c r="D804" s="318">
        <v>1</v>
      </c>
      <c r="E804" s="318">
        <v>1763595</v>
      </c>
      <c r="F804" s="318">
        <v>1763595</v>
      </c>
    </row>
    <row r="805" spans="1:6">
      <c r="A805" s="279" t="s">
        <v>1173</v>
      </c>
      <c r="B805" s="280" t="s">
        <v>1052</v>
      </c>
      <c r="C805" s="317" t="s">
        <v>10</v>
      </c>
      <c r="D805" s="318">
        <v>1</v>
      </c>
      <c r="E805" s="318">
        <v>1339471</v>
      </c>
      <c r="F805" s="318">
        <v>1339471</v>
      </c>
    </row>
    <row r="806" spans="1:6">
      <c r="A806" s="279" t="s">
        <v>1174</v>
      </c>
      <c r="B806" s="280" t="s">
        <v>1050</v>
      </c>
      <c r="C806" s="317" t="s">
        <v>10</v>
      </c>
      <c r="D806" s="318">
        <v>7</v>
      </c>
      <c r="E806" s="318">
        <v>1187213</v>
      </c>
      <c r="F806" s="318">
        <v>8310491</v>
      </c>
    </row>
    <row r="807" spans="1:6">
      <c r="A807" s="279">
        <v>7.2</v>
      </c>
      <c r="B807" s="280" t="s">
        <v>12</v>
      </c>
      <c r="C807" s="317"/>
      <c r="D807" s="318"/>
      <c r="E807" s="318"/>
      <c r="F807" s="318"/>
    </row>
    <row r="808" spans="1:6">
      <c r="A808" s="279" t="s">
        <v>800</v>
      </c>
      <c r="B808" s="280" t="s">
        <v>70</v>
      </c>
      <c r="C808" s="317" t="s">
        <v>4</v>
      </c>
      <c r="D808" s="318">
        <v>41.94</v>
      </c>
      <c r="E808" s="318">
        <v>3435</v>
      </c>
      <c r="F808" s="318">
        <v>144063.9</v>
      </c>
    </row>
    <row r="809" spans="1:6">
      <c r="A809" s="279">
        <v>7.3</v>
      </c>
      <c r="B809" s="280" t="s">
        <v>31</v>
      </c>
      <c r="C809" s="317"/>
      <c r="D809" s="318"/>
      <c r="E809" s="318"/>
      <c r="F809" s="318"/>
    </row>
    <row r="810" spans="1:6">
      <c r="A810" s="279" t="s">
        <v>807</v>
      </c>
      <c r="B810" s="280" t="s">
        <v>32</v>
      </c>
      <c r="C810" s="317" t="s">
        <v>10</v>
      </c>
      <c r="D810" s="318">
        <v>1</v>
      </c>
      <c r="E810" s="318">
        <v>331255</v>
      </c>
      <c r="F810" s="318">
        <v>331255</v>
      </c>
    </row>
    <row r="811" spans="1:6">
      <c r="A811" s="279" t="s">
        <v>808</v>
      </c>
      <c r="B811" s="280" t="s">
        <v>150</v>
      </c>
      <c r="C811" s="317" t="s">
        <v>10</v>
      </c>
      <c r="D811" s="318">
        <v>2</v>
      </c>
      <c r="E811" s="318">
        <v>65822</v>
      </c>
      <c r="F811" s="318">
        <v>131644</v>
      </c>
    </row>
    <row r="812" spans="1:6">
      <c r="A812" s="279" t="s">
        <v>809</v>
      </c>
      <c r="B812" s="280" t="s">
        <v>33</v>
      </c>
      <c r="C812" s="317" t="s">
        <v>10</v>
      </c>
      <c r="D812" s="318">
        <v>2</v>
      </c>
      <c r="E812" s="318">
        <v>242111</v>
      </c>
      <c r="F812" s="318">
        <v>484222</v>
      </c>
    </row>
    <row r="813" spans="1:6">
      <c r="A813" s="279" t="s">
        <v>133</v>
      </c>
      <c r="B813" s="280" t="s">
        <v>35</v>
      </c>
      <c r="C813" s="317" t="s">
        <v>10</v>
      </c>
      <c r="D813" s="318">
        <v>2</v>
      </c>
      <c r="E813" s="318">
        <v>44790</v>
      </c>
      <c r="F813" s="318">
        <v>89580</v>
      </c>
    </row>
    <row r="814" spans="1:6">
      <c r="A814" s="279" t="s">
        <v>810</v>
      </c>
      <c r="B814" s="280" t="s">
        <v>36</v>
      </c>
      <c r="C814" s="317" t="s">
        <v>10</v>
      </c>
      <c r="D814" s="318">
        <v>3</v>
      </c>
      <c r="E814" s="318">
        <v>194150</v>
      </c>
      <c r="F814" s="318">
        <v>582450</v>
      </c>
    </row>
    <row r="815" spans="1:6">
      <c r="A815" s="279" t="s">
        <v>811</v>
      </c>
      <c r="B815" s="280" t="s">
        <v>38</v>
      </c>
      <c r="C815" s="317" t="s">
        <v>10</v>
      </c>
      <c r="D815" s="318">
        <v>6</v>
      </c>
      <c r="E815" s="318">
        <v>44202</v>
      </c>
      <c r="F815" s="318">
        <v>265212</v>
      </c>
    </row>
    <row r="816" spans="1:6">
      <c r="A816" s="279" t="s">
        <v>812</v>
      </c>
      <c r="B816" s="280" t="s">
        <v>40</v>
      </c>
      <c r="C816" s="317" t="s">
        <v>10</v>
      </c>
      <c r="D816" s="318">
        <v>4</v>
      </c>
      <c r="E816" s="318">
        <v>174023</v>
      </c>
      <c r="F816" s="318">
        <v>696092</v>
      </c>
    </row>
    <row r="817" spans="1:6">
      <c r="A817" s="279" t="s">
        <v>813</v>
      </c>
      <c r="B817" s="280" t="s">
        <v>41</v>
      </c>
      <c r="C817" s="317" t="s">
        <v>10</v>
      </c>
      <c r="D817" s="318">
        <v>4</v>
      </c>
      <c r="E817" s="318">
        <v>40462</v>
      </c>
      <c r="F817" s="318">
        <v>161848</v>
      </c>
    </row>
    <row r="818" spans="1:6">
      <c r="A818" s="279" t="s">
        <v>1175</v>
      </c>
      <c r="B818" s="280" t="s">
        <v>156</v>
      </c>
      <c r="C818" s="317" t="s">
        <v>10</v>
      </c>
      <c r="D818" s="318">
        <v>3</v>
      </c>
      <c r="E818" s="318">
        <v>660772</v>
      </c>
      <c r="F818" s="318">
        <v>1982316</v>
      </c>
    </row>
    <row r="819" spans="1:6">
      <c r="A819" s="279" t="s">
        <v>1176</v>
      </c>
      <c r="B819" s="280" t="s">
        <v>157</v>
      </c>
      <c r="C819" s="317" t="s">
        <v>10</v>
      </c>
      <c r="D819" s="318">
        <v>3</v>
      </c>
      <c r="E819" s="318">
        <v>185483</v>
      </c>
      <c r="F819" s="318">
        <v>556449</v>
      </c>
    </row>
    <row r="820" spans="1:6">
      <c r="A820" s="279" t="s">
        <v>1177</v>
      </c>
      <c r="B820" s="280" t="s">
        <v>1136</v>
      </c>
      <c r="C820" s="317" t="s">
        <v>10</v>
      </c>
      <c r="D820" s="318">
        <v>1</v>
      </c>
      <c r="E820" s="318">
        <v>628389</v>
      </c>
      <c r="F820" s="318">
        <v>628389</v>
      </c>
    </row>
    <row r="821" spans="1:6">
      <c r="A821" s="279" t="s">
        <v>1178</v>
      </c>
      <c r="B821" s="280" t="s">
        <v>43</v>
      </c>
      <c r="C821" s="317" t="s">
        <v>10</v>
      </c>
      <c r="D821" s="318">
        <v>2</v>
      </c>
      <c r="E821" s="318">
        <v>467248</v>
      </c>
      <c r="F821" s="318">
        <v>934496</v>
      </c>
    </row>
    <row r="822" spans="1:6">
      <c r="A822" s="279" t="s">
        <v>1179</v>
      </c>
      <c r="B822" s="280" t="s">
        <v>44</v>
      </c>
      <c r="C822" s="317" t="s">
        <v>10</v>
      </c>
      <c r="D822" s="318">
        <v>2</v>
      </c>
      <c r="E822" s="318">
        <v>343696</v>
      </c>
      <c r="F822" s="318">
        <v>687392</v>
      </c>
    </row>
    <row r="823" spans="1:6">
      <c r="A823" s="279" t="s">
        <v>1180</v>
      </c>
      <c r="B823" s="280" t="s">
        <v>45</v>
      </c>
      <c r="C823" s="317" t="s">
        <v>10</v>
      </c>
      <c r="D823" s="318">
        <v>1</v>
      </c>
      <c r="E823" s="318">
        <v>583345</v>
      </c>
      <c r="F823" s="318">
        <v>583345</v>
      </c>
    </row>
    <row r="824" spans="1:6">
      <c r="A824" s="279" t="s">
        <v>1181</v>
      </c>
      <c r="B824" s="280" t="s">
        <v>47</v>
      </c>
      <c r="C824" s="317" t="s">
        <v>10</v>
      </c>
      <c r="D824" s="318">
        <v>2</v>
      </c>
      <c r="E824" s="318">
        <v>135593</v>
      </c>
      <c r="F824" s="318">
        <v>271186</v>
      </c>
    </row>
    <row r="825" spans="1:6">
      <c r="A825" s="279" t="s">
        <v>1182</v>
      </c>
      <c r="B825" s="280" t="s">
        <v>49</v>
      </c>
      <c r="C825" s="317" t="s">
        <v>10</v>
      </c>
      <c r="D825" s="318">
        <v>1</v>
      </c>
      <c r="E825" s="318">
        <v>69124</v>
      </c>
      <c r="F825" s="318">
        <v>69124</v>
      </c>
    </row>
    <row r="826" spans="1:6">
      <c r="A826" s="279">
        <v>7.4</v>
      </c>
      <c r="B826" s="280" t="s">
        <v>50</v>
      </c>
      <c r="C826" s="317"/>
      <c r="D826" s="318"/>
      <c r="E826" s="318"/>
      <c r="F826" s="318"/>
    </row>
    <row r="827" spans="1:6">
      <c r="A827" s="279" t="s">
        <v>814</v>
      </c>
      <c r="B827" s="280" t="s">
        <v>163</v>
      </c>
      <c r="C827" s="317" t="s">
        <v>10</v>
      </c>
      <c r="D827" s="318">
        <v>595</v>
      </c>
      <c r="E827" s="318">
        <v>83240</v>
      </c>
      <c r="F827" s="318">
        <v>49527800</v>
      </c>
    </row>
    <row r="828" spans="1:6">
      <c r="A828" s="279" t="s">
        <v>816</v>
      </c>
      <c r="B828" s="280" t="s">
        <v>69</v>
      </c>
      <c r="C828" s="317" t="s">
        <v>10</v>
      </c>
      <c r="D828" s="318">
        <v>595</v>
      </c>
      <c r="E828" s="318">
        <v>22006</v>
      </c>
      <c r="F828" s="318">
        <v>13093570</v>
      </c>
    </row>
    <row r="829" spans="1:6">
      <c r="A829" s="279" t="s">
        <v>818</v>
      </c>
      <c r="B829" s="280" t="s">
        <v>51</v>
      </c>
      <c r="C829" s="317" t="s">
        <v>10</v>
      </c>
      <c r="D829" s="318">
        <v>595</v>
      </c>
      <c r="E829" s="318">
        <v>462</v>
      </c>
      <c r="F829" s="318">
        <v>274890</v>
      </c>
    </row>
    <row r="830" spans="1:6">
      <c r="A830" s="279" t="s">
        <v>820</v>
      </c>
      <c r="B830" s="280" t="s">
        <v>52</v>
      </c>
      <c r="C830" s="317" t="s">
        <v>10</v>
      </c>
      <c r="D830" s="318">
        <v>595.05999999999995</v>
      </c>
      <c r="E830" s="318">
        <v>2726</v>
      </c>
      <c r="F830" s="318">
        <v>1622133.5599999998</v>
      </c>
    </row>
    <row r="831" spans="1:6">
      <c r="A831" s="279" t="s">
        <v>822</v>
      </c>
      <c r="B831" s="280" t="s">
        <v>168</v>
      </c>
      <c r="C831" s="317" t="s">
        <v>10</v>
      </c>
      <c r="D831" s="318">
        <v>1190</v>
      </c>
      <c r="E831" s="318">
        <v>2391</v>
      </c>
      <c r="F831" s="318">
        <v>2845290</v>
      </c>
    </row>
    <row r="832" spans="1:6">
      <c r="A832" s="279" t="s">
        <v>823</v>
      </c>
      <c r="B832" s="280" t="s">
        <v>170</v>
      </c>
      <c r="C832" s="317" t="s">
        <v>10</v>
      </c>
      <c r="D832" s="318">
        <v>595</v>
      </c>
      <c r="E832" s="318">
        <v>75197</v>
      </c>
      <c r="F832" s="318">
        <v>44742215</v>
      </c>
    </row>
    <row r="833" spans="1:6">
      <c r="A833" s="279" t="s">
        <v>137</v>
      </c>
      <c r="B833" s="280" t="s">
        <v>172</v>
      </c>
      <c r="C833" s="317" t="s">
        <v>10</v>
      </c>
      <c r="D833" s="318">
        <v>595</v>
      </c>
      <c r="E833" s="318">
        <v>27047</v>
      </c>
      <c r="F833" s="318">
        <v>16092965</v>
      </c>
    </row>
    <row r="834" spans="1:6">
      <c r="A834" s="279" t="s">
        <v>824</v>
      </c>
      <c r="B834" s="280" t="s">
        <v>174</v>
      </c>
      <c r="C834" s="317" t="s">
        <v>67</v>
      </c>
      <c r="D834" s="318">
        <v>1190</v>
      </c>
      <c r="E834" s="318">
        <v>2055</v>
      </c>
      <c r="F834" s="318">
        <v>2445450</v>
      </c>
    </row>
    <row r="835" spans="1:6">
      <c r="A835" s="279" t="s">
        <v>825</v>
      </c>
      <c r="B835" s="280" t="s">
        <v>176</v>
      </c>
      <c r="C835" s="317" t="s">
        <v>10</v>
      </c>
      <c r="D835" s="318">
        <v>595</v>
      </c>
      <c r="E835" s="318">
        <v>18387</v>
      </c>
      <c r="F835" s="318">
        <v>10940265</v>
      </c>
    </row>
    <row r="836" spans="1:6">
      <c r="A836" s="541" t="s">
        <v>1183</v>
      </c>
      <c r="B836" s="542"/>
      <c r="C836" s="542"/>
      <c r="D836" s="542"/>
      <c r="E836" s="543"/>
      <c r="F836" s="296">
        <f>SUM(F801:F835,0)</f>
        <v>196068934.52000001</v>
      </c>
    </row>
    <row r="837" spans="1:6">
      <c r="A837" s="278">
        <v>8</v>
      </c>
      <c r="B837" s="532" t="s">
        <v>890</v>
      </c>
      <c r="C837" s="533"/>
      <c r="D837" s="533"/>
      <c r="E837" s="533"/>
      <c r="F837" s="534"/>
    </row>
    <row r="838" spans="1:6">
      <c r="A838" s="279">
        <v>8.1</v>
      </c>
      <c r="B838" s="280" t="s">
        <v>29</v>
      </c>
      <c r="C838" s="317"/>
      <c r="D838" s="318"/>
      <c r="E838" s="318"/>
      <c r="F838" s="318"/>
    </row>
    <row r="839" spans="1:6">
      <c r="A839" s="279" t="s">
        <v>840</v>
      </c>
      <c r="B839" s="280" t="s">
        <v>144</v>
      </c>
      <c r="C839" s="317" t="s">
        <v>67</v>
      </c>
      <c r="D839" s="318">
        <v>3676.16</v>
      </c>
      <c r="E839" s="318">
        <v>20974</v>
      </c>
      <c r="F839" s="318">
        <v>77103779.840000004</v>
      </c>
    </row>
    <row r="840" spans="1:6">
      <c r="A840" s="279" t="s">
        <v>841</v>
      </c>
      <c r="B840" s="280" t="s">
        <v>177</v>
      </c>
      <c r="C840" s="317" t="s">
        <v>67</v>
      </c>
      <c r="D840" s="318">
        <v>163.94</v>
      </c>
      <c r="E840" s="318">
        <v>33961</v>
      </c>
      <c r="F840" s="318">
        <v>5567566.3399999999</v>
      </c>
    </row>
    <row r="841" spans="1:6">
      <c r="A841" s="279" t="s">
        <v>1184</v>
      </c>
      <c r="B841" s="280" t="s">
        <v>146</v>
      </c>
      <c r="C841" s="317" t="s">
        <v>67</v>
      </c>
      <c r="D841" s="318">
        <v>542.49</v>
      </c>
      <c r="E841" s="318">
        <v>72086</v>
      </c>
      <c r="F841" s="318">
        <v>39105934.140000001</v>
      </c>
    </row>
    <row r="842" spans="1:6">
      <c r="A842" s="279" t="s">
        <v>1185</v>
      </c>
      <c r="B842" s="280" t="s">
        <v>751</v>
      </c>
      <c r="C842" s="317" t="s">
        <v>10</v>
      </c>
      <c r="D842" s="318">
        <v>3</v>
      </c>
      <c r="E842" s="318">
        <v>1763595</v>
      </c>
      <c r="F842" s="318">
        <v>5290785</v>
      </c>
    </row>
    <row r="843" spans="1:6">
      <c r="A843" s="279" t="s">
        <v>1186</v>
      </c>
      <c r="B843" s="280" t="s">
        <v>1050</v>
      </c>
      <c r="C843" s="317" t="s">
        <v>10</v>
      </c>
      <c r="D843" s="318">
        <v>3</v>
      </c>
      <c r="E843" s="318">
        <v>1187213</v>
      </c>
      <c r="F843" s="318">
        <v>3561639</v>
      </c>
    </row>
    <row r="844" spans="1:6">
      <c r="A844" s="279">
        <v>8.1999999999999993</v>
      </c>
      <c r="B844" s="280" t="s">
        <v>12</v>
      </c>
      <c r="C844" s="317"/>
      <c r="D844" s="318"/>
      <c r="E844" s="318"/>
      <c r="F844" s="318"/>
    </row>
    <row r="845" spans="1:6">
      <c r="A845" s="279" t="s">
        <v>842</v>
      </c>
      <c r="B845" s="280" t="s">
        <v>70</v>
      </c>
      <c r="C845" s="317" t="s">
        <v>4</v>
      </c>
      <c r="D845" s="318">
        <v>41.94</v>
      </c>
      <c r="E845" s="318">
        <v>3435</v>
      </c>
      <c r="F845" s="318">
        <v>144063.9</v>
      </c>
    </row>
    <row r="846" spans="1:6">
      <c r="A846" s="279">
        <v>8.3000000000000007</v>
      </c>
      <c r="B846" s="280" t="s">
        <v>31</v>
      </c>
      <c r="C846" s="317"/>
      <c r="D846" s="318"/>
      <c r="E846" s="318"/>
      <c r="F846" s="318"/>
    </row>
    <row r="847" spans="1:6">
      <c r="A847" s="279" t="s">
        <v>849</v>
      </c>
      <c r="B847" s="280" t="s">
        <v>32</v>
      </c>
      <c r="C847" s="317" t="s">
        <v>10</v>
      </c>
      <c r="D847" s="318">
        <v>1</v>
      </c>
      <c r="E847" s="318">
        <v>331255</v>
      </c>
      <c r="F847" s="318">
        <v>331255</v>
      </c>
    </row>
    <row r="848" spans="1:6">
      <c r="A848" s="279" t="s">
        <v>850</v>
      </c>
      <c r="B848" s="280" t="s">
        <v>1056</v>
      </c>
      <c r="C848" s="317" t="s">
        <v>10</v>
      </c>
      <c r="D848" s="318">
        <v>1</v>
      </c>
      <c r="E848" s="318">
        <v>126541</v>
      </c>
      <c r="F848" s="318">
        <v>126541</v>
      </c>
    </row>
    <row r="849" spans="1:6">
      <c r="A849" s="279" t="s">
        <v>851</v>
      </c>
      <c r="B849" s="280" t="s">
        <v>150</v>
      </c>
      <c r="C849" s="317" t="s">
        <v>10</v>
      </c>
      <c r="D849" s="318">
        <v>2</v>
      </c>
      <c r="E849" s="318">
        <v>65822</v>
      </c>
      <c r="F849" s="318">
        <v>131644</v>
      </c>
    </row>
    <row r="850" spans="1:6">
      <c r="A850" s="279" t="s">
        <v>852</v>
      </c>
      <c r="B850" s="280" t="s">
        <v>33</v>
      </c>
      <c r="C850" s="317" t="s">
        <v>10</v>
      </c>
      <c r="D850" s="318">
        <v>2</v>
      </c>
      <c r="E850" s="318">
        <v>242111</v>
      </c>
      <c r="F850" s="318">
        <v>484222</v>
      </c>
    </row>
    <row r="851" spans="1:6">
      <c r="A851" s="279" t="s">
        <v>853</v>
      </c>
      <c r="B851" s="280" t="s">
        <v>34</v>
      </c>
      <c r="C851" s="317" t="s">
        <v>10</v>
      </c>
      <c r="D851" s="318">
        <v>3</v>
      </c>
      <c r="E851" s="318">
        <v>90796</v>
      </c>
      <c r="F851" s="318">
        <v>272388</v>
      </c>
    </row>
    <row r="852" spans="1:6">
      <c r="A852" s="279" t="s">
        <v>1187</v>
      </c>
      <c r="B852" s="280" t="s">
        <v>35</v>
      </c>
      <c r="C852" s="317" t="s">
        <v>10</v>
      </c>
      <c r="D852" s="318">
        <v>2</v>
      </c>
      <c r="E852" s="318">
        <v>44790</v>
      </c>
      <c r="F852" s="318">
        <v>89580</v>
      </c>
    </row>
    <row r="853" spans="1:6">
      <c r="A853" s="279" t="s">
        <v>1188</v>
      </c>
      <c r="B853" s="280" t="s">
        <v>36</v>
      </c>
      <c r="C853" s="317" t="s">
        <v>10</v>
      </c>
      <c r="D853" s="318">
        <v>2</v>
      </c>
      <c r="E853" s="318">
        <v>194150</v>
      </c>
      <c r="F853" s="318">
        <v>388300</v>
      </c>
    </row>
    <row r="854" spans="1:6">
      <c r="A854" s="279" t="s">
        <v>1189</v>
      </c>
      <c r="B854" s="280" t="s">
        <v>37</v>
      </c>
      <c r="C854" s="317" t="s">
        <v>10</v>
      </c>
      <c r="D854" s="318">
        <v>3</v>
      </c>
      <c r="E854" s="318">
        <v>81368</v>
      </c>
      <c r="F854" s="318">
        <v>244104</v>
      </c>
    </row>
    <row r="855" spans="1:6">
      <c r="A855" s="279" t="s">
        <v>1190</v>
      </c>
      <c r="B855" s="280" t="s">
        <v>38</v>
      </c>
      <c r="C855" s="317" t="s">
        <v>10</v>
      </c>
      <c r="D855" s="318">
        <v>6</v>
      </c>
      <c r="E855" s="318">
        <v>44202</v>
      </c>
      <c r="F855" s="318">
        <v>265212</v>
      </c>
    </row>
    <row r="856" spans="1:6">
      <c r="A856" s="279" t="s">
        <v>191</v>
      </c>
      <c r="B856" s="280" t="s">
        <v>40</v>
      </c>
      <c r="C856" s="317" t="s">
        <v>10</v>
      </c>
      <c r="D856" s="318">
        <v>4</v>
      </c>
      <c r="E856" s="318">
        <v>174023</v>
      </c>
      <c r="F856" s="318">
        <v>696092</v>
      </c>
    </row>
    <row r="857" spans="1:6">
      <c r="A857" s="279" t="s">
        <v>1191</v>
      </c>
      <c r="B857" s="280" t="s">
        <v>30</v>
      </c>
      <c r="C857" s="317" t="s">
        <v>10</v>
      </c>
      <c r="D857" s="318">
        <v>2</v>
      </c>
      <c r="E857" s="318">
        <v>77505</v>
      </c>
      <c r="F857" s="318">
        <v>155010</v>
      </c>
    </row>
    <row r="858" spans="1:6">
      <c r="A858" s="279" t="s">
        <v>1192</v>
      </c>
      <c r="B858" s="280" t="s">
        <v>41</v>
      </c>
      <c r="C858" s="317" t="s">
        <v>10</v>
      </c>
      <c r="D858" s="318">
        <v>4</v>
      </c>
      <c r="E858" s="318">
        <v>40462</v>
      </c>
      <c r="F858" s="318">
        <v>161848</v>
      </c>
    </row>
    <row r="859" spans="1:6">
      <c r="A859" s="279" t="s">
        <v>1193</v>
      </c>
      <c r="B859" s="280" t="s">
        <v>156</v>
      </c>
      <c r="C859" s="317" t="s">
        <v>10</v>
      </c>
      <c r="D859" s="318">
        <v>3</v>
      </c>
      <c r="E859" s="318">
        <v>660772</v>
      </c>
      <c r="F859" s="318">
        <v>1982316</v>
      </c>
    </row>
    <row r="860" spans="1:6">
      <c r="A860" s="279" t="s">
        <v>1194</v>
      </c>
      <c r="B860" s="280" t="s">
        <v>178</v>
      </c>
      <c r="C860" s="317" t="s">
        <v>10</v>
      </c>
      <c r="D860" s="318">
        <v>2</v>
      </c>
      <c r="E860" s="318">
        <v>291999</v>
      </c>
      <c r="F860" s="318">
        <v>583998</v>
      </c>
    </row>
    <row r="861" spans="1:6">
      <c r="A861" s="279" t="s">
        <v>1195</v>
      </c>
      <c r="B861" s="280" t="s">
        <v>157</v>
      </c>
      <c r="C861" s="317" t="s">
        <v>10</v>
      </c>
      <c r="D861" s="318">
        <v>3</v>
      </c>
      <c r="E861" s="318">
        <v>185483</v>
      </c>
      <c r="F861" s="318">
        <v>556449</v>
      </c>
    </row>
    <row r="862" spans="1:6">
      <c r="A862" s="279" t="s">
        <v>1196</v>
      </c>
      <c r="B862" s="280" t="s">
        <v>1136</v>
      </c>
      <c r="C862" s="317" t="s">
        <v>10</v>
      </c>
      <c r="D862" s="318">
        <v>1</v>
      </c>
      <c r="E862" s="318">
        <v>628389</v>
      </c>
      <c r="F862" s="318">
        <v>628389</v>
      </c>
    </row>
    <row r="863" spans="1:6">
      <c r="A863" s="279" t="s">
        <v>192</v>
      </c>
      <c r="B863" s="280" t="s">
        <v>42</v>
      </c>
      <c r="C863" s="317" t="s">
        <v>10</v>
      </c>
      <c r="D863" s="318">
        <v>1</v>
      </c>
      <c r="E863" s="318">
        <v>125536</v>
      </c>
      <c r="F863" s="318">
        <v>125536</v>
      </c>
    </row>
    <row r="864" spans="1:6">
      <c r="A864" s="279" t="s">
        <v>1197</v>
      </c>
      <c r="B864" s="280" t="s">
        <v>43</v>
      </c>
      <c r="C864" s="317" t="s">
        <v>10</v>
      </c>
      <c r="D864" s="318">
        <v>1</v>
      </c>
      <c r="E864" s="318">
        <v>467248</v>
      </c>
      <c r="F864" s="318">
        <v>467248</v>
      </c>
    </row>
    <row r="865" spans="1:6">
      <c r="A865" s="279" t="s">
        <v>1198</v>
      </c>
      <c r="B865" s="280" t="s">
        <v>44</v>
      </c>
      <c r="C865" s="317" t="s">
        <v>10</v>
      </c>
      <c r="D865" s="318">
        <v>2</v>
      </c>
      <c r="E865" s="318">
        <v>343696</v>
      </c>
      <c r="F865" s="318">
        <v>687392</v>
      </c>
    </row>
    <row r="866" spans="1:6">
      <c r="A866" s="279" t="s">
        <v>1199</v>
      </c>
      <c r="B866" s="280" t="s">
        <v>45</v>
      </c>
      <c r="C866" s="317" t="s">
        <v>10</v>
      </c>
      <c r="D866" s="318">
        <v>1</v>
      </c>
      <c r="E866" s="318">
        <v>583345</v>
      </c>
      <c r="F866" s="318">
        <v>583345</v>
      </c>
    </row>
    <row r="867" spans="1:6">
      <c r="A867" s="279" t="s">
        <v>1200</v>
      </c>
      <c r="B867" s="280" t="s">
        <v>47</v>
      </c>
      <c r="C867" s="317" t="s">
        <v>10</v>
      </c>
      <c r="D867" s="318">
        <v>1</v>
      </c>
      <c r="E867" s="318">
        <v>135593</v>
      </c>
      <c r="F867" s="318">
        <v>135593</v>
      </c>
    </row>
    <row r="868" spans="1:6">
      <c r="A868" s="279">
        <v>8.4</v>
      </c>
      <c r="B868" s="280" t="s">
        <v>50</v>
      </c>
      <c r="C868" s="317"/>
      <c r="D868" s="318"/>
      <c r="E868" s="318"/>
      <c r="F868" s="318"/>
    </row>
    <row r="869" spans="1:6">
      <c r="A869" s="279" t="s">
        <v>854</v>
      </c>
      <c r="B869" s="280" t="s">
        <v>163</v>
      </c>
      <c r="C869" s="317" t="s">
        <v>10</v>
      </c>
      <c r="D869" s="318">
        <v>595</v>
      </c>
      <c r="E869" s="318">
        <v>83240</v>
      </c>
      <c r="F869" s="318">
        <v>49527800</v>
      </c>
    </row>
    <row r="870" spans="1:6">
      <c r="A870" s="279" t="s">
        <v>855</v>
      </c>
      <c r="B870" s="280" t="s">
        <v>69</v>
      </c>
      <c r="C870" s="317" t="s">
        <v>10</v>
      </c>
      <c r="D870" s="318">
        <v>595</v>
      </c>
      <c r="E870" s="318">
        <v>22006</v>
      </c>
      <c r="F870" s="318">
        <v>13093570</v>
      </c>
    </row>
    <row r="871" spans="1:6">
      <c r="A871" s="279" t="s">
        <v>856</v>
      </c>
      <c r="B871" s="280" t="s">
        <v>51</v>
      </c>
      <c r="C871" s="317" t="s">
        <v>10</v>
      </c>
      <c r="D871" s="318">
        <v>595</v>
      </c>
      <c r="E871" s="318">
        <v>462</v>
      </c>
      <c r="F871" s="318">
        <v>274890</v>
      </c>
    </row>
    <row r="872" spans="1:6">
      <c r="A872" s="279" t="s">
        <v>857</v>
      </c>
      <c r="B872" s="280" t="s">
        <v>52</v>
      </c>
      <c r="C872" s="317" t="s">
        <v>10</v>
      </c>
      <c r="D872" s="318">
        <v>595.05999999999995</v>
      </c>
      <c r="E872" s="318">
        <v>2726</v>
      </c>
      <c r="F872" s="318">
        <v>1622133.5599999998</v>
      </c>
    </row>
    <row r="873" spans="1:6">
      <c r="A873" s="279" t="s">
        <v>858</v>
      </c>
      <c r="B873" s="280" t="s">
        <v>168</v>
      </c>
      <c r="C873" s="317" t="s">
        <v>10</v>
      </c>
      <c r="D873" s="318">
        <v>1190</v>
      </c>
      <c r="E873" s="318">
        <v>2391</v>
      </c>
      <c r="F873" s="318">
        <v>2845290</v>
      </c>
    </row>
    <row r="874" spans="1:6">
      <c r="A874" s="279" t="s">
        <v>859</v>
      </c>
      <c r="B874" s="280" t="s">
        <v>170</v>
      </c>
      <c r="C874" s="317" t="s">
        <v>10</v>
      </c>
      <c r="D874" s="318">
        <v>595</v>
      </c>
      <c r="E874" s="318">
        <v>75197</v>
      </c>
      <c r="F874" s="318">
        <v>44742215</v>
      </c>
    </row>
    <row r="875" spans="1:6">
      <c r="A875" s="279" t="s">
        <v>860</v>
      </c>
      <c r="B875" s="280" t="s">
        <v>172</v>
      </c>
      <c r="C875" s="317" t="s">
        <v>10</v>
      </c>
      <c r="D875" s="318">
        <v>595.05999999999995</v>
      </c>
      <c r="E875" s="318">
        <v>27047</v>
      </c>
      <c r="F875" s="318">
        <v>16094587.819999998</v>
      </c>
    </row>
    <row r="876" spans="1:6">
      <c r="A876" s="279" t="s">
        <v>861</v>
      </c>
      <c r="B876" s="280" t="s">
        <v>174</v>
      </c>
      <c r="C876" s="317" t="s">
        <v>67</v>
      </c>
      <c r="D876" s="318">
        <v>1190</v>
      </c>
      <c r="E876" s="318">
        <v>2055</v>
      </c>
      <c r="F876" s="318">
        <v>2445450</v>
      </c>
    </row>
    <row r="877" spans="1:6">
      <c r="A877" s="279" t="s">
        <v>862</v>
      </c>
      <c r="B877" s="280" t="s">
        <v>1201</v>
      </c>
      <c r="C877" s="317" t="s">
        <v>10</v>
      </c>
      <c r="D877" s="318">
        <v>595</v>
      </c>
      <c r="E877" s="318">
        <v>18387</v>
      </c>
      <c r="F877" s="318">
        <v>10940265</v>
      </c>
    </row>
    <row r="878" spans="1:6">
      <c r="A878" s="541" t="s">
        <v>1202</v>
      </c>
      <c r="B878" s="542"/>
      <c r="C878" s="542"/>
      <c r="D878" s="542"/>
      <c r="E878" s="543"/>
      <c r="F878" s="296">
        <f>+SUM(F838:F877,0)</f>
        <v>281456431.60000002</v>
      </c>
    </row>
    <row r="879" spans="1:6">
      <c r="A879" s="297">
        <v>9</v>
      </c>
      <c r="B879" s="532" t="s">
        <v>142</v>
      </c>
      <c r="C879" s="533"/>
      <c r="D879" s="533"/>
      <c r="E879" s="533"/>
      <c r="F879" s="534"/>
    </row>
    <row r="880" spans="1:6">
      <c r="A880" s="279">
        <v>9.1</v>
      </c>
      <c r="B880" s="280" t="s">
        <v>53</v>
      </c>
      <c r="C880" s="317"/>
      <c r="D880" s="318"/>
      <c r="E880" s="318"/>
      <c r="F880" s="318"/>
    </row>
    <row r="881" spans="1:6" ht="30">
      <c r="A881" s="279" t="s">
        <v>140</v>
      </c>
      <c r="B881" s="280" t="s">
        <v>54</v>
      </c>
      <c r="C881" s="317" t="s">
        <v>10</v>
      </c>
      <c r="D881" s="318">
        <v>2</v>
      </c>
      <c r="E881" s="318">
        <v>385142</v>
      </c>
      <c r="F881" s="318">
        <v>770284</v>
      </c>
    </row>
    <row r="882" spans="1:6">
      <c r="A882" s="279" t="s">
        <v>193</v>
      </c>
      <c r="B882" s="280" t="s">
        <v>55</v>
      </c>
      <c r="C882" s="317" t="s">
        <v>10</v>
      </c>
      <c r="D882" s="318">
        <v>2</v>
      </c>
      <c r="E882" s="318">
        <v>802631</v>
      </c>
      <c r="F882" s="318">
        <v>1605262</v>
      </c>
    </row>
    <row r="883" spans="1:6">
      <c r="A883" s="279" t="s">
        <v>194</v>
      </c>
      <c r="B883" s="280" t="s">
        <v>56</v>
      </c>
      <c r="C883" s="317" t="s">
        <v>10</v>
      </c>
      <c r="D883" s="318">
        <v>4</v>
      </c>
      <c r="E883" s="318">
        <v>391657</v>
      </c>
      <c r="F883" s="318">
        <v>1566628</v>
      </c>
    </row>
    <row r="884" spans="1:6">
      <c r="A884" s="279" t="s">
        <v>195</v>
      </c>
      <c r="B884" s="280" t="s">
        <v>57</v>
      </c>
      <c r="C884" s="317" t="s">
        <v>10</v>
      </c>
      <c r="D884" s="318">
        <v>1</v>
      </c>
      <c r="E884" s="318">
        <v>510366</v>
      </c>
      <c r="F884" s="318">
        <v>510366</v>
      </c>
    </row>
    <row r="885" spans="1:6">
      <c r="A885" s="279" t="s">
        <v>196</v>
      </c>
      <c r="B885" s="280" t="s">
        <v>58</v>
      </c>
      <c r="C885" s="317" t="s">
        <v>10</v>
      </c>
      <c r="D885" s="318">
        <v>1</v>
      </c>
      <c r="E885" s="318">
        <v>13076956</v>
      </c>
      <c r="F885" s="318">
        <v>13076956</v>
      </c>
    </row>
    <row r="886" spans="1:6">
      <c r="A886" s="279" t="s">
        <v>197</v>
      </c>
      <c r="B886" s="280" t="s">
        <v>198</v>
      </c>
      <c r="C886" s="317" t="s">
        <v>10</v>
      </c>
      <c r="D886" s="318">
        <v>1</v>
      </c>
      <c r="E886" s="318">
        <v>129548</v>
      </c>
      <c r="F886" s="318">
        <v>129548</v>
      </c>
    </row>
    <row r="887" spans="1:6">
      <c r="A887" s="279" t="s">
        <v>199</v>
      </c>
      <c r="B887" s="280" t="s">
        <v>59</v>
      </c>
      <c r="C887" s="317" t="s">
        <v>10</v>
      </c>
      <c r="D887" s="318">
        <v>2</v>
      </c>
      <c r="E887" s="318">
        <v>266327</v>
      </c>
      <c r="F887" s="318">
        <v>532654</v>
      </c>
    </row>
    <row r="888" spans="1:6">
      <c r="A888" s="279" t="s">
        <v>200</v>
      </c>
      <c r="B888" s="280" t="s">
        <v>60</v>
      </c>
      <c r="C888" s="317" t="s">
        <v>10</v>
      </c>
      <c r="D888" s="318">
        <v>4</v>
      </c>
      <c r="E888" s="318">
        <v>99219</v>
      </c>
      <c r="F888" s="318">
        <v>396876</v>
      </c>
    </row>
    <row r="889" spans="1:6">
      <c r="A889" s="279" t="s">
        <v>201</v>
      </c>
      <c r="B889" s="280" t="s">
        <v>61</v>
      </c>
      <c r="C889" s="317" t="s">
        <v>67</v>
      </c>
      <c r="D889" s="318">
        <v>1.5</v>
      </c>
      <c r="E889" s="318">
        <v>53057</v>
      </c>
      <c r="F889" s="318">
        <v>79585.5</v>
      </c>
    </row>
    <row r="890" spans="1:6">
      <c r="A890" s="279" t="s">
        <v>202</v>
      </c>
      <c r="B890" s="280" t="s">
        <v>62</v>
      </c>
      <c r="C890" s="317" t="s">
        <v>10</v>
      </c>
      <c r="D890" s="318">
        <v>2</v>
      </c>
      <c r="E890" s="318">
        <v>161784</v>
      </c>
      <c r="F890" s="318">
        <v>323568</v>
      </c>
    </row>
    <row r="891" spans="1:6">
      <c r="A891" s="279" t="s">
        <v>203</v>
      </c>
      <c r="B891" s="280" t="s">
        <v>63</v>
      </c>
      <c r="C891" s="317" t="s">
        <v>2</v>
      </c>
      <c r="D891" s="318">
        <v>0.18</v>
      </c>
      <c r="E891" s="318">
        <v>122092</v>
      </c>
      <c r="F891" s="318">
        <v>21976.559999999998</v>
      </c>
    </row>
    <row r="892" spans="1:6">
      <c r="A892" s="279" t="s">
        <v>204</v>
      </c>
      <c r="B892" s="280" t="s">
        <v>64</v>
      </c>
      <c r="C892" s="317" t="s">
        <v>10</v>
      </c>
      <c r="D892" s="318">
        <v>1</v>
      </c>
      <c r="E892" s="318">
        <v>367531</v>
      </c>
      <c r="F892" s="318">
        <v>367531</v>
      </c>
    </row>
    <row r="893" spans="1:6">
      <c r="A893" s="279">
        <v>9.1999999999999993</v>
      </c>
      <c r="B893" s="280" t="s">
        <v>12</v>
      </c>
      <c r="C893" s="317"/>
      <c r="D893" s="318"/>
      <c r="E893" s="318"/>
      <c r="F893" s="318"/>
    </row>
    <row r="894" spans="1:6">
      <c r="A894" s="279" t="s">
        <v>141</v>
      </c>
      <c r="B894" s="280" t="s">
        <v>70</v>
      </c>
      <c r="C894" s="317" t="s">
        <v>4</v>
      </c>
      <c r="D894" s="318">
        <v>1261</v>
      </c>
      <c r="E894" s="318">
        <v>3435</v>
      </c>
      <c r="F894" s="318">
        <v>4331535</v>
      </c>
    </row>
    <row r="895" spans="1:6">
      <c r="A895" s="541" t="s">
        <v>1203</v>
      </c>
      <c r="B895" s="542"/>
      <c r="C895" s="542"/>
      <c r="D895" s="542"/>
      <c r="E895" s="543"/>
      <c r="F895" s="296">
        <f>+SUM(F880:F894,0)</f>
        <v>23712770.059999999</v>
      </c>
    </row>
    <row r="896" spans="1:6">
      <c r="A896" s="278">
        <v>9.3000000000000007</v>
      </c>
      <c r="B896" s="532" t="s">
        <v>956</v>
      </c>
      <c r="C896" s="533"/>
      <c r="D896" s="533"/>
      <c r="E896" s="533"/>
      <c r="F896" s="534"/>
    </row>
    <row r="897" spans="1:6">
      <c r="A897" s="279" t="s">
        <v>897</v>
      </c>
      <c r="B897" s="280" t="s">
        <v>1204</v>
      </c>
      <c r="C897" s="317" t="s">
        <v>67</v>
      </c>
      <c r="D897" s="318">
        <v>15.2</v>
      </c>
      <c r="E897" s="318">
        <v>11178</v>
      </c>
      <c r="F897" s="318">
        <v>169905.6</v>
      </c>
    </row>
    <row r="898" spans="1:6">
      <c r="A898" s="279" t="s">
        <v>898</v>
      </c>
      <c r="B898" s="280" t="s">
        <v>1205</v>
      </c>
      <c r="C898" s="317" t="s">
        <v>67</v>
      </c>
      <c r="D898" s="318">
        <v>12</v>
      </c>
      <c r="E898" s="318">
        <v>13291</v>
      </c>
      <c r="F898" s="318">
        <v>159492</v>
      </c>
    </row>
    <row r="899" spans="1:6">
      <c r="A899" s="279" t="s">
        <v>899</v>
      </c>
      <c r="B899" s="280" t="s">
        <v>1206</v>
      </c>
      <c r="C899" s="317" t="s">
        <v>67</v>
      </c>
      <c r="D899" s="318">
        <v>9.1999999999999993</v>
      </c>
      <c r="E899" s="318">
        <v>19308</v>
      </c>
      <c r="F899" s="318">
        <v>177633.59999999998</v>
      </c>
    </row>
    <row r="900" spans="1:6">
      <c r="A900" s="279" t="s">
        <v>900</v>
      </c>
      <c r="B900" s="280" t="s">
        <v>1207</v>
      </c>
      <c r="C900" s="317" t="s">
        <v>67</v>
      </c>
      <c r="D900" s="318">
        <v>101.83</v>
      </c>
      <c r="E900" s="318">
        <v>4680</v>
      </c>
      <c r="F900" s="318">
        <v>476564.39999999997</v>
      </c>
    </row>
    <row r="901" spans="1:6">
      <c r="A901" s="279" t="s">
        <v>901</v>
      </c>
      <c r="B901" s="280" t="s">
        <v>1208</v>
      </c>
      <c r="C901" s="317" t="s">
        <v>67</v>
      </c>
      <c r="D901" s="318">
        <v>7.27</v>
      </c>
      <c r="E901" s="318">
        <v>3111</v>
      </c>
      <c r="F901" s="318">
        <v>22616.969999999998</v>
      </c>
    </row>
    <row r="902" spans="1:6">
      <c r="A902" s="279" t="s">
        <v>1209</v>
      </c>
      <c r="B902" s="280" t="s">
        <v>1210</v>
      </c>
      <c r="C902" s="317" t="s">
        <v>10</v>
      </c>
      <c r="D902" s="318">
        <v>4</v>
      </c>
      <c r="E902" s="318">
        <v>5614</v>
      </c>
      <c r="F902" s="318">
        <v>22456</v>
      </c>
    </row>
    <row r="903" spans="1:6">
      <c r="A903" s="279" t="s">
        <v>1211</v>
      </c>
      <c r="B903" s="280" t="s">
        <v>1212</v>
      </c>
      <c r="C903" s="317" t="s">
        <v>10</v>
      </c>
      <c r="D903" s="318">
        <v>2</v>
      </c>
      <c r="E903" s="318">
        <v>2468</v>
      </c>
      <c r="F903" s="318">
        <v>4936</v>
      </c>
    </row>
    <row r="904" spans="1:6">
      <c r="A904" s="279" t="s">
        <v>1213</v>
      </c>
      <c r="B904" s="280" t="s">
        <v>1214</v>
      </c>
      <c r="C904" s="317" t="s">
        <v>10</v>
      </c>
      <c r="D904" s="318">
        <v>7</v>
      </c>
      <c r="E904" s="318">
        <v>3400</v>
      </c>
      <c r="F904" s="318">
        <v>23800</v>
      </c>
    </row>
    <row r="905" spans="1:6">
      <c r="A905" s="279" t="s">
        <v>1215</v>
      </c>
      <c r="B905" s="280" t="s">
        <v>1216</v>
      </c>
      <c r="C905" s="317" t="s">
        <v>10</v>
      </c>
      <c r="D905" s="318">
        <v>3</v>
      </c>
      <c r="E905" s="318">
        <v>1595</v>
      </c>
      <c r="F905" s="318">
        <v>4785</v>
      </c>
    </row>
    <row r="906" spans="1:6">
      <c r="A906" s="279" t="s">
        <v>1217</v>
      </c>
      <c r="B906" s="280" t="s">
        <v>1218</v>
      </c>
      <c r="C906" s="317" t="s">
        <v>10</v>
      </c>
      <c r="D906" s="318">
        <v>1</v>
      </c>
      <c r="E906" s="318">
        <v>3043</v>
      </c>
      <c r="F906" s="318">
        <v>3043</v>
      </c>
    </row>
    <row r="907" spans="1:6">
      <c r="A907" s="279" t="s">
        <v>1219</v>
      </c>
      <c r="B907" s="280" t="s">
        <v>1220</v>
      </c>
      <c r="C907" s="317" t="s">
        <v>10</v>
      </c>
      <c r="D907" s="318">
        <v>5</v>
      </c>
      <c r="E907" s="318">
        <v>3043</v>
      </c>
      <c r="F907" s="318">
        <v>15215</v>
      </c>
    </row>
    <row r="908" spans="1:6">
      <c r="A908" s="279" t="s">
        <v>1221</v>
      </c>
      <c r="B908" s="280" t="s">
        <v>69</v>
      </c>
      <c r="C908" s="317" t="s">
        <v>10</v>
      </c>
      <c r="D908" s="318">
        <v>2</v>
      </c>
      <c r="E908" s="318">
        <v>75197</v>
      </c>
      <c r="F908" s="318">
        <v>150394</v>
      </c>
    </row>
    <row r="909" spans="1:6">
      <c r="A909" s="279" t="s">
        <v>1222</v>
      </c>
      <c r="B909" s="280" t="s">
        <v>70</v>
      </c>
      <c r="C909" s="317" t="s">
        <v>4</v>
      </c>
      <c r="D909" s="318">
        <v>5381.7</v>
      </c>
      <c r="E909" s="318">
        <v>3435</v>
      </c>
      <c r="F909" s="318">
        <v>18486139.5</v>
      </c>
    </row>
    <row r="910" spans="1:6">
      <c r="A910" s="553" t="s">
        <v>1223</v>
      </c>
      <c r="B910" s="554"/>
      <c r="C910" s="554"/>
      <c r="D910" s="554"/>
      <c r="E910" s="555"/>
      <c r="F910" s="296">
        <f>+SUM(F897:F909,0)</f>
        <v>19716981.07</v>
      </c>
    </row>
    <row r="911" spans="1:6">
      <c r="A911" s="320"/>
      <c r="B911" s="320"/>
      <c r="C911" s="320"/>
      <c r="D911" s="320"/>
      <c r="E911" s="320"/>
      <c r="F911" s="321"/>
    </row>
    <row r="912" spans="1:6">
      <c r="A912" s="320"/>
      <c r="B912" s="322" t="s">
        <v>1224</v>
      </c>
      <c r="C912" s="320"/>
      <c r="D912" s="320"/>
      <c r="E912" s="320"/>
      <c r="F912" s="321">
        <f>+F443</f>
        <v>13221383.890000001</v>
      </c>
    </row>
    <row r="913" spans="1:6">
      <c r="A913" s="320"/>
      <c r="B913" s="313" t="s">
        <v>1040</v>
      </c>
      <c r="C913" s="323">
        <v>0.19</v>
      </c>
      <c r="D913" s="320"/>
      <c r="E913" s="320"/>
      <c r="F913" s="321">
        <f>+F912*C913</f>
        <v>2512062.9391000001</v>
      </c>
    </row>
    <row r="914" spans="1:6">
      <c r="A914" s="320"/>
      <c r="B914" s="313" t="s">
        <v>1042</v>
      </c>
      <c r="C914" s="323">
        <v>0.05</v>
      </c>
      <c r="D914" s="320"/>
      <c r="E914" s="320"/>
      <c r="F914" s="321">
        <f>+F912*C914</f>
        <v>661069.1945000001</v>
      </c>
    </row>
    <row r="915" spans="1:6">
      <c r="A915" s="320"/>
      <c r="B915" s="313" t="s">
        <v>1043</v>
      </c>
      <c r="C915" s="323">
        <v>0.16</v>
      </c>
      <c r="D915" s="320"/>
      <c r="E915" s="320"/>
      <c r="F915" s="321">
        <f>+F914*C915</f>
        <v>105771.07112000002</v>
      </c>
    </row>
    <row r="916" spans="1:6">
      <c r="A916" s="320"/>
      <c r="B916" s="322" t="s">
        <v>1225</v>
      </c>
      <c r="C916" s="320"/>
      <c r="D916" s="320"/>
      <c r="E916" s="320"/>
      <c r="F916" s="321">
        <f>+F912+F913+F914+F915</f>
        <v>16500287.09472</v>
      </c>
    </row>
    <row r="917" spans="1:6">
      <c r="A917" s="320"/>
      <c r="B917" s="320"/>
      <c r="C917" s="320"/>
      <c r="D917" s="320"/>
      <c r="E917" s="320"/>
      <c r="F917" s="321"/>
    </row>
    <row r="918" spans="1:6">
      <c r="A918" s="320"/>
      <c r="B918" s="322" t="s">
        <v>1226</v>
      </c>
      <c r="C918" s="320"/>
      <c r="D918" s="320"/>
      <c r="E918" s="320"/>
      <c r="F918" s="321">
        <f>+F525</f>
        <v>991855669.59000003</v>
      </c>
    </row>
    <row r="919" spans="1:6">
      <c r="A919" s="320"/>
      <c r="B919" s="313" t="s">
        <v>1040</v>
      </c>
      <c r="C919" s="323">
        <v>0.19</v>
      </c>
      <c r="D919" s="320"/>
      <c r="E919" s="320"/>
      <c r="F919" s="321">
        <f>+F918*C919</f>
        <v>188452577.22210002</v>
      </c>
    </row>
    <row r="920" spans="1:6">
      <c r="A920" s="320"/>
      <c r="B920" s="313" t="s">
        <v>1042</v>
      </c>
      <c r="C920" s="323">
        <v>0.05</v>
      </c>
      <c r="D920" s="320"/>
      <c r="E920" s="320"/>
      <c r="F920" s="321">
        <f>+F918*C920</f>
        <v>49592783.479500003</v>
      </c>
    </row>
    <row r="921" spans="1:6">
      <c r="A921" s="320"/>
      <c r="B921" s="313" t="s">
        <v>1043</v>
      </c>
      <c r="C921" s="323">
        <v>0.16</v>
      </c>
      <c r="D921" s="320"/>
      <c r="E921" s="320"/>
      <c r="F921" s="321">
        <f>+F920*C921</f>
        <v>7934845.3567200005</v>
      </c>
    </row>
    <row r="922" spans="1:6">
      <c r="A922" s="320"/>
      <c r="B922" s="322" t="s">
        <v>1227</v>
      </c>
      <c r="C922" s="320"/>
      <c r="D922" s="320"/>
      <c r="E922" s="320"/>
      <c r="F922" s="321">
        <f>+F918+F919+F920+F921</f>
        <v>1237835875.64832</v>
      </c>
    </row>
    <row r="923" spans="1:6">
      <c r="A923" s="320"/>
      <c r="C923" s="320"/>
      <c r="D923" s="320"/>
      <c r="E923" s="320"/>
      <c r="F923" s="321"/>
    </row>
    <row r="924" spans="1:6">
      <c r="A924" s="320"/>
      <c r="B924" s="313" t="s">
        <v>1039</v>
      </c>
      <c r="C924" s="320"/>
      <c r="D924" s="320"/>
      <c r="E924" s="320"/>
      <c r="F924" s="321">
        <f>+F530</f>
        <v>3449478545.7599993</v>
      </c>
    </row>
    <row r="925" spans="1:6">
      <c r="A925" s="320"/>
      <c r="B925" s="313" t="s">
        <v>1040</v>
      </c>
      <c r="C925" s="323">
        <v>0.19</v>
      </c>
      <c r="D925" s="320"/>
      <c r="E925" s="320"/>
      <c r="F925" s="321">
        <f>+F924*C925</f>
        <v>655400923.69439983</v>
      </c>
    </row>
    <row r="926" spans="1:6">
      <c r="A926" s="320"/>
      <c r="B926" s="313" t="s">
        <v>1042</v>
      </c>
      <c r="C926" s="323">
        <v>0.05</v>
      </c>
      <c r="D926" s="320"/>
      <c r="E926" s="320"/>
      <c r="F926" s="321">
        <f>+F924*C926</f>
        <v>172473927.28799999</v>
      </c>
    </row>
    <row r="927" spans="1:6">
      <c r="A927" s="320"/>
      <c r="B927" s="313" t="s">
        <v>1043</v>
      </c>
      <c r="C927" s="323">
        <v>0.16</v>
      </c>
      <c r="D927" s="320"/>
      <c r="E927" s="320"/>
      <c r="F927" s="321">
        <f>+F926*C927</f>
        <v>27595828.366079997</v>
      </c>
    </row>
    <row r="928" spans="1:6">
      <c r="B928" s="313" t="s">
        <v>1044</v>
      </c>
      <c r="F928" s="321">
        <f>+F924+F925+F926+F927</f>
        <v>4304949225.1084795</v>
      </c>
    </row>
    <row r="930" spans="2:6">
      <c r="B930" s="313" t="s">
        <v>1228</v>
      </c>
      <c r="F930" s="324">
        <f>+F573+F607+F648+F707+F749+F799+F836+F878+F895+F910</f>
        <v>2236246191.9359999</v>
      </c>
    </row>
    <row r="931" spans="2:6">
      <c r="B931" s="313" t="s">
        <v>1229</v>
      </c>
      <c r="F931" s="324">
        <f>+F930*0.1</f>
        <v>223624619.1936</v>
      </c>
    </row>
    <row r="932" spans="2:6">
      <c r="B932" s="313" t="s">
        <v>1230</v>
      </c>
      <c r="F932" s="324">
        <f>+F930+F931</f>
        <v>2459870811.1296</v>
      </c>
    </row>
    <row r="934" spans="2:6" ht="30">
      <c r="B934" s="325" t="s">
        <v>1231</v>
      </c>
      <c r="E934" s="315">
        <v>8019156198.9811211</v>
      </c>
      <c r="F934" s="315">
        <f>+F916+F922+F928+F932</f>
        <v>8019156198.9811192</v>
      </c>
    </row>
  </sheetData>
  <mergeCells count="48">
    <mergeCell ref="A910:E910"/>
    <mergeCell ref="B708:F708"/>
    <mergeCell ref="A749:E749"/>
    <mergeCell ref="C750:F750"/>
    <mergeCell ref="A799:E799"/>
    <mergeCell ref="B800:F800"/>
    <mergeCell ref="A836:E836"/>
    <mergeCell ref="B837:F837"/>
    <mergeCell ref="A878:E878"/>
    <mergeCell ref="B879:F879"/>
    <mergeCell ref="A895:E895"/>
    <mergeCell ref="B896:F896"/>
    <mergeCell ref="A707:E707"/>
    <mergeCell ref="H513:H514"/>
    <mergeCell ref="A528:E528"/>
    <mergeCell ref="A529:E529"/>
    <mergeCell ref="A537:F538"/>
    <mergeCell ref="B540:F540"/>
    <mergeCell ref="A573:E573"/>
    <mergeCell ref="B574:F574"/>
    <mergeCell ref="A607:E607"/>
    <mergeCell ref="B608:F608"/>
    <mergeCell ref="A648:E648"/>
    <mergeCell ref="B649:F649"/>
    <mergeCell ref="B447:F447"/>
    <mergeCell ref="B263:F263"/>
    <mergeCell ref="A312:E312"/>
    <mergeCell ref="B313:F313"/>
    <mergeCell ref="A370:E370"/>
    <mergeCell ref="B371:F371"/>
    <mergeCell ref="A423:E423"/>
    <mergeCell ref="B424:F424"/>
    <mergeCell ref="A443:E443"/>
    <mergeCell ref="A444:E444"/>
    <mergeCell ref="A445:E445"/>
    <mergeCell ref="A446:E446"/>
    <mergeCell ref="A262:E262"/>
    <mergeCell ref="A1:F3"/>
    <mergeCell ref="B5:F5"/>
    <mergeCell ref="B7:F7"/>
    <mergeCell ref="A51:E51"/>
    <mergeCell ref="B52:F52"/>
    <mergeCell ref="A96:E96"/>
    <mergeCell ref="B97:F97"/>
    <mergeCell ref="A148:E148"/>
    <mergeCell ref="B149:F149"/>
    <mergeCell ref="A209:E209"/>
    <mergeCell ref="B210:F2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44"/>
  <sheetViews>
    <sheetView showGridLines="0" zoomScaleNormal="100" zoomScalePageLayoutView="130" workbookViewId="0">
      <selection activeCell="H11" sqref="H11"/>
    </sheetView>
  </sheetViews>
  <sheetFormatPr baseColWidth="10" defaultColWidth="10.6640625" defaultRowHeight="15"/>
  <cols>
    <col min="1" max="1" width="10.6640625" style="45"/>
    <col min="2" max="2" width="17.5" style="16" customWidth="1"/>
    <col min="3" max="3" width="13.1640625" style="16" customWidth="1"/>
    <col min="4" max="4" width="12.83203125" style="15" customWidth="1"/>
    <col min="5" max="5" width="10" style="16" customWidth="1"/>
    <col min="6" max="6" width="13.5" style="15" customWidth="1"/>
    <col min="7" max="8" width="10.6640625" style="15"/>
    <col min="9" max="9" width="18" style="15" customWidth="1"/>
    <col min="10" max="11" width="10.6640625" style="15"/>
    <col min="12" max="12" width="18.5" style="15" bestFit="1" customWidth="1"/>
    <col min="13" max="13" width="21.6640625" style="15" customWidth="1"/>
    <col min="14" max="24" width="10.6640625" style="15"/>
    <col min="25" max="16384" width="10.6640625" style="16"/>
  </cols>
  <sheetData>
    <row r="3" spans="1:24" s="10" customFormat="1" ht="45">
      <c r="A3" s="44"/>
      <c r="B3" s="272" t="s">
        <v>282</v>
      </c>
      <c r="C3" s="272" t="s">
        <v>283</v>
      </c>
      <c r="D3" s="273" t="s">
        <v>284</v>
      </c>
      <c r="E3" s="272" t="s">
        <v>285</v>
      </c>
      <c r="F3" s="273" t="s">
        <v>286</v>
      </c>
      <c r="G3" s="273" t="s">
        <v>287</v>
      </c>
      <c r="H3" s="273" t="s">
        <v>288</v>
      </c>
      <c r="I3" s="273" t="s">
        <v>289</v>
      </c>
      <c r="J3" s="273" t="s">
        <v>290</v>
      </c>
      <c r="K3" s="273" t="s">
        <v>291</v>
      </c>
      <c r="L3" s="273" t="s">
        <v>292</v>
      </c>
      <c r="M3" s="273" t="s">
        <v>293</v>
      </c>
      <c r="N3" s="273" t="s">
        <v>294</v>
      </c>
      <c r="O3" s="273" t="s">
        <v>295</v>
      </c>
      <c r="P3" s="273" t="s">
        <v>296</v>
      </c>
      <c r="Q3" s="7"/>
      <c r="R3" s="7"/>
      <c r="S3" s="7"/>
      <c r="T3" s="8"/>
      <c r="U3" s="9"/>
      <c r="V3" s="9"/>
      <c r="W3" s="9"/>
      <c r="X3" s="9"/>
    </row>
    <row r="4" spans="1:24">
      <c r="B4" s="11" t="s">
        <v>298</v>
      </c>
      <c r="C4" s="12">
        <v>0.27</v>
      </c>
      <c r="D4" s="13">
        <f>((C4*0.5)^2)*PI()*F4</f>
        <v>0</v>
      </c>
      <c r="E4" s="12">
        <v>1</v>
      </c>
      <c r="F4" s="13">
        <v>0</v>
      </c>
      <c r="G4" s="13"/>
      <c r="H4" s="13">
        <v>1.3</v>
      </c>
      <c r="I4" s="13">
        <f>ROUND(H4*G4*F4,2)</f>
        <v>0</v>
      </c>
      <c r="J4" s="13"/>
      <c r="K4" s="13">
        <f>F4-J4</f>
        <v>0</v>
      </c>
      <c r="L4" s="13">
        <f>((0.1+C4+0.3)*F4*G4)-D4</f>
        <v>0</v>
      </c>
      <c r="M4" s="13">
        <f>I4-N4-O4-D4</f>
        <v>0</v>
      </c>
      <c r="N4" s="13">
        <f>J4*0.2*G4</f>
        <v>0</v>
      </c>
      <c r="O4" s="13">
        <f>(K4*0.25*G4)+(0.2*J4*G4)</f>
        <v>0</v>
      </c>
      <c r="P4" s="13">
        <f>J4*1.5*0.2</f>
        <v>0</v>
      </c>
      <c r="Q4" s="13"/>
      <c r="R4" s="13"/>
      <c r="S4" s="14"/>
    </row>
    <row r="5" spans="1:24">
      <c r="B5" s="40" t="s">
        <v>299</v>
      </c>
      <c r="C5" s="41">
        <v>0.33</v>
      </c>
      <c r="D5" s="42">
        <f t="shared" ref="D5:D68" si="0">((C5*0.5)^2)*PI()*F5</f>
        <v>0</v>
      </c>
      <c r="E5" s="41">
        <v>1</v>
      </c>
      <c r="F5" s="42">
        <v>0</v>
      </c>
      <c r="G5" s="42"/>
      <c r="H5" s="42">
        <v>1.35</v>
      </c>
      <c r="I5" s="42">
        <f t="shared" ref="I5:I68" si="1">ROUND(H5*G5*F5,2)</f>
        <v>0</v>
      </c>
      <c r="J5" s="42"/>
      <c r="K5" s="42">
        <f t="shared" ref="K5:K68" si="2">F5-J5</f>
        <v>0</v>
      </c>
      <c r="L5" s="42">
        <f t="shared" ref="L5:L68" si="3">((0.1+C5+0.3)*F5*G5)-D5</f>
        <v>0</v>
      </c>
      <c r="M5" s="42">
        <f t="shared" ref="M5:M68" si="4">I5-N5-O5-D5</f>
        <v>0</v>
      </c>
      <c r="N5" s="42">
        <f t="shared" ref="N5:N68" si="5">J5*0.2*G5</f>
        <v>0</v>
      </c>
      <c r="O5" s="42">
        <f t="shared" ref="O5:O68" si="6">(K5*0.25*G5)+(0.2*J5*G5)</f>
        <v>0</v>
      </c>
      <c r="P5" s="42">
        <f t="shared" ref="P5:P68" si="7">J5*1.5*0.2</f>
        <v>0</v>
      </c>
      <c r="Q5" s="42"/>
      <c r="R5" s="42"/>
      <c r="S5" s="43"/>
    </row>
    <row r="6" spans="1:24" ht="12.75">
      <c r="A6" s="559" t="s">
        <v>309</v>
      </c>
      <c r="B6" s="11" t="s">
        <v>275</v>
      </c>
      <c r="C6" s="12">
        <v>0.08</v>
      </c>
      <c r="D6" s="13">
        <f t="shared" si="0"/>
        <v>6.5163166148171783</v>
      </c>
      <c r="E6" s="12">
        <v>1</v>
      </c>
      <c r="F6" s="13">
        <f>+LONGITUDES!C7</f>
        <v>1296.3800000000001</v>
      </c>
      <c r="G6" s="13">
        <v>0.4</v>
      </c>
      <c r="H6" s="13">
        <v>1.3</v>
      </c>
      <c r="I6" s="13">
        <f t="shared" si="1"/>
        <v>674.12</v>
      </c>
      <c r="J6" s="13"/>
      <c r="K6" s="13">
        <f t="shared" si="2"/>
        <v>1296.3800000000001</v>
      </c>
      <c r="L6" s="13">
        <f t="shared" si="3"/>
        <v>242.38864338518286</v>
      </c>
      <c r="M6" s="13">
        <f t="shared" si="4"/>
        <v>537.96568338518284</v>
      </c>
      <c r="N6" s="13">
        <f t="shared" si="5"/>
        <v>0</v>
      </c>
      <c r="O6" s="13">
        <f t="shared" si="6"/>
        <v>129.63800000000001</v>
      </c>
      <c r="P6" s="13">
        <f t="shared" si="7"/>
        <v>0</v>
      </c>
      <c r="Q6" s="13"/>
      <c r="R6" s="13"/>
      <c r="S6" s="14"/>
    </row>
    <row r="7" spans="1:24" ht="12.75">
      <c r="A7" s="560"/>
      <c r="B7" s="17" t="s">
        <v>274</v>
      </c>
      <c r="C7" s="18">
        <v>0.09</v>
      </c>
      <c r="D7" s="19">
        <f t="shared" si="0"/>
        <v>5.2257118682124837</v>
      </c>
      <c r="E7" s="18">
        <v>1</v>
      </c>
      <c r="F7" s="19">
        <f>+LONGITUDES!C6</f>
        <v>821.43</v>
      </c>
      <c r="G7" s="19">
        <v>0.4</v>
      </c>
      <c r="H7" s="19">
        <v>1.3</v>
      </c>
      <c r="I7" s="19">
        <f t="shared" si="1"/>
        <v>427.14</v>
      </c>
      <c r="J7" s="19"/>
      <c r="K7" s="19">
        <f t="shared" si="2"/>
        <v>821.43</v>
      </c>
      <c r="L7" s="19">
        <f t="shared" si="3"/>
        <v>155.77456813178753</v>
      </c>
      <c r="M7" s="19">
        <f t="shared" si="4"/>
        <v>339.77128813178746</v>
      </c>
      <c r="N7" s="19">
        <f t="shared" si="5"/>
        <v>0</v>
      </c>
      <c r="O7" s="19">
        <f t="shared" si="6"/>
        <v>82.143000000000001</v>
      </c>
      <c r="P7" s="19">
        <f t="shared" si="7"/>
        <v>0</v>
      </c>
      <c r="Q7" s="19"/>
      <c r="R7" s="19"/>
      <c r="S7" s="20"/>
    </row>
    <row r="8" spans="1:24" ht="12.75">
      <c r="A8" s="560"/>
      <c r="B8" s="17" t="s">
        <v>273</v>
      </c>
      <c r="C8" s="18">
        <v>0.12</v>
      </c>
      <c r="D8" s="19">
        <f t="shared" si="0"/>
        <v>8.2090570020538163</v>
      </c>
      <c r="E8" s="18">
        <v>1</v>
      </c>
      <c r="F8" s="19">
        <f>+LONGITUDES!C5</f>
        <v>725.84</v>
      </c>
      <c r="G8" s="19">
        <v>0.4</v>
      </c>
      <c r="H8" s="19">
        <v>1.3</v>
      </c>
      <c r="I8" s="19">
        <f t="shared" si="1"/>
        <v>377.44</v>
      </c>
      <c r="J8" s="19"/>
      <c r="K8" s="19">
        <f t="shared" si="2"/>
        <v>725.84</v>
      </c>
      <c r="L8" s="19">
        <f t="shared" si="3"/>
        <v>142.76566299794621</v>
      </c>
      <c r="M8" s="19">
        <f t="shared" si="4"/>
        <v>296.64694299794616</v>
      </c>
      <c r="N8" s="19">
        <f t="shared" si="5"/>
        <v>0</v>
      </c>
      <c r="O8" s="19">
        <f t="shared" si="6"/>
        <v>72.584000000000003</v>
      </c>
      <c r="P8" s="19">
        <f t="shared" si="7"/>
        <v>0</v>
      </c>
      <c r="Q8" s="19"/>
      <c r="R8" s="19"/>
      <c r="S8" s="20"/>
    </row>
    <row r="9" spans="1:24" ht="12.75">
      <c r="A9" s="560"/>
      <c r="B9" s="17" t="s">
        <v>300</v>
      </c>
      <c r="C9" s="18">
        <v>0.17</v>
      </c>
      <c r="D9" s="19">
        <f t="shared" si="0"/>
        <v>0</v>
      </c>
      <c r="E9" s="18">
        <v>1</v>
      </c>
      <c r="F9" s="19"/>
      <c r="G9" s="19"/>
      <c r="H9" s="19">
        <v>1.3</v>
      </c>
      <c r="I9" s="19">
        <f t="shared" si="1"/>
        <v>0</v>
      </c>
      <c r="J9" s="19"/>
      <c r="K9" s="19">
        <f t="shared" si="2"/>
        <v>0</v>
      </c>
      <c r="L9" s="19">
        <f t="shared" si="3"/>
        <v>0</v>
      </c>
      <c r="M9" s="19">
        <f t="shared" si="4"/>
        <v>0</v>
      </c>
      <c r="N9" s="19">
        <f t="shared" si="5"/>
        <v>0</v>
      </c>
      <c r="O9" s="19">
        <f t="shared" si="6"/>
        <v>0</v>
      </c>
      <c r="P9" s="19">
        <f t="shared" si="7"/>
        <v>0</v>
      </c>
      <c r="Q9" s="19"/>
      <c r="R9" s="19"/>
      <c r="S9" s="20"/>
    </row>
    <row r="10" spans="1:24" ht="12.75">
      <c r="A10" s="560"/>
      <c r="B10" s="17" t="s">
        <v>301</v>
      </c>
      <c r="C10" s="18">
        <v>0.22</v>
      </c>
      <c r="D10" s="19">
        <f t="shared" si="0"/>
        <v>0</v>
      </c>
      <c r="E10" s="18">
        <v>1</v>
      </c>
      <c r="F10" s="19"/>
      <c r="G10" s="19"/>
      <c r="H10" s="19">
        <v>1.3</v>
      </c>
      <c r="I10" s="19">
        <f t="shared" si="1"/>
        <v>0</v>
      </c>
      <c r="J10" s="19"/>
      <c r="K10" s="19">
        <f t="shared" si="2"/>
        <v>0</v>
      </c>
      <c r="L10" s="19">
        <f t="shared" si="3"/>
        <v>0</v>
      </c>
      <c r="M10" s="19">
        <f t="shared" si="4"/>
        <v>0</v>
      </c>
      <c r="N10" s="19">
        <f t="shared" si="5"/>
        <v>0</v>
      </c>
      <c r="O10" s="19">
        <f t="shared" si="6"/>
        <v>0</v>
      </c>
      <c r="P10" s="19">
        <f t="shared" si="7"/>
        <v>0</v>
      </c>
      <c r="Q10" s="19"/>
      <c r="R10" s="19"/>
      <c r="S10" s="20"/>
    </row>
    <row r="11" spans="1:24" ht="12.75">
      <c r="A11" s="560"/>
      <c r="B11" s="17" t="s">
        <v>298</v>
      </c>
      <c r="C11" s="18">
        <v>0.27</v>
      </c>
      <c r="D11" s="19">
        <f t="shared" si="0"/>
        <v>0</v>
      </c>
      <c r="E11" s="18">
        <v>1</v>
      </c>
      <c r="F11" s="19"/>
      <c r="G11" s="19"/>
      <c r="H11" s="19">
        <v>1.3</v>
      </c>
      <c r="I11" s="19">
        <f t="shared" si="1"/>
        <v>0</v>
      </c>
      <c r="J11" s="19"/>
      <c r="K11" s="19">
        <f t="shared" si="2"/>
        <v>0</v>
      </c>
      <c r="L11" s="19">
        <f t="shared" si="3"/>
        <v>0</v>
      </c>
      <c r="M11" s="19">
        <f t="shared" si="4"/>
        <v>0</v>
      </c>
      <c r="N11" s="19">
        <f t="shared" si="5"/>
        <v>0</v>
      </c>
      <c r="O11" s="19">
        <f t="shared" si="6"/>
        <v>0</v>
      </c>
      <c r="P11" s="19">
        <f t="shared" si="7"/>
        <v>0</v>
      </c>
      <c r="Q11" s="19"/>
      <c r="R11" s="19"/>
      <c r="S11" s="20"/>
    </row>
    <row r="12" spans="1:24" ht="12.75">
      <c r="A12" s="561"/>
      <c r="B12" s="21" t="s">
        <v>299</v>
      </c>
      <c r="C12" s="22">
        <v>0.33</v>
      </c>
      <c r="D12" s="23">
        <f t="shared" si="0"/>
        <v>0</v>
      </c>
      <c r="E12" s="22">
        <v>1</v>
      </c>
      <c r="F12" s="23"/>
      <c r="G12" s="23"/>
      <c r="H12" s="23">
        <v>1.35</v>
      </c>
      <c r="I12" s="23">
        <f t="shared" si="1"/>
        <v>0</v>
      </c>
      <c r="J12" s="23"/>
      <c r="K12" s="23">
        <f t="shared" si="2"/>
        <v>0</v>
      </c>
      <c r="L12" s="23">
        <f t="shared" si="3"/>
        <v>0</v>
      </c>
      <c r="M12" s="23">
        <f t="shared" si="4"/>
        <v>0</v>
      </c>
      <c r="N12" s="23">
        <f t="shared" si="5"/>
        <v>0</v>
      </c>
      <c r="O12" s="23">
        <f t="shared" si="6"/>
        <v>0</v>
      </c>
      <c r="P12" s="23">
        <f t="shared" si="7"/>
        <v>0</v>
      </c>
      <c r="Q12" s="23"/>
      <c r="R12" s="23"/>
      <c r="S12" s="24"/>
    </row>
    <row r="13" spans="1:24" ht="12.75">
      <c r="A13" s="559" t="s">
        <v>310</v>
      </c>
      <c r="B13" s="11" t="s">
        <v>275</v>
      </c>
      <c r="C13" s="12">
        <v>0.08</v>
      </c>
      <c r="D13" s="13">
        <f t="shared" si="0"/>
        <v>6.0992136413853686</v>
      </c>
      <c r="E13" s="12">
        <v>2</v>
      </c>
      <c r="F13" s="13">
        <f>+LONGITUDES!C10</f>
        <v>1213.4000000000001</v>
      </c>
      <c r="G13" s="13">
        <v>0.4</v>
      </c>
      <c r="H13" s="13">
        <v>1.3</v>
      </c>
      <c r="I13" s="13">
        <f t="shared" si="1"/>
        <v>630.97</v>
      </c>
      <c r="J13" s="13">
        <f>F13*0.3</f>
        <v>364.02000000000004</v>
      </c>
      <c r="K13" s="13">
        <f t="shared" si="2"/>
        <v>849.38000000000011</v>
      </c>
      <c r="L13" s="13">
        <f t="shared" si="3"/>
        <v>226.87358635861463</v>
      </c>
      <c r="M13" s="13">
        <f t="shared" si="4"/>
        <v>481.68958635861458</v>
      </c>
      <c r="N13" s="13">
        <f t="shared" si="5"/>
        <v>29.121600000000008</v>
      </c>
      <c r="O13" s="13">
        <f t="shared" si="6"/>
        <v>114.05960000000002</v>
      </c>
      <c r="P13" s="13">
        <f t="shared" si="7"/>
        <v>109.20600000000002</v>
      </c>
      <c r="Q13" s="13"/>
      <c r="R13" s="13"/>
      <c r="S13" s="14"/>
    </row>
    <row r="14" spans="1:24" ht="12.75">
      <c r="A14" s="560"/>
      <c r="B14" s="17" t="s">
        <v>274</v>
      </c>
      <c r="C14" s="18">
        <v>0.09</v>
      </c>
      <c r="D14" s="19">
        <f t="shared" si="0"/>
        <v>1.4035237967508347</v>
      </c>
      <c r="E14" s="18">
        <v>2</v>
      </c>
      <c r="F14" s="19">
        <f>+LONGITUDES!C9</f>
        <v>220.62</v>
      </c>
      <c r="G14" s="19">
        <v>0.4</v>
      </c>
      <c r="H14" s="19">
        <v>1.3</v>
      </c>
      <c r="I14" s="19">
        <f t="shared" si="1"/>
        <v>114.72</v>
      </c>
      <c r="J14" s="19">
        <f t="shared" ref="J14:J15" si="8">F14*0.3</f>
        <v>66.185999999999993</v>
      </c>
      <c r="K14" s="19">
        <f t="shared" si="2"/>
        <v>154.43400000000003</v>
      </c>
      <c r="L14" s="19">
        <f t="shared" si="3"/>
        <v>41.837996203249176</v>
      </c>
      <c r="M14" s="19">
        <f t="shared" si="4"/>
        <v>87.283316203249157</v>
      </c>
      <c r="N14" s="19">
        <f t="shared" si="5"/>
        <v>5.29488</v>
      </c>
      <c r="O14" s="19">
        <f t="shared" si="6"/>
        <v>20.738280000000003</v>
      </c>
      <c r="P14" s="19">
        <f t="shared" si="7"/>
        <v>19.855800000000002</v>
      </c>
      <c r="Q14" s="19"/>
      <c r="R14" s="19"/>
      <c r="S14" s="20"/>
    </row>
    <row r="15" spans="1:24" ht="12.75">
      <c r="A15" s="560"/>
      <c r="B15" s="17" t="s">
        <v>273</v>
      </c>
      <c r="C15" s="18">
        <v>0.12</v>
      </c>
      <c r="D15" s="19">
        <f t="shared" si="0"/>
        <v>17.054173419124034</v>
      </c>
      <c r="E15" s="18">
        <v>2</v>
      </c>
      <c r="F15" s="19">
        <f>+LONGITUDES!C8</f>
        <v>1507.92</v>
      </c>
      <c r="G15" s="19">
        <v>0.4</v>
      </c>
      <c r="H15" s="19">
        <v>1.3</v>
      </c>
      <c r="I15" s="19">
        <f t="shared" si="1"/>
        <v>784.12</v>
      </c>
      <c r="J15" s="19">
        <f t="shared" si="8"/>
        <v>452.37600000000003</v>
      </c>
      <c r="K15" s="19">
        <f t="shared" si="2"/>
        <v>1055.5440000000001</v>
      </c>
      <c r="L15" s="19">
        <f t="shared" si="3"/>
        <v>296.59318658087602</v>
      </c>
      <c r="M15" s="19">
        <f t="shared" si="4"/>
        <v>589.13126658087594</v>
      </c>
      <c r="N15" s="19">
        <f t="shared" si="5"/>
        <v>36.190080000000009</v>
      </c>
      <c r="O15" s="19">
        <f t="shared" si="6"/>
        <v>141.74448000000001</v>
      </c>
      <c r="P15" s="19">
        <f t="shared" si="7"/>
        <v>135.71280000000002</v>
      </c>
      <c r="Q15" s="19"/>
      <c r="R15" s="19"/>
      <c r="S15" s="20"/>
    </row>
    <row r="16" spans="1:24" ht="12.75">
      <c r="A16" s="560"/>
      <c r="B16" s="17" t="s">
        <v>300</v>
      </c>
      <c r="C16" s="18">
        <v>0.17</v>
      </c>
      <c r="D16" s="19">
        <f t="shared" si="0"/>
        <v>0</v>
      </c>
      <c r="E16" s="18">
        <v>2</v>
      </c>
      <c r="F16" s="19"/>
      <c r="G16" s="19"/>
      <c r="H16" s="19">
        <v>1.3</v>
      </c>
      <c r="I16" s="19">
        <f t="shared" si="1"/>
        <v>0</v>
      </c>
      <c r="J16" s="19"/>
      <c r="K16" s="19">
        <f t="shared" si="2"/>
        <v>0</v>
      </c>
      <c r="L16" s="19">
        <f t="shared" si="3"/>
        <v>0</v>
      </c>
      <c r="M16" s="19">
        <f t="shared" si="4"/>
        <v>0</v>
      </c>
      <c r="N16" s="19">
        <f t="shared" si="5"/>
        <v>0</v>
      </c>
      <c r="O16" s="19">
        <f t="shared" si="6"/>
        <v>0</v>
      </c>
      <c r="P16" s="19">
        <f t="shared" si="7"/>
        <v>0</v>
      </c>
      <c r="Q16" s="19"/>
      <c r="R16" s="19"/>
      <c r="S16" s="20"/>
    </row>
    <row r="17" spans="1:19" ht="12.75">
      <c r="A17" s="560"/>
      <c r="B17" s="17" t="s">
        <v>301</v>
      </c>
      <c r="C17" s="18">
        <v>0.22</v>
      </c>
      <c r="D17" s="19">
        <f t="shared" si="0"/>
        <v>0</v>
      </c>
      <c r="E17" s="18">
        <v>2</v>
      </c>
      <c r="F17" s="19"/>
      <c r="G17" s="19"/>
      <c r="H17" s="19">
        <v>1.3</v>
      </c>
      <c r="I17" s="19">
        <f t="shared" si="1"/>
        <v>0</v>
      </c>
      <c r="J17" s="19"/>
      <c r="K17" s="19">
        <f t="shared" si="2"/>
        <v>0</v>
      </c>
      <c r="L17" s="19">
        <f t="shared" si="3"/>
        <v>0</v>
      </c>
      <c r="M17" s="19">
        <f t="shared" si="4"/>
        <v>0</v>
      </c>
      <c r="N17" s="19">
        <f t="shared" si="5"/>
        <v>0</v>
      </c>
      <c r="O17" s="19">
        <f t="shared" si="6"/>
        <v>0</v>
      </c>
      <c r="P17" s="19">
        <f t="shared" si="7"/>
        <v>0</v>
      </c>
      <c r="Q17" s="19"/>
      <c r="R17" s="19"/>
      <c r="S17" s="20"/>
    </row>
    <row r="18" spans="1:19" ht="12.75">
      <c r="A18" s="560"/>
      <c r="B18" s="17" t="s">
        <v>298</v>
      </c>
      <c r="C18" s="18">
        <v>0.27</v>
      </c>
      <c r="D18" s="19">
        <f t="shared" si="0"/>
        <v>0</v>
      </c>
      <c r="E18" s="18">
        <v>2</v>
      </c>
      <c r="F18" s="19"/>
      <c r="G18" s="19"/>
      <c r="H18" s="19">
        <v>1.3</v>
      </c>
      <c r="I18" s="19">
        <f t="shared" si="1"/>
        <v>0</v>
      </c>
      <c r="J18" s="19"/>
      <c r="K18" s="19">
        <f t="shared" si="2"/>
        <v>0</v>
      </c>
      <c r="L18" s="19">
        <f t="shared" si="3"/>
        <v>0</v>
      </c>
      <c r="M18" s="19">
        <f t="shared" si="4"/>
        <v>0</v>
      </c>
      <c r="N18" s="19">
        <f t="shared" si="5"/>
        <v>0</v>
      </c>
      <c r="O18" s="19">
        <f t="shared" si="6"/>
        <v>0</v>
      </c>
      <c r="P18" s="19">
        <f t="shared" si="7"/>
        <v>0</v>
      </c>
      <c r="Q18" s="19"/>
      <c r="R18" s="19"/>
      <c r="S18" s="20"/>
    </row>
    <row r="19" spans="1:19" ht="12.75">
      <c r="A19" s="561"/>
      <c r="B19" s="21" t="s">
        <v>299</v>
      </c>
      <c r="C19" s="22">
        <v>0.33</v>
      </c>
      <c r="D19" s="23">
        <f t="shared" si="0"/>
        <v>0</v>
      </c>
      <c r="E19" s="22">
        <v>2</v>
      </c>
      <c r="F19" s="23"/>
      <c r="G19" s="23"/>
      <c r="H19" s="23">
        <v>1.35</v>
      </c>
      <c r="I19" s="23">
        <f t="shared" si="1"/>
        <v>0</v>
      </c>
      <c r="J19" s="23"/>
      <c r="K19" s="23">
        <f t="shared" si="2"/>
        <v>0</v>
      </c>
      <c r="L19" s="23">
        <f t="shared" si="3"/>
        <v>0</v>
      </c>
      <c r="M19" s="23">
        <f t="shared" si="4"/>
        <v>0</v>
      </c>
      <c r="N19" s="23">
        <f t="shared" si="5"/>
        <v>0</v>
      </c>
      <c r="O19" s="23">
        <f t="shared" si="6"/>
        <v>0</v>
      </c>
      <c r="P19" s="23">
        <f t="shared" si="7"/>
        <v>0</v>
      </c>
      <c r="Q19" s="23"/>
      <c r="R19" s="23"/>
      <c r="S19" s="24"/>
    </row>
    <row r="20" spans="1:19" ht="12.75">
      <c r="A20" s="559" t="s">
        <v>311</v>
      </c>
      <c r="B20" s="11" t="s">
        <v>275</v>
      </c>
      <c r="C20" s="12">
        <v>0.08</v>
      </c>
      <c r="D20" s="13">
        <f t="shared" si="0"/>
        <v>4.7599401267894246</v>
      </c>
      <c r="E20" s="12">
        <v>3</v>
      </c>
      <c r="F20" s="13">
        <f>+LONGITUDES!C14</f>
        <v>946.96</v>
      </c>
      <c r="G20" s="13">
        <v>0.4</v>
      </c>
      <c r="H20" s="13">
        <v>1.3</v>
      </c>
      <c r="I20" s="13">
        <f t="shared" si="1"/>
        <v>492.42</v>
      </c>
      <c r="J20" s="13">
        <f>F20*0.3</f>
        <v>284.08800000000002</v>
      </c>
      <c r="K20" s="13">
        <f t="shared" si="2"/>
        <v>662.87200000000007</v>
      </c>
      <c r="L20" s="13">
        <f t="shared" si="3"/>
        <v>177.0563798732106</v>
      </c>
      <c r="M20" s="13">
        <f t="shared" si="4"/>
        <v>375.91877987321055</v>
      </c>
      <c r="N20" s="13">
        <f t="shared" si="5"/>
        <v>22.727040000000002</v>
      </c>
      <c r="O20" s="13">
        <f t="shared" si="6"/>
        <v>89.014240000000015</v>
      </c>
      <c r="P20" s="13">
        <f t="shared" si="7"/>
        <v>85.226400000000012</v>
      </c>
      <c r="Q20" s="13"/>
      <c r="R20" s="13"/>
      <c r="S20" s="14"/>
    </row>
    <row r="21" spans="1:19" ht="12.75">
      <c r="A21" s="560"/>
      <c r="B21" s="17" t="s">
        <v>274</v>
      </c>
      <c r="C21" s="18">
        <v>0.09</v>
      </c>
      <c r="D21" s="19">
        <f t="shared" si="0"/>
        <v>2.0457399479701111</v>
      </c>
      <c r="E21" s="18">
        <v>3</v>
      </c>
      <c r="F21" s="19">
        <f>+LONGITUDES!C13</f>
        <v>321.57</v>
      </c>
      <c r="G21" s="19">
        <v>0.4</v>
      </c>
      <c r="H21" s="19">
        <v>1.3</v>
      </c>
      <c r="I21" s="19">
        <f t="shared" si="1"/>
        <v>167.22</v>
      </c>
      <c r="J21" s="19">
        <f t="shared" ref="J21:J23" si="9">F21*0.3</f>
        <v>96.470999999999989</v>
      </c>
      <c r="K21" s="19">
        <f t="shared" si="2"/>
        <v>225.09899999999999</v>
      </c>
      <c r="L21" s="19">
        <f t="shared" si="3"/>
        <v>60.98198005202989</v>
      </c>
      <c r="M21" s="19">
        <f t="shared" si="4"/>
        <v>127.2290000520299</v>
      </c>
      <c r="N21" s="19">
        <f t="shared" si="5"/>
        <v>7.7176800000000005</v>
      </c>
      <c r="O21" s="19">
        <f t="shared" si="6"/>
        <v>30.227580000000003</v>
      </c>
      <c r="P21" s="19">
        <f t="shared" si="7"/>
        <v>28.941299999999998</v>
      </c>
      <c r="Q21" s="19"/>
      <c r="R21" s="19"/>
      <c r="S21" s="20"/>
    </row>
    <row r="22" spans="1:19" ht="12.75">
      <c r="A22" s="560"/>
      <c r="B22" s="17" t="s">
        <v>273</v>
      </c>
      <c r="C22" s="18">
        <v>0.12</v>
      </c>
      <c r="D22" s="19">
        <f t="shared" si="0"/>
        <v>25.865699927542074</v>
      </c>
      <c r="E22" s="18">
        <v>3</v>
      </c>
      <c r="F22" s="19">
        <f>+LONGITUDES!C12</f>
        <v>2287.0300000000002</v>
      </c>
      <c r="G22" s="19">
        <v>0.4</v>
      </c>
      <c r="H22" s="19">
        <v>1.3</v>
      </c>
      <c r="I22" s="19">
        <f t="shared" si="1"/>
        <v>1189.26</v>
      </c>
      <c r="J22" s="19">
        <f t="shared" si="9"/>
        <v>686.10900000000004</v>
      </c>
      <c r="K22" s="19">
        <f t="shared" si="2"/>
        <v>1600.9210000000003</v>
      </c>
      <c r="L22" s="19">
        <f t="shared" si="3"/>
        <v>449.83654007245798</v>
      </c>
      <c r="M22" s="19">
        <f t="shared" si="4"/>
        <v>893.52476007245798</v>
      </c>
      <c r="N22" s="19">
        <f t="shared" si="5"/>
        <v>54.888720000000006</v>
      </c>
      <c r="O22" s="19">
        <f t="shared" si="6"/>
        <v>214.98082000000005</v>
      </c>
      <c r="P22" s="19">
        <f t="shared" si="7"/>
        <v>205.83270000000005</v>
      </c>
      <c r="Q22" s="19"/>
      <c r="R22" s="19"/>
      <c r="S22" s="20"/>
    </row>
    <row r="23" spans="1:19" ht="12.75">
      <c r="A23" s="560"/>
      <c r="B23" s="17" t="s">
        <v>300</v>
      </c>
      <c r="C23" s="18">
        <v>0.17</v>
      </c>
      <c r="D23" s="19">
        <f t="shared" si="0"/>
        <v>19.972203270900913</v>
      </c>
      <c r="E23" s="18">
        <v>3</v>
      </c>
      <c r="F23" s="19">
        <f>+LONGITUDES!C11</f>
        <v>879.91</v>
      </c>
      <c r="G23" s="19">
        <v>0.6</v>
      </c>
      <c r="H23" s="19">
        <v>1.3</v>
      </c>
      <c r="I23" s="19">
        <f t="shared" si="1"/>
        <v>686.33</v>
      </c>
      <c r="J23" s="19">
        <f t="shared" si="9"/>
        <v>263.97299999999996</v>
      </c>
      <c r="K23" s="19">
        <f t="shared" si="2"/>
        <v>615.93700000000001</v>
      </c>
      <c r="L23" s="19">
        <f t="shared" si="3"/>
        <v>280.95701672909911</v>
      </c>
      <c r="M23" s="19">
        <f t="shared" si="4"/>
        <v>510.61372672909914</v>
      </c>
      <c r="N23" s="19">
        <f t="shared" si="5"/>
        <v>31.676759999999994</v>
      </c>
      <c r="O23" s="19">
        <f t="shared" si="6"/>
        <v>124.06730999999999</v>
      </c>
      <c r="P23" s="19">
        <f t="shared" si="7"/>
        <v>79.19189999999999</v>
      </c>
      <c r="Q23" s="19"/>
      <c r="R23" s="19"/>
      <c r="S23" s="20"/>
    </row>
    <row r="24" spans="1:19" ht="12.75">
      <c r="A24" s="560"/>
      <c r="B24" s="17" t="s">
        <v>301</v>
      </c>
      <c r="C24" s="18">
        <v>0.22</v>
      </c>
      <c r="D24" s="19">
        <f t="shared" si="0"/>
        <v>0</v>
      </c>
      <c r="E24" s="18">
        <v>3</v>
      </c>
      <c r="F24" s="19"/>
      <c r="G24" s="19"/>
      <c r="H24" s="145">
        <v>1.3</v>
      </c>
      <c r="I24" s="19">
        <f t="shared" si="1"/>
        <v>0</v>
      </c>
      <c r="J24" s="19"/>
      <c r="K24" s="19">
        <f t="shared" si="2"/>
        <v>0</v>
      </c>
      <c r="L24" s="19">
        <f t="shared" si="3"/>
        <v>0</v>
      </c>
      <c r="M24" s="19">
        <f t="shared" si="4"/>
        <v>0</v>
      </c>
      <c r="N24" s="19">
        <f t="shared" si="5"/>
        <v>0</v>
      </c>
      <c r="O24" s="19">
        <f t="shared" si="6"/>
        <v>0</v>
      </c>
      <c r="P24" s="19">
        <f t="shared" si="7"/>
        <v>0</v>
      </c>
      <c r="Q24" s="19"/>
      <c r="R24" s="19"/>
      <c r="S24" s="20"/>
    </row>
    <row r="25" spans="1:19" ht="12.75">
      <c r="A25" s="560"/>
      <c r="B25" s="17" t="s">
        <v>298</v>
      </c>
      <c r="C25" s="18">
        <v>0.27</v>
      </c>
      <c r="D25" s="19">
        <f t="shared" si="0"/>
        <v>0</v>
      </c>
      <c r="E25" s="18">
        <v>3</v>
      </c>
      <c r="F25" s="19"/>
      <c r="G25" s="19"/>
      <c r="H25" s="145">
        <v>1.3</v>
      </c>
      <c r="I25" s="19">
        <f t="shared" si="1"/>
        <v>0</v>
      </c>
      <c r="J25" s="19"/>
      <c r="K25" s="19">
        <f t="shared" si="2"/>
        <v>0</v>
      </c>
      <c r="L25" s="19">
        <f t="shared" si="3"/>
        <v>0</v>
      </c>
      <c r="M25" s="19">
        <f t="shared" si="4"/>
        <v>0</v>
      </c>
      <c r="N25" s="19">
        <f t="shared" si="5"/>
        <v>0</v>
      </c>
      <c r="O25" s="19">
        <f t="shared" si="6"/>
        <v>0</v>
      </c>
      <c r="P25" s="19">
        <f t="shared" si="7"/>
        <v>0</v>
      </c>
      <c r="Q25" s="19"/>
      <c r="R25" s="19"/>
      <c r="S25" s="20"/>
    </row>
    <row r="26" spans="1:19" ht="12.75">
      <c r="A26" s="561"/>
      <c r="B26" s="21" t="s">
        <v>299</v>
      </c>
      <c r="C26" s="22">
        <v>0.33</v>
      </c>
      <c r="D26" s="23">
        <f t="shared" si="0"/>
        <v>0</v>
      </c>
      <c r="E26" s="22">
        <v>3</v>
      </c>
      <c r="F26" s="23"/>
      <c r="G26" s="23"/>
      <c r="H26" s="146">
        <v>1.35</v>
      </c>
      <c r="I26" s="23">
        <f t="shared" si="1"/>
        <v>0</v>
      </c>
      <c r="J26" s="23"/>
      <c r="K26" s="23">
        <f t="shared" si="2"/>
        <v>0</v>
      </c>
      <c r="L26" s="23">
        <f t="shared" si="3"/>
        <v>0</v>
      </c>
      <c r="M26" s="23">
        <f t="shared" si="4"/>
        <v>0</v>
      </c>
      <c r="N26" s="23">
        <f t="shared" si="5"/>
        <v>0</v>
      </c>
      <c r="O26" s="23">
        <f t="shared" si="6"/>
        <v>0</v>
      </c>
      <c r="P26" s="23">
        <f t="shared" si="7"/>
        <v>0</v>
      </c>
      <c r="Q26" s="23"/>
      <c r="R26" s="23"/>
      <c r="S26" s="24"/>
    </row>
    <row r="27" spans="1:19" ht="12.75">
      <c r="A27" s="559" t="s">
        <v>312</v>
      </c>
      <c r="B27" s="11" t="s">
        <v>275</v>
      </c>
      <c r="C27" s="12">
        <v>0.08</v>
      </c>
      <c r="D27" s="13">
        <f t="shared" si="0"/>
        <v>6.949504542635367</v>
      </c>
      <c r="E27" s="12">
        <v>4</v>
      </c>
      <c r="F27" s="13">
        <f>+LONGITUDES!C18</f>
        <v>1382.56</v>
      </c>
      <c r="G27" s="13">
        <v>0.4</v>
      </c>
      <c r="H27" s="271">
        <v>1.3</v>
      </c>
      <c r="I27" s="13">
        <f t="shared" si="1"/>
        <v>718.93</v>
      </c>
      <c r="J27" s="13"/>
      <c r="K27" s="13">
        <f t="shared" si="2"/>
        <v>1382.56</v>
      </c>
      <c r="L27" s="13">
        <f t="shared" si="3"/>
        <v>258.50201545736468</v>
      </c>
      <c r="M27" s="13">
        <f t="shared" si="4"/>
        <v>573.72449545736458</v>
      </c>
      <c r="N27" s="13">
        <f t="shared" si="5"/>
        <v>0</v>
      </c>
      <c r="O27" s="13">
        <f t="shared" si="6"/>
        <v>138.256</v>
      </c>
      <c r="P27" s="13">
        <f t="shared" si="7"/>
        <v>0</v>
      </c>
      <c r="Q27" s="13"/>
      <c r="R27" s="13"/>
      <c r="S27" s="14"/>
    </row>
    <row r="28" spans="1:19" ht="12.75">
      <c r="A28" s="560"/>
      <c r="B28" s="17" t="s">
        <v>274</v>
      </c>
      <c r="C28" s="18">
        <v>0.09</v>
      </c>
      <c r="D28" s="19">
        <f t="shared" si="0"/>
        <v>4.603726002885999</v>
      </c>
      <c r="E28" s="18">
        <v>4</v>
      </c>
      <c r="F28" s="19">
        <f>+LONGITUDES!C17</f>
        <v>723.66</v>
      </c>
      <c r="G28" s="19">
        <v>0.4</v>
      </c>
      <c r="H28" s="145">
        <v>1.3</v>
      </c>
      <c r="I28" s="19">
        <f t="shared" si="1"/>
        <v>376.3</v>
      </c>
      <c r="J28" s="19"/>
      <c r="K28" s="19">
        <f t="shared" si="2"/>
        <v>723.66</v>
      </c>
      <c r="L28" s="19">
        <f t="shared" si="3"/>
        <v>137.233633997114</v>
      </c>
      <c r="M28" s="19">
        <f t="shared" si="4"/>
        <v>299.33027399711403</v>
      </c>
      <c r="N28" s="19">
        <f t="shared" si="5"/>
        <v>0</v>
      </c>
      <c r="O28" s="19">
        <f t="shared" si="6"/>
        <v>72.366</v>
      </c>
      <c r="P28" s="19">
        <f t="shared" si="7"/>
        <v>0</v>
      </c>
      <c r="Q28" s="19"/>
      <c r="R28" s="19"/>
      <c r="S28" s="20"/>
    </row>
    <row r="29" spans="1:19" ht="12.75">
      <c r="A29" s="560"/>
      <c r="B29" s="17" t="s">
        <v>273</v>
      </c>
      <c r="C29" s="18">
        <v>0.12</v>
      </c>
      <c r="D29" s="19">
        <f t="shared" si="0"/>
        <v>21.845202746813381</v>
      </c>
      <c r="E29" s="18">
        <v>4</v>
      </c>
      <c r="F29" s="19">
        <f>+LONGITUDES!C16</f>
        <v>1931.54</v>
      </c>
      <c r="G29" s="19">
        <v>0.4</v>
      </c>
      <c r="H29" s="145">
        <v>1.3</v>
      </c>
      <c r="I29" s="19">
        <f t="shared" si="1"/>
        <v>1004.4</v>
      </c>
      <c r="J29" s="19"/>
      <c r="K29" s="19">
        <f t="shared" si="2"/>
        <v>1931.54</v>
      </c>
      <c r="L29" s="19">
        <f t="shared" si="3"/>
        <v>379.91511725318668</v>
      </c>
      <c r="M29" s="19">
        <f t="shared" si="4"/>
        <v>789.40079725318662</v>
      </c>
      <c r="N29" s="19">
        <f t="shared" si="5"/>
        <v>0</v>
      </c>
      <c r="O29" s="19">
        <f t="shared" si="6"/>
        <v>193.154</v>
      </c>
      <c r="P29" s="19">
        <f t="shared" si="7"/>
        <v>0</v>
      </c>
      <c r="Q29" s="19"/>
      <c r="R29" s="19"/>
      <c r="S29" s="20"/>
    </row>
    <row r="30" spans="1:19" ht="12.75">
      <c r="A30" s="560"/>
      <c r="B30" s="17" t="s">
        <v>300</v>
      </c>
      <c r="C30" s="18">
        <v>0.17</v>
      </c>
      <c r="D30" s="19">
        <f t="shared" si="0"/>
        <v>14.4549987283251</v>
      </c>
      <c r="E30" s="18">
        <v>4</v>
      </c>
      <c r="F30" s="19">
        <f>+LONGITUDES!C15</f>
        <v>636.84</v>
      </c>
      <c r="G30" s="19">
        <v>0.6</v>
      </c>
      <c r="H30" s="19">
        <v>1.3</v>
      </c>
      <c r="I30" s="19">
        <f t="shared" si="1"/>
        <v>496.74</v>
      </c>
      <c r="J30" s="19"/>
      <c r="K30" s="19">
        <f t="shared" si="2"/>
        <v>636.84</v>
      </c>
      <c r="L30" s="19">
        <f t="shared" si="3"/>
        <v>203.34428127167493</v>
      </c>
      <c r="M30" s="19">
        <f t="shared" si="4"/>
        <v>386.75900127167489</v>
      </c>
      <c r="N30" s="19">
        <f t="shared" si="5"/>
        <v>0</v>
      </c>
      <c r="O30" s="19">
        <f t="shared" si="6"/>
        <v>95.525999999999996</v>
      </c>
      <c r="P30" s="19">
        <f t="shared" si="7"/>
        <v>0</v>
      </c>
      <c r="Q30" s="19"/>
      <c r="R30" s="19"/>
      <c r="S30" s="20"/>
    </row>
    <row r="31" spans="1:19" ht="12.75">
      <c r="A31" s="560"/>
      <c r="B31" s="17" t="s">
        <v>301</v>
      </c>
      <c r="C31" s="18">
        <v>0.22</v>
      </c>
      <c r="D31" s="19">
        <f t="shared" si="0"/>
        <v>0</v>
      </c>
      <c r="E31" s="18">
        <v>4</v>
      </c>
      <c r="F31" s="19"/>
      <c r="G31" s="19"/>
      <c r="H31" s="19">
        <v>1.3</v>
      </c>
      <c r="I31" s="19">
        <f t="shared" si="1"/>
        <v>0</v>
      </c>
      <c r="J31" s="19"/>
      <c r="K31" s="19">
        <f t="shared" si="2"/>
        <v>0</v>
      </c>
      <c r="L31" s="19">
        <f t="shared" si="3"/>
        <v>0</v>
      </c>
      <c r="M31" s="19">
        <f t="shared" si="4"/>
        <v>0</v>
      </c>
      <c r="N31" s="19">
        <f t="shared" si="5"/>
        <v>0</v>
      </c>
      <c r="O31" s="19">
        <f t="shared" si="6"/>
        <v>0</v>
      </c>
      <c r="P31" s="19">
        <f t="shared" si="7"/>
        <v>0</v>
      </c>
      <c r="Q31" s="19"/>
      <c r="R31" s="19"/>
      <c r="S31" s="20"/>
    </row>
    <row r="32" spans="1:19" ht="12.75">
      <c r="A32" s="560"/>
      <c r="B32" s="17" t="s">
        <v>298</v>
      </c>
      <c r="C32" s="18">
        <v>0.27</v>
      </c>
      <c r="D32" s="19">
        <f t="shared" si="0"/>
        <v>0</v>
      </c>
      <c r="E32" s="18">
        <v>4</v>
      </c>
      <c r="F32" s="19"/>
      <c r="G32" s="19"/>
      <c r="H32" s="19">
        <v>1.3</v>
      </c>
      <c r="I32" s="19">
        <f t="shared" si="1"/>
        <v>0</v>
      </c>
      <c r="J32" s="19"/>
      <c r="K32" s="19">
        <f t="shared" si="2"/>
        <v>0</v>
      </c>
      <c r="L32" s="19">
        <f t="shared" si="3"/>
        <v>0</v>
      </c>
      <c r="M32" s="19">
        <f t="shared" si="4"/>
        <v>0</v>
      </c>
      <c r="N32" s="19">
        <f t="shared" si="5"/>
        <v>0</v>
      </c>
      <c r="O32" s="19">
        <f t="shared" si="6"/>
        <v>0</v>
      </c>
      <c r="P32" s="19">
        <f t="shared" si="7"/>
        <v>0</v>
      </c>
      <c r="Q32" s="19"/>
      <c r="R32" s="19"/>
      <c r="S32" s="20"/>
    </row>
    <row r="33" spans="1:19" ht="12.75">
      <c r="A33" s="561"/>
      <c r="B33" s="21" t="s">
        <v>299</v>
      </c>
      <c r="C33" s="22">
        <v>0.33</v>
      </c>
      <c r="D33" s="23">
        <f t="shared" si="0"/>
        <v>0</v>
      </c>
      <c r="E33" s="22">
        <v>4</v>
      </c>
      <c r="F33" s="23"/>
      <c r="G33" s="23"/>
      <c r="H33" s="23">
        <v>1.35</v>
      </c>
      <c r="I33" s="23">
        <f t="shared" si="1"/>
        <v>0</v>
      </c>
      <c r="J33" s="23"/>
      <c r="K33" s="23">
        <f t="shared" si="2"/>
        <v>0</v>
      </c>
      <c r="L33" s="23">
        <f t="shared" si="3"/>
        <v>0</v>
      </c>
      <c r="M33" s="23">
        <f t="shared" si="4"/>
        <v>0</v>
      </c>
      <c r="N33" s="23">
        <f t="shared" si="5"/>
        <v>0</v>
      </c>
      <c r="O33" s="23">
        <f t="shared" si="6"/>
        <v>0</v>
      </c>
      <c r="P33" s="23">
        <f t="shared" si="7"/>
        <v>0</v>
      </c>
      <c r="Q33" s="23"/>
      <c r="R33" s="23"/>
      <c r="S33" s="24"/>
    </row>
    <row r="34" spans="1:19" ht="12.75">
      <c r="A34" s="559" t="s">
        <v>313</v>
      </c>
      <c r="B34" s="11" t="s">
        <v>275</v>
      </c>
      <c r="C34" s="12">
        <v>0.08</v>
      </c>
      <c r="D34" s="13">
        <f t="shared" si="0"/>
        <v>5.8261212751941143</v>
      </c>
      <c r="E34" s="12">
        <v>5</v>
      </c>
      <c r="F34" s="13">
        <f>+LONGITUDES!C22</f>
        <v>1159.07</v>
      </c>
      <c r="G34" s="13">
        <v>0.4</v>
      </c>
      <c r="H34" s="13">
        <v>1.3</v>
      </c>
      <c r="I34" s="13">
        <f t="shared" si="1"/>
        <v>602.72</v>
      </c>
      <c r="J34" s="13"/>
      <c r="K34" s="13">
        <f t="shared" si="2"/>
        <v>1159.07</v>
      </c>
      <c r="L34" s="13">
        <f t="shared" si="3"/>
        <v>216.71531872480585</v>
      </c>
      <c r="M34" s="13">
        <f t="shared" si="4"/>
        <v>480.98687872480593</v>
      </c>
      <c r="N34" s="13">
        <f t="shared" si="5"/>
        <v>0</v>
      </c>
      <c r="O34" s="13">
        <f t="shared" si="6"/>
        <v>115.907</v>
      </c>
      <c r="P34" s="13">
        <f t="shared" si="7"/>
        <v>0</v>
      </c>
      <c r="Q34" s="13"/>
      <c r="R34" s="13"/>
      <c r="S34" s="14"/>
    </row>
    <row r="35" spans="1:19" ht="12.75">
      <c r="A35" s="560"/>
      <c r="B35" s="17" t="s">
        <v>274</v>
      </c>
      <c r="C35" s="18">
        <v>0.09</v>
      </c>
      <c r="D35" s="19">
        <f t="shared" si="0"/>
        <v>0.98390440760349984</v>
      </c>
      <c r="E35" s="18">
        <v>5</v>
      </c>
      <c r="F35" s="19">
        <f>+LONGITUDES!C21</f>
        <v>154.66000000000003</v>
      </c>
      <c r="G35" s="19">
        <v>0.4</v>
      </c>
      <c r="H35" s="19">
        <v>1.3</v>
      </c>
      <c r="I35" s="19">
        <f t="shared" si="1"/>
        <v>80.42</v>
      </c>
      <c r="J35" s="19"/>
      <c r="K35" s="19">
        <f t="shared" si="2"/>
        <v>154.66000000000003</v>
      </c>
      <c r="L35" s="19">
        <f t="shared" si="3"/>
        <v>29.329455592396506</v>
      </c>
      <c r="M35" s="19">
        <f t="shared" si="4"/>
        <v>63.970095592396497</v>
      </c>
      <c r="N35" s="19">
        <f t="shared" si="5"/>
        <v>0</v>
      </c>
      <c r="O35" s="19">
        <f t="shared" si="6"/>
        <v>15.466000000000003</v>
      </c>
      <c r="P35" s="19">
        <f t="shared" si="7"/>
        <v>0</v>
      </c>
      <c r="Q35" s="19"/>
      <c r="R35" s="19"/>
      <c r="S35" s="20"/>
    </row>
    <row r="36" spans="1:19" ht="12.75">
      <c r="A36" s="560"/>
      <c r="B36" s="17" t="s">
        <v>273</v>
      </c>
      <c r="C36" s="18">
        <v>0.12</v>
      </c>
      <c r="D36" s="19">
        <f t="shared" si="0"/>
        <v>4.178267963791968</v>
      </c>
      <c r="E36" s="18">
        <v>5</v>
      </c>
      <c r="F36" s="19">
        <f>+LONGITUDES!C20</f>
        <v>369.44000000000005</v>
      </c>
      <c r="G36" s="19">
        <v>0.4</v>
      </c>
      <c r="H36" s="19">
        <v>1.3</v>
      </c>
      <c r="I36" s="19">
        <f t="shared" si="1"/>
        <v>192.11</v>
      </c>
      <c r="J36" s="19"/>
      <c r="K36" s="19">
        <f t="shared" si="2"/>
        <v>369.44000000000005</v>
      </c>
      <c r="L36" s="19">
        <f t="shared" si="3"/>
        <v>72.665252036208045</v>
      </c>
      <c r="M36" s="19">
        <f t="shared" si="4"/>
        <v>150.98773203620803</v>
      </c>
      <c r="N36" s="19">
        <f t="shared" si="5"/>
        <v>0</v>
      </c>
      <c r="O36" s="19">
        <f t="shared" si="6"/>
        <v>36.94400000000001</v>
      </c>
      <c r="P36" s="19">
        <f t="shared" si="7"/>
        <v>0</v>
      </c>
      <c r="Q36" s="19"/>
      <c r="R36" s="19"/>
      <c r="S36" s="20"/>
    </row>
    <row r="37" spans="1:19" ht="12.75">
      <c r="A37" s="560"/>
      <c r="B37" s="17" t="s">
        <v>300</v>
      </c>
      <c r="C37" s="18">
        <v>0.17</v>
      </c>
      <c r="D37" s="19">
        <f t="shared" si="0"/>
        <v>7.5820422322870975</v>
      </c>
      <c r="E37" s="18">
        <v>5</v>
      </c>
      <c r="F37" s="19">
        <f>+LONGITUDES!C19</f>
        <v>334.03999999999996</v>
      </c>
      <c r="G37" s="19">
        <v>0.6</v>
      </c>
      <c r="H37" s="19">
        <v>1.3</v>
      </c>
      <c r="I37" s="19">
        <f t="shared" si="1"/>
        <v>260.55</v>
      </c>
      <c r="J37" s="19"/>
      <c r="K37" s="19">
        <f t="shared" si="2"/>
        <v>334.03999999999996</v>
      </c>
      <c r="L37" s="19">
        <f t="shared" si="3"/>
        <v>106.65963776771291</v>
      </c>
      <c r="M37" s="19">
        <f t="shared" si="4"/>
        <v>202.86195776771291</v>
      </c>
      <c r="N37" s="19">
        <f t="shared" si="5"/>
        <v>0</v>
      </c>
      <c r="O37" s="19">
        <f t="shared" si="6"/>
        <v>50.105999999999995</v>
      </c>
      <c r="P37" s="19">
        <f t="shared" si="7"/>
        <v>0</v>
      </c>
      <c r="Q37" s="19"/>
      <c r="R37" s="19"/>
      <c r="S37" s="20"/>
    </row>
    <row r="38" spans="1:19" ht="12.75">
      <c r="A38" s="560"/>
      <c r="B38" s="17" t="s">
        <v>301</v>
      </c>
      <c r="C38" s="18">
        <v>0.22</v>
      </c>
      <c r="D38" s="19">
        <f t="shared" si="0"/>
        <v>0</v>
      </c>
      <c r="E38" s="18">
        <v>5</v>
      </c>
      <c r="F38" s="19"/>
      <c r="G38" s="19"/>
      <c r="H38" s="19">
        <v>1.3</v>
      </c>
      <c r="I38" s="19">
        <f t="shared" si="1"/>
        <v>0</v>
      </c>
      <c r="J38" s="19"/>
      <c r="K38" s="19">
        <f t="shared" si="2"/>
        <v>0</v>
      </c>
      <c r="L38" s="19">
        <f t="shared" si="3"/>
        <v>0</v>
      </c>
      <c r="M38" s="19">
        <f t="shared" si="4"/>
        <v>0</v>
      </c>
      <c r="N38" s="19">
        <f t="shared" si="5"/>
        <v>0</v>
      </c>
      <c r="O38" s="19">
        <f t="shared" si="6"/>
        <v>0</v>
      </c>
      <c r="P38" s="19">
        <f t="shared" si="7"/>
        <v>0</v>
      </c>
      <c r="Q38" s="19"/>
      <c r="R38" s="19"/>
      <c r="S38" s="20"/>
    </row>
    <row r="39" spans="1:19" ht="12.75">
      <c r="A39" s="560"/>
      <c r="B39" s="17" t="s">
        <v>298</v>
      </c>
      <c r="C39" s="18">
        <v>0.27</v>
      </c>
      <c r="D39" s="19">
        <f t="shared" si="0"/>
        <v>0</v>
      </c>
      <c r="E39" s="18">
        <v>5</v>
      </c>
      <c r="F39" s="19"/>
      <c r="G39" s="19"/>
      <c r="H39" s="19">
        <v>1.3</v>
      </c>
      <c r="I39" s="19">
        <f t="shared" si="1"/>
        <v>0</v>
      </c>
      <c r="J39" s="19"/>
      <c r="K39" s="19">
        <f t="shared" si="2"/>
        <v>0</v>
      </c>
      <c r="L39" s="19">
        <f t="shared" si="3"/>
        <v>0</v>
      </c>
      <c r="M39" s="19">
        <f t="shared" si="4"/>
        <v>0</v>
      </c>
      <c r="N39" s="19">
        <f t="shared" si="5"/>
        <v>0</v>
      </c>
      <c r="O39" s="19">
        <f t="shared" si="6"/>
        <v>0</v>
      </c>
      <c r="P39" s="19">
        <f t="shared" si="7"/>
        <v>0</v>
      </c>
      <c r="Q39" s="19"/>
      <c r="R39" s="19"/>
      <c r="S39" s="20"/>
    </row>
    <row r="40" spans="1:19" ht="12.75">
      <c r="A40" s="561"/>
      <c r="B40" s="21" t="s">
        <v>299</v>
      </c>
      <c r="C40" s="22">
        <v>0.33</v>
      </c>
      <c r="D40" s="23">
        <f t="shared" si="0"/>
        <v>0</v>
      </c>
      <c r="E40" s="22">
        <v>5</v>
      </c>
      <c r="F40" s="23"/>
      <c r="G40" s="23"/>
      <c r="H40" s="23">
        <v>1.35</v>
      </c>
      <c r="I40" s="23">
        <f t="shared" si="1"/>
        <v>0</v>
      </c>
      <c r="J40" s="23"/>
      <c r="K40" s="23">
        <f t="shared" si="2"/>
        <v>0</v>
      </c>
      <c r="L40" s="23">
        <f t="shared" si="3"/>
        <v>0</v>
      </c>
      <c r="M40" s="23">
        <f t="shared" si="4"/>
        <v>0</v>
      </c>
      <c r="N40" s="23">
        <f t="shared" si="5"/>
        <v>0</v>
      </c>
      <c r="O40" s="23">
        <f t="shared" si="6"/>
        <v>0</v>
      </c>
      <c r="P40" s="23">
        <f t="shared" si="7"/>
        <v>0</v>
      </c>
      <c r="Q40" s="23"/>
      <c r="R40" s="23"/>
      <c r="S40" s="24"/>
    </row>
    <row r="41" spans="1:19" ht="12.75">
      <c r="A41" s="559" t="s">
        <v>314</v>
      </c>
      <c r="B41" s="11" t="s">
        <v>275</v>
      </c>
      <c r="C41" s="12">
        <v>0.08</v>
      </c>
      <c r="D41" s="13">
        <f t="shared" si="0"/>
        <v>6.1688011752994427</v>
      </c>
      <c r="E41" s="12">
        <v>6</v>
      </c>
      <c r="F41" s="13">
        <v>1227.2439999999999</v>
      </c>
      <c r="G41" s="13">
        <v>0.4</v>
      </c>
      <c r="H41" s="13">
        <v>1.3</v>
      </c>
      <c r="I41" s="13">
        <f t="shared" si="1"/>
        <v>638.16999999999996</v>
      </c>
      <c r="J41" s="13"/>
      <c r="K41" s="13">
        <f t="shared" si="2"/>
        <v>1227.2439999999999</v>
      </c>
      <c r="L41" s="13">
        <f t="shared" si="3"/>
        <v>229.46204682470054</v>
      </c>
      <c r="M41" s="13">
        <f t="shared" si="4"/>
        <v>509.27679882470056</v>
      </c>
      <c r="N41" s="13">
        <f t="shared" si="5"/>
        <v>0</v>
      </c>
      <c r="O41" s="13">
        <f t="shared" si="6"/>
        <v>122.7244</v>
      </c>
      <c r="P41" s="13">
        <f t="shared" si="7"/>
        <v>0</v>
      </c>
      <c r="Q41" s="13"/>
      <c r="R41" s="13"/>
      <c r="S41" s="14"/>
    </row>
    <row r="42" spans="1:19" ht="12.75">
      <c r="A42" s="560"/>
      <c r="B42" s="17" t="s">
        <v>274</v>
      </c>
      <c r="C42" s="18">
        <v>0.09</v>
      </c>
      <c r="D42" s="19">
        <f t="shared" si="0"/>
        <v>0</v>
      </c>
      <c r="E42" s="18">
        <v>6</v>
      </c>
      <c r="F42" s="19"/>
      <c r="G42" s="19">
        <v>0.4</v>
      </c>
      <c r="H42" s="19">
        <v>1.3</v>
      </c>
      <c r="I42" s="19">
        <f t="shared" si="1"/>
        <v>0</v>
      </c>
      <c r="J42" s="19"/>
      <c r="K42" s="19">
        <f t="shared" si="2"/>
        <v>0</v>
      </c>
      <c r="L42" s="19">
        <f t="shared" si="3"/>
        <v>0</v>
      </c>
      <c r="M42" s="19">
        <f t="shared" si="4"/>
        <v>0</v>
      </c>
      <c r="N42" s="19">
        <f t="shared" si="5"/>
        <v>0</v>
      </c>
      <c r="O42" s="19">
        <f t="shared" si="6"/>
        <v>0</v>
      </c>
      <c r="P42" s="19">
        <f t="shared" si="7"/>
        <v>0</v>
      </c>
      <c r="Q42" s="19"/>
      <c r="R42" s="19"/>
      <c r="S42" s="20"/>
    </row>
    <row r="43" spans="1:19" ht="12.75">
      <c r="A43" s="560"/>
      <c r="B43" s="17" t="s">
        <v>273</v>
      </c>
      <c r="C43" s="18">
        <v>0.12</v>
      </c>
      <c r="D43" s="19">
        <f t="shared" si="0"/>
        <v>23.440282328183464</v>
      </c>
      <c r="E43" s="18">
        <v>6</v>
      </c>
      <c r="F43" s="19">
        <v>2072.5759999999996</v>
      </c>
      <c r="G43" s="19">
        <v>0.4</v>
      </c>
      <c r="H43" s="19">
        <v>1.3</v>
      </c>
      <c r="I43" s="19">
        <f t="shared" si="1"/>
        <v>1077.74</v>
      </c>
      <c r="J43" s="19"/>
      <c r="K43" s="19">
        <f t="shared" si="2"/>
        <v>2072.5759999999996</v>
      </c>
      <c r="L43" s="19">
        <f t="shared" si="3"/>
        <v>407.65552567181652</v>
      </c>
      <c r="M43" s="19">
        <f t="shared" si="4"/>
        <v>847.04211767181664</v>
      </c>
      <c r="N43" s="19">
        <f t="shared" si="5"/>
        <v>0</v>
      </c>
      <c r="O43" s="19">
        <f t="shared" si="6"/>
        <v>207.25759999999997</v>
      </c>
      <c r="P43" s="19">
        <f t="shared" si="7"/>
        <v>0</v>
      </c>
      <c r="Q43" s="19"/>
      <c r="R43" s="19"/>
      <c r="S43" s="20"/>
    </row>
    <row r="44" spans="1:19" ht="12.75">
      <c r="A44" s="560"/>
      <c r="B44" s="17" t="s">
        <v>273</v>
      </c>
      <c r="C44" s="18">
        <v>0.12</v>
      </c>
      <c r="D44" s="19">
        <f t="shared" si="0"/>
        <v>0</v>
      </c>
      <c r="E44" s="18">
        <v>6</v>
      </c>
      <c r="F44" s="19"/>
      <c r="G44" s="19">
        <v>0.4</v>
      </c>
      <c r="H44" s="19">
        <v>1.3</v>
      </c>
      <c r="I44" s="19">
        <f t="shared" si="1"/>
        <v>0</v>
      </c>
      <c r="J44" s="19"/>
      <c r="K44" s="19">
        <f t="shared" si="2"/>
        <v>0</v>
      </c>
      <c r="L44" s="19">
        <f t="shared" si="3"/>
        <v>0</v>
      </c>
      <c r="M44" s="19">
        <f t="shared" si="4"/>
        <v>0</v>
      </c>
      <c r="N44" s="19">
        <f t="shared" si="5"/>
        <v>0</v>
      </c>
      <c r="O44" s="19">
        <f t="shared" si="6"/>
        <v>0</v>
      </c>
      <c r="P44" s="19">
        <f t="shared" si="7"/>
        <v>0</v>
      </c>
      <c r="Q44" s="19"/>
      <c r="R44" s="19"/>
      <c r="S44" s="20"/>
    </row>
    <row r="45" spans="1:19" ht="12.75">
      <c r="A45" s="560"/>
      <c r="B45" s="17" t="s">
        <v>300</v>
      </c>
      <c r="C45" s="18">
        <v>0.17</v>
      </c>
      <c r="D45" s="19">
        <f t="shared" si="0"/>
        <v>6.7942171100249364</v>
      </c>
      <c r="E45" s="18">
        <v>6</v>
      </c>
      <c r="F45" s="19">
        <v>299.33100000000002</v>
      </c>
      <c r="G45" s="19">
        <v>0.6</v>
      </c>
      <c r="H45" s="19">
        <v>1.3</v>
      </c>
      <c r="I45" s="19">
        <f t="shared" si="1"/>
        <v>233.48</v>
      </c>
      <c r="J45" s="19"/>
      <c r="K45" s="19">
        <f t="shared" si="2"/>
        <v>299.33100000000002</v>
      </c>
      <c r="L45" s="19">
        <f t="shared" si="3"/>
        <v>95.576984889975094</v>
      </c>
      <c r="M45" s="19">
        <f t="shared" si="4"/>
        <v>181.78613288997505</v>
      </c>
      <c r="N45" s="19">
        <f t="shared" si="5"/>
        <v>0</v>
      </c>
      <c r="O45" s="19">
        <f t="shared" si="6"/>
        <v>44.899650000000001</v>
      </c>
      <c r="P45" s="19">
        <f t="shared" si="7"/>
        <v>0</v>
      </c>
      <c r="Q45" s="19"/>
      <c r="R45" s="19"/>
      <c r="S45" s="20"/>
    </row>
    <row r="46" spans="1:19" ht="12.75">
      <c r="A46" s="560"/>
      <c r="B46" s="17" t="s">
        <v>300</v>
      </c>
      <c r="C46" s="18">
        <v>0.17</v>
      </c>
      <c r="D46" s="19">
        <f t="shared" si="0"/>
        <v>0</v>
      </c>
      <c r="E46" s="18">
        <v>6</v>
      </c>
      <c r="F46" s="19"/>
      <c r="G46" s="19">
        <v>0.6</v>
      </c>
      <c r="H46" s="19">
        <v>1.3</v>
      </c>
      <c r="I46" s="19">
        <f t="shared" si="1"/>
        <v>0</v>
      </c>
      <c r="J46" s="19"/>
      <c r="K46" s="19">
        <f t="shared" si="2"/>
        <v>0</v>
      </c>
      <c r="L46" s="19">
        <f t="shared" si="3"/>
        <v>0</v>
      </c>
      <c r="M46" s="19">
        <f t="shared" si="4"/>
        <v>0</v>
      </c>
      <c r="N46" s="19">
        <f t="shared" si="5"/>
        <v>0</v>
      </c>
      <c r="O46" s="19">
        <f t="shared" si="6"/>
        <v>0</v>
      </c>
      <c r="P46" s="19">
        <f t="shared" si="7"/>
        <v>0</v>
      </c>
      <c r="Q46" s="19"/>
      <c r="R46" s="19"/>
      <c r="S46" s="20"/>
    </row>
    <row r="47" spans="1:19" ht="12.75">
      <c r="A47" s="560"/>
      <c r="B47" s="17" t="s">
        <v>301</v>
      </c>
      <c r="C47" s="18">
        <v>0.22</v>
      </c>
      <c r="D47" s="19">
        <f t="shared" si="0"/>
        <v>0</v>
      </c>
      <c r="E47" s="18">
        <v>6</v>
      </c>
      <c r="F47" s="19"/>
      <c r="G47" s="19"/>
      <c r="H47" s="19">
        <v>1.3</v>
      </c>
      <c r="I47" s="19">
        <f t="shared" si="1"/>
        <v>0</v>
      </c>
      <c r="J47" s="19"/>
      <c r="K47" s="19">
        <f t="shared" si="2"/>
        <v>0</v>
      </c>
      <c r="L47" s="19">
        <f t="shared" si="3"/>
        <v>0</v>
      </c>
      <c r="M47" s="19">
        <f t="shared" si="4"/>
        <v>0</v>
      </c>
      <c r="N47" s="19">
        <f t="shared" si="5"/>
        <v>0</v>
      </c>
      <c r="O47" s="19">
        <f t="shared" si="6"/>
        <v>0</v>
      </c>
      <c r="P47" s="19">
        <f t="shared" si="7"/>
        <v>0</v>
      </c>
      <c r="Q47" s="19"/>
      <c r="R47" s="19"/>
      <c r="S47" s="20"/>
    </row>
    <row r="48" spans="1:19" ht="12.75">
      <c r="A48" s="560"/>
      <c r="B48" s="17" t="s">
        <v>298</v>
      </c>
      <c r="C48" s="18">
        <v>0.27</v>
      </c>
      <c r="D48" s="19">
        <f t="shared" si="0"/>
        <v>0</v>
      </c>
      <c r="E48" s="18">
        <v>6</v>
      </c>
      <c r="F48" s="19"/>
      <c r="G48" s="19"/>
      <c r="H48" s="19">
        <v>1.3</v>
      </c>
      <c r="I48" s="19">
        <f t="shared" si="1"/>
        <v>0</v>
      </c>
      <c r="J48" s="19"/>
      <c r="K48" s="19">
        <f t="shared" si="2"/>
        <v>0</v>
      </c>
      <c r="L48" s="19">
        <f t="shared" si="3"/>
        <v>0</v>
      </c>
      <c r="M48" s="19">
        <f t="shared" si="4"/>
        <v>0</v>
      </c>
      <c r="N48" s="19">
        <f t="shared" si="5"/>
        <v>0</v>
      </c>
      <c r="O48" s="19">
        <f t="shared" si="6"/>
        <v>0</v>
      </c>
      <c r="P48" s="19">
        <f t="shared" si="7"/>
        <v>0</v>
      </c>
      <c r="Q48" s="19"/>
      <c r="R48" s="19"/>
      <c r="S48" s="20"/>
    </row>
    <row r="49" spans="1:19" ht="12.75">
      <c r="A49" s="561"/>
      <c r="B49" s="21" t="s">
        <v>299</v>
      </c>
      <c r="C49" s="22">
        <v>0.33</v>
      </c>
      <c r="D49" s="23">
        <f t="shared" si="0"/>
        <v>0</v>
      </c>
      <c r="E49" s="22">
        <v>6</v>
      </c>
      <c r="F49" s="23"/>
      <c r="G49" s="23"/>
      <c r="H49" s="23">
        <v>1.35</v>
      </c>
      <c r="I49" s="23">
        <f t="shared" si="1"/>
        <v>0</v>
      </c>
      <c r="J49" s="23"/>
      <c r="K49" s="23">
        <f t="shared" si="2"/>
        <v>0</v>
      </c>
      <c r="L49" s="23">
        <f t="shared" si="3"/>
        <v>0</v>
      </c>
      <c r="M49" s="23">
        <f t="shared" si="4"/>
        <v>0</v>
      </c>
      <c r="N49" s="23">
        <f t="shared" si="5"/>
        <v>0</v>
      </c>
      <c r="O49" s="23">
        <f t="shared" si="6"/>
        <v>0</v>
      </c>
      <c r="P49" s="23">
        <f t="shared" si="7"/>
        <v>0</v>
      </c>
      <c r="Q49" s="23"/>
      <c r="R49" s="23"/>
      <c r="S49" s="24"/>
    </row>
    <row r="50" spans="1:19" ht="12.75">
      <c r="A50" s="559" t="s">
        <v>315</v>
      </c>
      <c r="B50" s="11" t="s">
        <v>275</v>
      </c>
      <c r="C50" s="12">
        <v>0.08</v>
      </c>
      <c r="D50" s="13">
        <f t="shared" si="0"/>
        <v>5.3850718259195833</v>
      </c>
      <c r="E50" s="12">
        <v>7</v>
      </c>
      <c r="F50" s="13">
        <v>1071.3260000000002</v>
      </c>
      <c r="G50" s="13">
        <v>0.4</v>
      </c>
      <c r="H50" s="13">
        <v>1.3</v>
      </c>
      <c r="I50" s="13">
        <f t="shared" si="1"/>
        <v>557.09</v>
      </c>
      <c r="J50" s="13"/>
      <c r="K50" s="13">
        <f t="shared" si="2"/>
        <v>1071.3260000000002</v>
      </c>
      <c r="L50" s="13">
        <f t="shared" si="3"/>
        <v>200.30952017408046</v>
      </c>
      <c r="M50" s="13">
        <f t="shared" si="4"/>
        <v>444.57232817408044</v>
      </c>
      <c r="N50" s="13">
        <f t="shared" si="5"/>
        <v>0</v>
      </c>
      <c r="O50" s="13">
        <f t="shared" si="6"/>
        <v>107.13260000000002</v>
      </c>
      <c r="P50" s="13">
        <f t="shared" si="7"/>
        <v>0</v>
      </c>
      <c r="Q50" s="13"/>
      <c r="R50" s="13"/>
      <c r="S50" s="14"/>
    </row>
    <row r="51" spans="1:19" ht="12.75">
      <c r="A51" s="560"/>
      <c r="B51" s="17" t="s">
        <v>274</v>
      </c>
      <c r="C51" s="18">
        <v>0.09</v>
      </c>
      <c r="D51" s="19">
        <f t="shared" si="0"/>
        <v>0.74623035698881757</v>
      </c>
      <c r="E51" s="18">
        <v>7</v>
      </c>
      <c r="F51" s="19">
        <v>117.30000000000001</v>
      </c>
      <c r="G51" s="19">
        <v>0.4</v>
      </c>
      <c r="H51" s="19">
        <v>1.3</v>
      </c>
      <c r="I51" s="19">
        <f t="shared" si="1"/>
        <v>61</v>
      </c>
      <c r="J51" s="19"/>
      <c r="K51" s="19">
        <f t="shared" si="2"/>
        <v>117.30000000000001</v>
      </c>
      <c r="L51" s="19">
        <f t="shared" si="3"/>
        <v>22.244569643011186</v>
      </c>
      <c r="M51" s="19">
        <f t="shared" si="4"/>
        <v>48.523769643011178</v>
      </c>
      <c r="N51" s="19">
        <f t="shared" si="5"/>
        <v>0</v>
      </c>
      <c r="O51" s="19">
        <f t="shared" si="6"/>
        <v>11.730000000000002</v>
      </c>
      <c r="P51" s="19">
        <f t="shared" si="7"/>
        <v>0</v>
      </c>
      <c r="Q51" s="19"/>
      <c r="R51" s="19"/>
      <c r="S51" s="20"/>
    </row>
    <row r="52" spans="1:19" ht="12.75">
      <c r="A52" s="560"/>
      <c r="B52" s="17" t="s">
        <v>274</v>
      </c>
      <c r="C52" s="18">
        <v>0.09</v>
      </c>
      <c r="D52" s="19">
        <f t="shared" si="0"/>
        <v>0</v>
      </c>
      <c r="E52" s="18">
        <v>7</v>
      </c>
      <c r="F52" s="19"/>
      <c r="G52" s="19">
        <v>0.4</v>
      </c>
      <c r="H52" s="19">
        <v>1.3</v>
      </c>
      <c r="I52" s="19">
        <f t="shared" si="1"/>
        <v>0</v>
      </c>
      <c r="J52" s="19"/>
      <c r="K52" s="19">
        <f t="shared" si="2"/>
        <v>0</v>
      </c>
      <c r="L52" s="19">
        <f t="shared" si="3"/>
        <v>0</v>
      </c>
      <c r="M52" s="19">
        <f t="shared" si="4"/>
        <v>0</v>
      </c>
      <c r="N52" s="19">
        <f t="shared" si="5"/>
        <v>0</v>
      </c>
      <c r="O52" s="19">
        <f t="shared" si="6"/>
        <v>0</v>
      </c>
      <c r="P52" s="19">
        <f t="shared" si="7"/>
        <v>0</v>
      </c>
      <c r="Q52" s="19"/>
      <c r="R52" s="19"/>
      <c r="S52" s="20"/>
    </row>
    <row r="53" spans="1:19" ht="12.75">
      <c r="A53" s="560"/>
      <c r="B53" s="17" t="s">
        <v>273</v>
      </c>
      <c r="C53" s="18">
        <v>0.12</v>
      </c>
      <c r="D53" s="19">
        <f t="shared" si="0"/>
        <v>13.840523939794444</v>
      </c>
      <c r="E53" s="18">
        <v>7</v>
      </c>
      <c r="F53" s="19">
        <v>1223.771</v>
      </c>
      <c r="G53" s="19">
        <v>0.4</v>
      </c>
      <c r="H53" s="19">
        <v>1.3</v>
      </c>
      <c r="I53" s="19">
        <f t="shared" si="1"/>
        <v>636.36</v>
      </c>
      <c r="J53" s="19"/>
      <c r="K53" s="19">
        <f t="shared" si="2"/>
        <v>1223.771</v>
      </c>
      <c r="L53" s="19">
        <f t="shared" si="3"/>
        <v>240.70384406020554</v>
      </c>
      <c r="M53" s="19">
        <f t="shared" si="4"/>
        <v>500.14237606020555</v>
      </c>
      <c r="N53" s="19">
        <f t="shared" si="5"/>
        <v>0</v>
      </c>
      <c r="O53" s="19">
        <f t="shared" si="6"/>
        <v>122.3771</v>
      </c>
      <c r="P53" s="19">
        <f t="shared" si="7"/>
        <v>0</v>
      </c>
      <c r="Q53" s="19"/>
      <c r="R53" s="19"/>
      <c r="S53" s="20"/>
    </row>
    <row r="54" spans="1:19" ht="12.75">
      <c r="A54" s="560"/>
      <c r="B54" s="17" t="s">
        <v>300</v>
      </c>
      <c r="C54" s="18">
        <v>0.17</v>
      </c>
      <c r="D54" s="19">
        <f t="shared" si="0"/>
        <v>4.2645923325680428</v>
      </c>
      <c r="E54" s="18">
        <v>7</v>
      </c>
      <c r="F54" s="19">
        <v>187.88399999999999</v>
      </c>
      <c r="G54" s="19"/>
      <c r="H54" s="19">
        <v>1.3</v>
      </c>
      <c r="I54" s="19">
        <f t="shared" si="1"/>
        <v>0</v>
      </c>
      <c r="J54" s="19"/>
      <c r="K54" s="19">
        <f t="shared" si="2"/>
        <v>187.88399999999999</v>
      </c>
      <c r="L54" s="19">
        <f t="shared" si="3"/>
        <v>-4.2645923325680428</v>
      </c>
      <c r="M54" s="19">
        <f t="shared" si="4"/>
        <v>-4.2645923325680428</v>
      </c>
      <c r="N54" s="19">
        <f t="shared" si="5"/>
        <v>0</v>
      </c>
      <c r="O54" s="19">
        <f t="shared" si="6"/>
        <v>0</v>
      </c>
      <c r="P54" s="19">
        <f t="shared" si="7"/>
        <v>0</v>
      </c>
      <c r="Q54" s="19"/>
      <c r="R54" s="19"/>
      <c r="S54" s="20"/>
    </row>
    <row r="55" spans="1:19" ht="12.75">
      <c r="A55" s="560"/>
      <c r="B55" s="17" t="s">
        <v>301</v>
      </c>
      <c r="C55" s="18">
        <v>0.22</v>
      </c>
      <c r="D55" s="19">
        <f t="shared" si="0"/>
        <v>0</v>
      </c>
      <c r="E55" s="18">
        <v>7</v>
      </c>
      <c r="F55" s="19"/>
      <c r="G55" s="19"/>
      <c r="H55" s="19">
        <v>1.3</v>
      </c>
      <c r="I55" s="19">
        <f t="shared" si="1"/>
        <v>0</v>
      </c>
      <c r="J55" s="19"/>
      <c r="K55" s="19">
        <f t="shared" si="2"/>
        <v>0</v>
      </c>
      <c r="L55" s="19">
        <f t="shared" si="3"/>
        <v>0</v>
      </c>
      <c r="M55" s="19">
        <f t="shared" si="4"/>
        <v>0</v>
      </c>
      <c r="N55" s="19">
        <f t="shared" si="5"/>
        <v>0</v>
      </c>
      <c r="O55" s="19">
        <f t="shared" si="6"/>
        <v>0</v>
      </c>
      <c r="P55" s="19">
        <f t="shared" si="7"/>
        <v>0</v>
      </c>
      <c r="Q55" s="19"/>
      <c r="R55" s="19"/>
      <c r="S55" s="20"/>
    </row>
    <row r="56" spans="1:19" ht="12.75">
      <c r="A56" s="560"/>
      <c r="B56" s="17" t="s">
        <v>298</v>
      </c>
      <c r="C56" s="18">
        <v>0.27</v>
      </c>
      <c r="D56" s="19">
        <f t="shared" si="0"/>
        <v>0</v>
      </c>
      <c r="E56" s="18">
        <v>7</v>
      </c>
      <c r="F56" s="19"/>
      <c r="G56" s="19"/>
      <c r="H56" s="19">
        <v>1.3</v>
      </c>
      <c r="I56" s="19">
        <f t="shared" si="1"/>
        <v>0</v>
      </c>
      <c r="J56" s="19"/>
      <c r="K56" s="19">
        <f t="shared" si="2"/>
        <v>0</v>
      </c>
      <c r="L56" s="19">
        <f t="shared" si="3"/>
        <v>0</v>
      </c>
      <c r="M56" s="19">
        <f t="shared" si="4"/>
        <v>0</v>
      </c>
      <c r="N56" s="19">
        <f t="shared" si="5"/>
        <v>0</v>
      </c>
      <c r="O56" s="19">
        <f t="shared" si="6"/>
        <v>0</v>
      </c>
      <c r="P56" s="19">
        <f t="shared" si="7"/>
        <v>0</v>
      </c>
      <c r="Q56" s="19"/>
      <c r="R56" s="19"/>
      <c r="S56" s="20"/>
    </row>
    <row r="57" spans="1:19" ht="12.75">
      <c r="A57" s="561"/>
      <c r="B57" s="21" t="s">
        <v>299</v>
      </c>
      <c r="C57" s="22">
        <v>0.33</v>
      </c>
      <c r="D57" s="23">
        <f t="shared" si="0"/>
        <v>0</v>
      </c>
      <c r="E57" s="22">
        <v>7</v>
      </c>
      <c r="F57" s="23"/>
      <c r="G57" s="23"/>
      <c r="H57" s="23">
        <v>1.3</v>
      </c>
      <c r="I57" s="23">
        <f t="shared" si="1"/>
        <v>0</v>
      </c>
      <c r="J57" s="23"/>
      <c r="K57" s="23">
        <f t="shared" si="2"/>
        <v>0</v>
      </c>
      <c r="L57" s="23">
        <f t="shared" si="3"/>
        <v>0</v>
      </c>
      <c r="M57" s="23">
        <f t="shared" si="4"/>
        <v>0</v>
      </c>
      <c r="N57" s="23">
        <f t="shared" si="5"/>
        <v>0</v>
      </c>
      <c r="O57" s="23">
        <f t="shared" si="6"/>
        <v>0</v>
      </c>
      <c r="P57" s="23">
        <f t="shared" si="7"/>
        <v>0</v>
      </c>
      <c r="Q57" s="23"/>
      <c r="R57" s="23"/>
      <c r="S57" s="24"/>
    </row>
    <row r="58" spans="1:19" ht="12.75">
      <c r="A58" s="559" t="s">
        <v>316</v>
      </c>
      <c r="B58" s="11" t="s">
        <v>275</v>
      </c>
      <c r="C58" s="12">
        <v>0.08</v>
      </c>
      <c r="D58" s="13">
        <f t="shared" si="0"/>
        <v>0</v>
      </c>
      <c r="E58" s="12">
        <v>8</v>
      </c>
      <c r="F58" s="13"/>
      <c r="G58" s="13"/>
      <c r="H58" s="13">
        <v>1.3</v>
      </c>
      <c r="I58" s="13">
        <f t="shared" si="1"/>
        <v>0</v>
      </c>
      <c r="J58" s="13"/>
      <c r="K58" s="13">
        <f t="shared" si="2"/>
        <v>0</v>
      </c>
      <c r="L58" s="13">
        <f t="shared" si="3"/>
        <v>0</v>
      </c>
      <c r="M58" s="13">
        <f t="shared" si="4"/>
        <v>0</v>
      </c>
      <c r="N58" s="13">
        <f t="shared" si="5"/>
        <v>0</v>
      </c>
      <c r="O58" s="13">
        <f t="shared" si="6"/>
        <v>0</v>
      </c>
      <c r="P58" s="13">
        <f t="shared" si="7"/>
        <v>0</v>
      </c>
      <c r="Q58" s="13"/>
      <c r="R58" s="13"/>
      <c r="S58" s="14"/>
    </row>
    <row r="59" spans="1:19" ht="12.75">
      <c r="A59" s="560"/>
      <c r="B59" s="17" t="s">
        <v>274</v>
      </c>
      <c r="C59" s="18">
        <v>0.09</v>
      </c>
      <c r="D59" s="19">
        <f t="shared" si="0"/>
        <v>0</v>
      </c>
      <c r="E59" s="18">
        <v>8</v>
      </c>
      <c r="F59" s="19"/>
      <c r="G59" s="19"/>
      <c r="H59" s="19">
        <v>1.3</v>
      </c>
      <c r="I59" s="19">
        <f t="shared" si="1"/>
        <v>0</v>
      </c>
      <c r="J59" s="19"/>
      <c r="K59" s="19">
        <f t="shared" si="2"/>
        <v>0</v>
      </c>
      <c r="L59" s="19">
        <f t="shared" si="3"/>
        <v>0</v>
      </c>
      <c r="M59" s="19">
        <f t="shared" si="4"/>
        <v>0</v>
      </c>
      <c r="N59" s="19">
        <f t="shared" si="5"/>
        <v>0</v>
      </c>
      <c r="O59" s="19">
        <f t="shared" si="6"/>
        <v>0</v>
      </c>
      <c r="P59" s="19">
        <f t="shared" si="7"/>
        <v>0</v>
      </c>
      <c r="Q59" s="19"/>
      <c r="R59" s="19"/>
      <c r="S59" s="20"/>
    </row>
    <row r="60" spans="1:19" ht="12.75">
      <c r="A60" s="560"/>
      <c r="B60" s="17" t="s">
        <v>273</v>
      </c>
      <c r="C60" s="18">
        <v>0.12</v>
      </c>
      <c r="D60" s="19">
        <f t="shared" si="0"/>
        <v>7.7963648247076458</v>
      </c>
      <c r="E60" s="18">
        <v>8</v>
      </c>
      <c r="F60" s="19">
        <f>+LONGITUDES!C32</f>
        <v>689.35</v>
      </c>
      <c r="G60" s="19">
        <v>0.4</v>
      </c>
      <c r="H60" s="19">
        <v>1.3</v>
      </c>
      <c r="I60" s="19">
        <f t="shared" si="1"/>
        <v>358.46</v>
      </c>
      <c r="J60" s="19">
        <f>F60*0.2</f>
        <v>137.87</v>
      </c>
      <c r="K60" s="19">
        <f t="shared" si="2"/>
        <v>551.48</v>
      </c>
      <c r="L60" s="19">
        <f t="shared" si="3"/>
        <v>135.58843517529237</v>
      </c>
      <c r="M60" s="19">
        <f t="shared" si="4"/>
        <v>273.45643517529231</v>
      </c>
      <c r="N60" s="19">
        <f t="shared" si="5"/>
        <v>11.029600000000002</v>
      </c>
      <c r="O60" s="19">
        <f t="shared" si="6"/>
        <v>66.177600000000012</v>
      </c>
      <c r="P60" s="19">
        <f t="shared" si="7"/>
        <v>41.361000000000004</v>
      </c>
      <c r="Q60" s="19"/>
      <c r="R60" s="19"/>
      <c r="S60" s="20"/>
    </row>
    <row r="61" spans="1:19" ht="12.75">
      <c r="A61" s="560"/>
      <c r="B61" s="17" t="s">
        <v>300</v>
      </c>
      <c r="C61" s="18">
        <v>0.17</v>
      </c>
      <c r="D61" s="19">
        <f t="shared" si="0"/>
        <v>7.6029243986555093</v>
      </c>
      <c r="E61" s="18">
        <v>8</v>
      </c>
      <c r="F61" s="19">
        <f>+LONGITUDES!C31</f>
        <v>334.96</v>
      </c>
      <c r="G61" s="19">
        <v>0.6</v>
      </c>
      <c r="H61" s="19">
        <v>1.3</v>
      </c>
      <c r="I61" s="19">
        <f t="shared" si="1"/>
        <v>261.27</v>
      </c>
      <c r="J61" s="19">
        <f>F61*0.2</f>
        <v>66.992000000000004</v>
      </c>
      <c r="K61" s="19">
        <f t="shared" si="2"/>
        <v>267.96799999999996</v>
      </c>
      <c r="L61" s="19">
        <f t="shared" si="3"/>
        <v>106.9533956013445</v>
      </c>
      <c r="M61" s="19">
        <f t="shared" si="4"/>
        <v>197.39379560134446</v>
      </c>
      <c r="N61" s="19">
        <f t="shared" si="5"/>
        <v>8.0390400000000017</v>
      </c>
      <c r="O61" s="19">
        <f t="shared" si="6"/>
        <v>48.234239999999993</v>
      </c>
      <c r="P61" s="19">
        <f t="shared" si="7"/>
        <v>20.0976</v>
      </c>
      <c r="Q61" s="19"/>
      <c r="R61" s="19"/>
      <c r="S61" s="20"/>
    </row>
    <row r="62" spans="1:19" ht="12.75">
      <c r="A62" s="560"/>
      <c r="B62" s="17" t="s">
        <v>301</v>
      </c>
      <c r="C62" s="18">
        <v>0.22</v>
      </c>
      <c r="D62" s="19">
        <f t="shared" si="0"/>
        <v>0</v>
      </c>
      <c r="E62" s="18">
        <v>8</v>
      </c>
      <c r="F62" s="19"/>
      <c r="G62" s="19">
        <v>0.6</v>
      </c>
      <c r="H62" s="19">
        <v>1.3</v>
      </c>
      <c r="I62" s="19">
        <f t="shared" si="1"/>
        <v>0</v>
      </c>
      <c r="J62" s="19"/>
      <c r="K62" s="19">
        <f t="shared" si="2"/>
        <v>0</v>
      </c>
      <c r="L62" s="19">
        <f t="shared" si="3"/>
        <v>0</v>
      </c>
      <c r="M62" s="19">
        <f t="shared" si="4"/>
        <v>0</v>
      </c>
      <c r="N62" s="19">
        <f t="shared" si="5"/>
        <v>0</v>
      </c>
      <c r="O62" s="19">
        <f t="shared" si="6"/>
        <v>0</v>
      </c>
      <c r="P62" s="19">
        <f t="shared" si="7"/>
        <v>0</v>
      </c>
      <c r="Q62" s="19"/>
      <c r="R62" s="19"/>
      <c r="S62" s="20"/>
    </row>
    <row r="63" spans="1:19" ht="12.75">
      <c r="A63" s="560"/>
      <c r="B63" s="17" t="s">
        <v>298</v>
      </c>
      <c r="C63" s="18">
        <v>0.27</v>
      </c>
      <c r="D63" s="19">
        <f t="shared" si="0"/>
        <v>0</v>
      </c>
      <c r="E63" s="18">
        <v>8</v>
      </c>
      <c r="F63" s="19"/>
      <c r="G63" s="19"/>
      <c r="H63" s="19">
        <v>1.3</v>
      </c>
      <c r="I63" s="19">
        <f t="shared" si="1"/>
        <v>0</v>
      </c>
      <c r="J63" s="19"/>
      <c r="K63" s="19">
        <f t="shared" si="2"/>
        <v>0</v>
      </c>
      <c r="L63" s="19">
        <f t="shared" si="3"/>
        <v>0</v>
      </c>
      <c r="M63" s="19">
        <f t="shared" si="4"/>
        <v>0</v>
      </c>
      <c r="N63" s="19">
        <f t="shared" si="5"/>
        <v>0</v>
      </c>
      <c r="O63" s="19">
        <f t="shared" si="6"/>
        <v>0</v>
      </c>
      <c r="P63" s="19">
        <f t="shared" si="7"/>
        <v>0</v>
      </c>
      <c r="Q63" s="19"/>
      <c r="R63" s="19"/>
      <c r="S63" s="20"/>
    </row>
    <row r="64" spans="1:19" ht="12.75">
      <c r="A64" s="561"/>
      <c r="B64" s="21" t="s">
        <v>299</v>
      </c>
      <c r="C64" s="22">
        <v>0.33</v>
      </c>
      <c r="D64" s="23">
        <f t="shared" si="0"/>
        <v>0</v>
      </c>
      <c r="E64" s="22">
        <v>8</v>
      </c>
      <c r="F64" s="23"/>
      <c r="G64" s="23"/>
      <c r="H64" s="23">
        <v>1.3</v>
      </c>
      <c r="I64" s="23">
        <f t="shared" si="1"/>
        <v>0</v>
      </c>
      <c r="J64" s="23"/>
      <c r="K64" s="23">
        <f t="shared" si="2"/>
        <v>0</v>
      </c>
      <c r="L64" s="23">
        <f t="shared" si="3"/>
        <v>0</v>
      </c>
      <c r="M64" s="23">
        <f t="shared" si="4"/>
        <v>0</v>
      </c>
      <c r="N64" s="23">
        <f t="shared" si="5"/>
        <v>0</v>
      </c>
      <c r="O64" s="23">
        <f t="shared" si="6"/>
        <v>0</v>
      </c>
      <c r="P64" s="23">
        <f t="shared" si="7"/>
        <v>0</v>
      </c>
      <c r="Q64" s="23"/>
      <c r="R64" s="23"/>
      <c r="S64" s="24"/>
    </row>
    <row r="65" spans="1:19" ht="12.75">
      <c r="A65" s="559" t="s">
        <v>317</v>
      </c>
      <c r="B65" s="11" t="s">
        <v>275</v>
      </c>
      <c r="C65" s="12">
        <v>0.08</v>
      </c>
      <c r="D65" s="13">
        <f t="shared" si="0"/>
        <v>5.5075889128613387</v>
      </c>
      <c r="E65" s="12">
        <v>9</v>
      </c>
      <c r="F65" s="13">
        <f>+LONGITUDES!C38</f>
        <v>1095.7</v>
      </c>
      <c r="G65" s="13">
        <v>0.4</v>
      </c>
      <c r="H65" s="13">
        <v>1.3</v>
      </c>
      <c r="I65" s="13">
        <f t="shared" si="1"/>
        <v>569.76</v>
      </c>
      <c r="J65" s="13"/>
      <c r="K65" s="13">
        <f t="shared" si="2"/>
        <v>1095.7</v>
      </c>
      <c r="L65" s="13">
        <f t="shared" si="3"/>
        <v>204.8668110871387</v>
      </c>
      <c r="M65" s="13">
        <f t="shared" si="4"/>
        <v>454.68241108713863</v>
      </c>
      <c r="N65" s="13">
        <f t="shared" si="5"/>
        <v>0</v>
      </c>
      <c r="O65" s="13">
        <f t="shared" si="6"/>
        <v>109.57000000000001</v>
      </c>
      <c r="P65" s="13">
        <f t="shared" si="7"/>
        <v>0</v>
      </c>
      <c r="Q65" s="13"/>
      <c r="R65" s="13"/>
      <c r="S65" s="14"/>
    </row>
    <row r="66" spans="1:19" ht="12.75">
      <c r="A66" s="560"/>
      <c r="B66" s="17" t="s">
        <v>274</v>
      </c>
      <c r="C66" s="18">
        <v>0.09</v>
      </c>
      <c r="D66" s="19">
        <f t="shared" si="0"/>
        <v>6.1515337254382523</v>
      </c>
      <c r="E66" s="18">
        <v>9</v>
      </c>
      <c r="F66" s="19">
        <f>+LONGITUDES!C37</f>
        <v>966.96</v>
      </c>
      <c r="G66" s="19">
        <v>0.4</v>
      </c>
      <c r="H66" s="19">
        <v>1.3</v>
      </c>
      <c r="I66" s="19">
        <f t="shared" si="1"/>
        <v>502.82</v>
      </c>
      <c r="J66" s="19"/>
      <c r="K66" s="19">
        <f t="shared" si="2"/>
        <v>966.96</v>
      </c>
      <c r="L66" s="19">
        <f t="shared" si="3"/>
        <v>183.37262627456178</v>
      </c>
      <c r="M66" s="19">
        <f t="shared" si="4"/>
        <v>399.97246627456173</v>
      </c>
      <c r="N66" s="19">
        <f t="shared" si="5"/>
        <v>0</v>
      </c>
      <c r="O66" s="19">
        <f t="shared" si="6"/>
        <v>96.696000000000012</v>
      </c>
      <c r="P66" s="19">
        <f t="shared" si="7"/>
        <v>0</v>
      </c>
      <c r="Q66" s="19"/>
      <c r="R66" s="19"/>
      <c r="S66" s="20"/>
    </row>
    <row r="67" spans="1:19" ht="12.75">
      <c r="A67" s="560"/>
      <c r="B67" s="17" t="s">
        <v>273</v>
      </c>
      <c r="C67" s="18">
        <v>0.12</v>
      </c>
      <c r="D67" s="19">
        <f t="shared" si="0"/>
        <v>7.7436614663510239</v>
      </c>
      <c r="E67" s="18">
        <v>9</v>
      </c>
      <c r="F67" s="19">
        <f>+LONGITUDES!C36</f>
        <v>684.69</v>
      </c>
      <c r="G67" s="19">
        <v>0.4</v>
      </c>
      <c r="H67" s="19">
        <v>1.3</v>
      </c>
      <c r="I67" s="19">
        <f t="shared" si="1"/>
        <v>356.04</v>
      </c>
      <c r="J67" s="19"/>
      <c r="K67" s="19">
        <f t="shared" si="2"/>
        <v>684.69</v>
      </c>
      <c r="L67" s="19">
        <f t="shared" si="3"/>
        <v>134.67185853364899</v>
      </c>
      <c r="M67" s="19">
        <f t="shared" si="4"/>
        <v>279.82733853364903</v>
      </c>
      <c r="N67" s="19">
        <f t="shared" si="5"/>
        <v>0</v>
      </c>
      <c r="O67" s="19">
        <f t="shared" si="6"/>
        <v>68.469000000000008</v>
      </c>
      <c r="P67" s="19">
        <f t="shared" si="7"/>
        <v>0</v>
      </c>
      <c r="Q67" s="19"/>
      <c r="R67" s="19"/>
      <c r="S67" s="20"/>
    </row>
    <row r="68" spans="1:19" ht="12.75">
      <c r="A68" s="560"/>
      <c r="B68" s="17" t="s">
        <v>300</v>
      </c>
      <c r="C68" s="18">
        <v>0.17</v>
      </c>
      <c r="D68" s="19">
        <f t="shared" si="0"/>
        <v>5.2232653529335025</v>
      </c>
      <c r="E68" s="18">
        <v>9</v>
      </c>
      <c r="F68" s="19">
        <f>+LONGITUDES!C35</f>
        <v>230.12</v>
      </c>
      <c r="G68" s="19">
        <v>0.6</v>
      </c>
      <c r="H68" s="19">
        <v>1.3</v>
      </c>
      <c r="I68" s="19">
        <f t="shared" si="1"/>
        <v>179.49</v>
      </c>
      <c r="J68" s="19"/>
      <c r="K68" s="19">
        <f t="shared" si="2"/>
        <v>230.12</v>
      </c>
      <c r="L68" s="19">
        <f t="shared" si="3"/>
        <v>73.477774647066497</v>
      </c>
      <c r="M68" s="19">
        <f t="shared" si="4"/>
        <v>139.7487346470665</v>
      </c>
      <c r="N68" s="19">
        <f t="shared" si="5"/>
        <v>0</v>
      </c>
      <c r="O68" s="19">
        <f t="shared" si="6"/>
        <v>34.518000000000001</v>
      </c>
      <c r="P68" s="19">
        <f t="shared" si="7"/>
        <v>0</v>
      </c>
      <c r="Q68" s="19"/>
      <c r="R68" s="19"/>
      <c r="S68" s="20"/>
    </row>
    <row r="69" spans="1:19" ht="12.75">
      <c r="A69" s="560"/>
      <c r="B69" s="17" t="s">
        <v>301</v>
      </c>
      <c r="C69" s="18">
        <v>0.22</v>
      </c>
      <c r="D69" s="19">
        <f t="shared" ref="D69:D124" si="10">((C69*0.5)^2)*PI()*F69</f>
        <v>0</v>
      </c>
      <c r="E69" s="18">
        <v>9</v>
      </c>
      <c r="F69" s="19"/>
      <c r="G69" s="19"/>
      <c r="H69" s="19">
        <v>1.3</v>
      </c>
      <c r="I69" s="19">
        <f t="shared" ref="I69:I124" si="11">ROUND(H69*G69*F69,2)</f>
        <v>0</v>
      </c>
      <c r="J69" s="19"/>
      <c r="K69" s="19">
        <f t="shared" ref="K69:K124" si="12">F69-J69</f>
        <v>0</v>
      </c>
      <c r="L69" s="19">
        <f t="shared" ref="L69:L124" si="13">((0.1+C69+0.3)*F69*G69)-D69</f>
        <v>0</v>
      </c>
      <c r="M69" s="19">
        <f t="shared" ref="M69:M124" si="14">I69-N69-O69-D69</f>
        <v>0</v>
      </c>
      <c r="N69" s="19">
        <f t="shared" ref="N69:N124" si="15">J69*0.2*G69</f>
        <v>0</v>
      </c>
      <c r="O69" s="19">
        <f t="shared" ref="O69:O124" si="16">(K69*0.25*G69)+(0.2*J69*G69)</f>
        <v>0</v>
      </c>
      <c r="P69" s="19">
        <f t="shared" ref="P69:P124" si="17">J69*1.5*0.2</f>
        <v>0</v>
      </c>
      <c r="Q69" s="19"/>
      <c r="R69" s="19"/>
      <c r="S69" s="20"/>
    </row>
    <row r="70" spans="1:19" ht="12.75">
      <c r="A70" s="560"/>
      <c r="B70" s="17" t="s">
        <v>298</v>
      </c>
      <c r="C70" s="18">
        <v>0.27</v>
      </c>
      <c r="D70" s="19">
        <f t="shared" si="10"/>
        <v>0</v>
      </c>
      <c r="E70" s="18">
        <v>9</v>
      </c>
      <c r="F70" s="19"/>
      <c r="G70" s="19"/>
      <c r="H70" s="19">
        <v>1.3</v>
      </c>
      <c r="I70" s="19">
        <f t="shared" si="11"/>
        <v>0</v>
      </c>
      <c r="J70" s="19"/>
      <c r="K70" s="19">
        <f t="shared" si="12"/>
        <v>0</v>
      </c>
      <c r="L70" s="19">
        <f t="shared" si="13"/>
        <v>0</v>
      </c>
      <c r="M70" s="19">
        <f t="shared" si="14"/>
        <v>0</v>
      </c>
      <c r="N70" s="19">
        <f t="shared" si="15"/>
        <v>0</v>
      </c>
      <c r="O70" s="19">
        <f t="shared" si="16"/>
        <v>0</v>
      </c>
      <c r="P70" s="19">
        <f t="shared" si="17"/>
        <v>0</v>
      </c>
      <c r="Q70" s="19"/>
      <c r="R70" s="19"/>
      <c r="S70" s="20"/>
    </row>
    <row r="71" spans="1:19" ht="12.75">
      <c r="A71" s="561"/>
      <c r="B71" s="21" t="s">
        <v>299</v>
      </c>
      <c r="C71" s="22">
        <v>0.33</v>
      </c>
      <c r="D71" s="23">
        <f t="shared" si="10"/>
        <v>0</v>
      </c>
      <c r="E71" s="22">
        <v>9</v>
      </c>
      <c r="F71" s="23"/>
      <c r="G71" s="23"/>
      <c r="H71" s="23">
        <v>1.3</v>
      </c>
      <c r="I71" s="23">
        <f t="shared" si="11"/>
        <v>0</v>
      </c>
      <c r="J71" s="23"/>
      <c r="K71" s="23">
        <f t="shared" si="12"/>
        <v>0</v>
      </c>
      <c r="L71" s="23">
        <f t="shared" si="13"/>
        <v>0</v>
      </c>
      <c r="M71" s="23">
        <f t="shared" si="14"/>
        <v>0</v>
      </c>
      <c r="N71" s="23">
        <f t="shared" si="15"/>
        <v>0</v>
      </c>
      <c r="O71" s="23">
        <f t="shared" si="16"/>
        <v>0</v>
      </c>
      <c r="P71" s="23">
        <f t="shared" si="17"/>
        <v>0</v>
      </c>
      <c r="Q71" s="23"/>
      <c r="R71" s="23"/>
      <c r="S71" s="24"/>
    </row>
    <row r="72" spans="1:19" ht="12.75">
      <c r="A72" s="559" t="s">
        <v>318</v>
      </c>
      <c r="B72" s="11" t="s">
        <v>275</v>
      </c>
      <c r="C72" s="12">
        <v>0.08</v>
      </c>
      <c r="D72" s="13">
        <f t="shared" si="10"/>
        <v>0</v>
      </c>
      <c r="E72" s="12">
        <v>10</v>
      </c>
      <c r="F72" s="13"/>
      <c r="G72" s="13"/>
      <c r="H72" s="13">
        <v>1.3</v>
      </c>
      <c r="I72" s="13">
        <f t="shared" si="11"/>
        <v>0</v>
      </c>
      <c r="J72" s="13"/>
      <c r="K72" s="13">
        <f t="shared" si="12"/>
        <v>0</v>
      </c>
      <c r="L72" s="13">
        <f t="shared" si="13"/>
        <v>0</v>
      </c>
      <c r="M72" s="13">
        <f t="shared" si="14"/>
        <v>0</v>
      </c>
      <c r="N72" s="13">
        <f t="shared" si="15"/>
        <v>0</v>
      </c>
      <c r="O72" s="13">
        <f t="shared" si="16"/>
        <v>0</v>
      </c>
      <c r="P72" s="13">
        <f t="shared" si="17"/>
        <v>0</v>
      </c>
      <c r="Q72" s="13"/>
      <c r="R72" s="13"/>
      <c r="S72" s="14"/>
    </row>
    <row r="73" spans="1:19" ht="12.75">
      <c r="A73" s="560"/>
      <c r="B73" s="17" t="s">
        <v>274</v>
      </c>
      <c r="C73" s="18">
        <v>0.09</v>
      </c>
      <c r="D73" s="19">
        <f t="shared" si="10"/>
        <v>3.5862126014549465</v>
      </c>
      <c r="E73" s="18">
        <v>10</v>
      </c>
      <c r="F73" s="19">
        <f>+LONGITUDES!C41</f>
        <v>563.71699999999998</v>
      </c>
      <c r="G73" s="19">
        <v>0.4</v>
      </c>
      <c r="H73" s="19">
        <v>1.3</v>
      </c>
      <c r="I73" s="19">
        <f t="shared" si="11"/>
        <v>293.13</v>
      </c>
      <c r="J73" s="19"/>
      <c r="K73" s="19">
        <f t="shared" si="12"/>
        <v>563.71699999999998</v>
      </c>
      <c r="L73" s="19">
        <f t="shared" si="13"/>
        <v>106.90231939854505</v>
      </c>
      <c r="M73" s="19">
        <f t="shared" si="14"/>
        <v>233.17208739854505</v>
      </c>
      <c r="N73" s="19">
        <f t="shared" si="15"/>
        <v>0</v>
      </c>
      <c r="O73" s="19">
        <f t="shared" si="16"/>
        <v>56.371700000000004</v>
      </c>
      <c r="P73" s="19">
        <f t="shared" si="17"/>
        <v>0</v>
      </c>
      <c r="Q73" s="19"/>
      <c r="R73" s="19"/>
      <c r="S73" s="20"/>
    </row>
    <row r="74" spans="1:19" ht="12.75">
      <c r="A74" s="560"/>
      <c r="B74" s="17" t="s">
        <v>273</v>
      </c>
      <c r="C74" s="18">
        <v>0.12</v>
      </c>
      <c r="D74" s="19">
        <f t="shared" si="10"/>
        <v>3.9448689924602904</v>
      </c>
      <c r="E74" s="18">
        <v>10</v>
      </c>
      <c r="F74" s="19">
        <f>+LONGITUDES!C40</f>
        <v>348.80300000000005</v>
      </c>
      <c r="G74" s="19">
        <v>0.4</v>
      </c>
      <c r="H74" s="19">
        <v>1.3</v>
      </c>
      <c r="I74" s="19">
        <f t="shared" si="11"/>
        <v>181.38</v>
      </c>
      <c r="J74" s="19"/>
      <c r="K74" s="19">
        <f t="shared" si="12"/>
        <v>348.80300000000005</v>
      </c>
      <c r="L74" s="19">
        <f t="shared" si="13"/>
        <v>68.606155007539741</v>
      </c>
      <c r="M74" s="19">
        <f t="shared" si="14"/>
        <v>142.55483100753969</v>
      </c>
      <c r="N74" s="19">
        <f t="shared" si="15"/>
        <v>0</v>
      </c>
      <c r="O74" s="19">
        <f t="shared" si="16"/>
        <v>34.880300000000005</v>
      </c>
      <c r="P74" s="19">
        <f t="shared" si="17"/>
        <v>0</v>
      </c>
      <c r="Q74" s="19"/>
      <c r="R74" s="19"/>
      <c r="S74" s="20"/>
    </row>
    <row r="75" spans="1:19" ht="12.75">
      <c r="A75" s="560"/>
      <c r="B75" s="17" t="s">
        <v>300</v>
      </c>
      <c r="C75" s="18">
        <v>0.17</v>
      </c>
      <c r="D75" s="19">
        <f t="shared" si="10"/>
        <v>0</v>
      </c>
      <c r="E75" s="18">
        <v>10</v>
      </c>
      <c r="F75" s="19"/>
      <c r="G75" s="19">
        <v>0.4</v>
      </c>
      <c r="H75" s="19">
        <v>1.3</v>
      </c>
      <c r="I75" s="19">
        <f t="shared" si="11"/>
        <v>0</v>
      </c>
      <c r="J75" s="19"/>
      <c r="K75" s="19">
        <f t="shared" si="12"/>
        <v>0</v>
      </c>
      <c r="L75" s="19">
        <f t="shared" si="13"/>
        <v>0</v>
      </c>
      <c r="M75" s="19">
        <f t="shared" si="14"/>
        <v>0</v>
      </c>
      <c r="N75" s="19">
        <f t="shared" si="15"/>
        <v>0</v>
      </c>
      <c r="O75" s="19">
        <f t="shared" si="16"/>
        <v>0</v>
      </c>
      <c r="P75" s="19">
        <f t="shared" si="17"/>
        <v>0</v>
      </c>
      <c r="Q75" s="19"/>
      <c r="R75" s="19"/>
      <c r="S75" s="20"/>
    </row>
    <row r="76" spans="1:19" ht="12.75">
      <c r="A76" s="560"/>
      <c r="B76" s="17" t="s">
        <v>301</v>
      </c>
      <c r="C76" s="18">
        <v>0.22</v>
      </c>
      <c r="D76" s="19">
        <f t="shared" si="10"/>
        <v>0</v>
      </c>
      <c r="E76" s="18">
        <v>10</v>
      </c>
      <c r="F76" s="19"/>
      <c r="G76" s="19"/>
      <c r="H76" s="19">
        <v>1.3</v>
      </c>
      <c r="I76" s="19">
        <f t="shared" si="11"/>
        <v>0</v>
      </c>
      <c r="J76" s="19"/>
      <c r="K76" s="19">
        <f t="shared" si="12"/>
        <v>0</v>
      </c>
      <c r="L76" s="19">
        <f t="shared" si="13"/>
        <v>0</v>
      </c>
      <c r="M76" s="19">
        <f t="shared" si="14"/>
        <v>0</v>
      </c>
      <c r="N76" s="19">
        <f t="shared" si="15"/>
        <v>0</v>
      </c>
      <c r="O76" s="19">
        <f t="shared" si="16"/>
        <v>0</v>
      </c>
      <c r="P76" s="19">
        <f t="shared" si="17"/>
        <v>0</v>
      </c>
      <c r="Q76" s="19"/>
      <c r="R76" s="19"/>
      <c r="S76" s="20"/>
    </row>
    <row r="77" spans="1:19" ht="12.75">
      <c r="A77" s="560"/>
      <c r="B77" s="17" t="s">
        <v>298</v>
      </c>
      <c r="C77" s="18">
        <v>0.27</v>
      </c>
      <c r="D77" s="19">
        <f t="shared" si="10"/>
        <v>0</v>
      </c>
      <c r="E77" s="18">
        <v>10</v>
      </c>
      <c r="F77" s="145"/>
      <c r="G77" s="19">
        <v>0.8</v>
      </c>
      <c r="H77" s="19">
        <v>1.3</v>
      </c>
      <c r="I77" s="19">
        <f t="shared" si="11"/>
        <v>0</v>
      </c>
      <c r="J77" s="19"/>
      <c r="K77" s="19">
        <f t="shared" si="12"/>
        <v>0</v>
      </c>
      <c r="L77" s="19">
        <f t="shared" si="13"/>
        <v>0</v>
      </c>
      <c r="M77" s="19">
        <f t="shared" si="14"/>
        <v>0</v>
      </c>
      <c r="N77" s="19">
        <f t="shared" si="15"/>
        <v>0</v>
      </c>
      <c r="O77" s="19">
        <f t="shared" si="16"/>
        <v>0</v>
      </c>
      <c r="P77" s="19">
        <f t="shared" si="17"/>
        <v>0</v>
      </c>
      <c r="Q77" s="19"/>
      <c r="R77" s="19"/>
      <c r="S77" s="20"/>
    </row>
    <row r="78" spans="1:19" ht="12.75">
      <c r="A78" s="561"/>
      <c r="B78" s="21" t="s">
        <v>299</v>
      </c>
      <c r="C78" s="22">
        <v>0.33</v>
      </c>
      <c r="D78" s="23">
        <f t="shared" si="10"/>
        <v>0</v>
      </c>
      <c r="E78" s="22">
        <v>10</v>
      </c>
      <c r="F78" s="146"/>
      <c r="G78" s="23">
        <v>0.8</v>
      </c>
      <c r="H78" s="23">
        <v>1.3</v>
      </c>
      <c r="I78" s="23">
        <f t="shared" si="11"/>
        <v>0</v>
      </c>
      <c r="J78" s="23"/>
      <c r="K78" s="23">
        <f t="shared" si="12"/>
        <v>0</v>
      </c>
      <c r="L78" s="23">
        <f t="shared" si="13"/>
        <v>0</v>
      </c>
      <c r="M78" s="23">
        <f t="shared" si="14"/>
        <v>0</v>
      </c>
      <c r="N78" s="23">
        <f t="shared" si="15"/>
        <v>0</v>
      </c>
      <c r="O78" s="23">
        <f t="shared" si="16"/>
        <v>0</v>
      </c>
      <c r="P78" s="23">
        <f t="shared" si="17"/>
        <v>0</v>
      </c>
      <c r="Q78" s="23"/>
      <c r="R78" s="23"/>
      <c r="S78" s="24"/>
    </row>
    <row r="79" spans="1:19" ht="12.75">
      <c r="A79" s="559" t="s">
        <v>319</v>
      </c>
      <c r="B79" s="11" t="s">
        <v>274</v>
      </c>
      <c r="C79" s="12">
        <v>0.09</v>
      </c>
      <c r="D79" s="13">
        <f t="shared" si="10"/>
        <v>12.74291712591663</v>
      </c>
      <c r="E79" s="12">
        <v>11</v>
      </c>
      <c r="F79" s="13">
        <f>+LONGITUDES!C45</f>
        <v>2003.06</v>
      </c>
      <c r="G79" s="13">
        <v>0.4</v>
      </c>
      <c r="H79" s="13">
        <v>1.3</v>
      </c>
      <c r="I79" s="13">
        <f t="shared" si="11"/>
        <v>1041.5899999999999</v>
      </c>
      <c r="J79" s="13">
        <f>F79*0.2</f>
        <v>400.61200000000002</v>
      </c>
      <c r="K79" s="13">
        <f t="shared" si="12"/>
        <v>1602.4479999999999</v>
      </c>
      <c r="L79" s="13">
        <f t="shared" si="13"/>
        <v>379.85684287408338</v>
      </c>
      <c r="M79" s="13">
        <f t="shared" si="14"/>
        <v>804.50436287408331</v>
      </c>
      <c r="N79" s="13">
        <f t="shared" si="15"/>
        <v>32.048960000000008</v>
      </c>
      <c r="O79" s="13">
        <f t="shared" si="16"/>
        <v>192.29376000000002</v>
      </c>
      <c r="P79" s="13">
        <f t="shared" si="17"/>
        <v>120.18360000000001</v>
      </c>
      <c r="Q79" s="13"/>
      <c r="R79" s="13"/>
      <c r="S79" s="14"/>
    </row>
    <row r="80" spans="1:19" ht="12.75">
      <c r="A80" s="560"/>
      <c r="B80" s="17" t="s">
        <v>273</v>
      </c>
      <c r="C80" s="18">
        <v>0.12</v>
      </c>
      <c r="D80" s="19">
        <f t="shared" si="10"/>
        <v>15.041153944039225</v>
      </c>
      <c r="E80" s="18">
        <v>11</v>
      </c>
      <c r="F80" s="19">
        <f>+LONGITUDES!C44</f>
        <v>1329.93</v>
      </c>
      <c r="G80" s="19">
        <v>0.4</v>
      </c>
      <c r="H80" s="19">
        <v>1.3</v>
      </c>
      <c r="I80" s="19">
        <f t="shared" si="11"/>
        <v>691.56</v>
      </c>
      <c r="J80" s="19">
        <f t="shared" ref="J80:J81" si="18">F80*0.2</f>
        <v>265.98600000000005</v>
      </c>
      <c r="K80" s="19">
        <f t="shared" si="12"/>
        <v>1063.944</v>
      </c>
      <c r="L80" s="19">
        <f t="shared" si="13"/>
        <v>261.58428605596077</v>
      </c>
      <c r="M80" s="19">
        <f t="shared" si="14"/>
        <v>527.56668605596076</v>
      </c>
      <c r="N80" s="19">
        <f t="shared" si="15"/>
        <v>21.278880000000004</v>
      </c>
      <c r="O80" s="19">
        <f t="shared" si="16"/>
        <v>127.67328000000001</v>
      </c>
      <c r="P80" s="19">
        <f t="shared" si="17"/>
        <v>79.795800000000014</v>
      </c>
      <c r="Q80" s="19"/>
      <c r="R80" s="19"/>
      <c r="S80" s="20"/>
    </row>
    <row r="81" spans="1:19" ht="12.75">
      <c r="A81" s="560"/>
      <c r="B81" s="17" t="s">
        <v>300</v>
      </c>
      <c r="C81" s="18">
        <v>0.17</v>
      </c>
      <c r="D81" s="19">
        <f t="shared" si="10"/>
        <v>7.5109974706206559</v>
      </c>
      <c r="E81" s="18">
        <v>11</v>
      </c>
      <c r="F81" s="19">
        <f>+LONGITUDES!C43</f>
        <v>330.91</v>
      </c>
      <c r="G81" s="19">
        <v>0.6</v>
      </c>
      <c r="H81" s="19">
        <v>1.3</v>
      </c>
      <c r="I81" s="19">
        <f t="shared" si="11"/>
        <v>258.11</v>
      </c>
      <c r="J81" s="19">
        <f t="shared" si="18"/>
        <v>66.182000000000002</v>
      </c>
      <c r="K81" s="19">
        <f t="shared" si="12"/>
        <v>264.72800000000001</v>
      </c>
      <c r="L81" s="19">
        <f t="shared" si="13"/>
        <v>105.66022252937937</v>
      </c>
      <c r="M81" s="19">
        <f t="shared" si="14"/>
        <v>195.00612252937935</v>
      </c>
      <c r="N81" s="19">
        <f t="shared" si="15"/>
        <v>7.9418400000000009</v>
      </c>
      <c r="O81" s="19">
        <f t="shared" si="16"/>
        <v>47.651040000000002</v>
      </c>
      <c r="P81" s="19">
        <f t="shared" si="17"/>
        <v>19.854600000000001</v>
      </c>
      <c r="Q81" s="19"/>
      <c r="R81" s="19"/>
      <c r="S81" s="20"/>
    </row>
    <row r="82" spans="1:19" ht="12.75">
      <c r="A82" s="560"/>
      <c r="B82" s="17" t="s">
        <v>301</v>
      </c>
      <c r="C82" s="18">
        <v>0.22</v>
      </c>
      <c r="D82" s="19">
        <f t="shared" si="10"/>
        <v>0</v>
      </c>
      <c r="E82" s="18">
        <v>11</v>
      </c>
      <c r="F82" s="19"/>
      <c r="G82" s="19">
        <v>0.6</v>
      </c>
      <c r="H82" s="19">
        <v>1.3</v>
      </c>
      <c r="I82" s="19">
        <f t="shared" si="11"/>
        <v>0</v>
      </c>
      <c r="J82" s="19"/>
      <c r="K82" s="19">
        <f t="shared" si="12"/>
        <v>0</v>
      </c>
      <c r="L82" s="19">
        <f t="shared" si="13"/>
        <v>0</v>
      </c>
      <c r="M82" s="19">
        <f t="shared" si="14"/>
        <v>0</v>
      </c>
      <c r="N82" s="19">
        <f t="shared" si="15"/>
        <v>0</v>
      </c>
      <c r="O82" s="19">
        <f t="shared" si="16"/>
        <v>0</v>
      </c>
      <c r="P82" s="19">
        <f t="shared" si="17"/>
        <v>0</v>
      </c>
      <c r="Q82" s="19"/>
      <c r="R82" s="19"/>
      <c r="S82" s="20"/>
    </row>
    <row r="83" spans="1:19" ht="12.75">
      <c r="A83" s="560"/>
      <c r="B83" s="17" t="s">
        <v>298</v>
      </c>
      <c r="C83" s="18">
        <v>0.27</v>
      </c>
      <c r="D83" s="19">
        <f t="shared" si="10"/>
        <v>0</v>
      </c>
      <c r="E83" s="18">
        <v>11</v>
      </c>
      <c r="F83" s="19"/>
      <c r="G83" s="19"/>
      <c r="H83" s="19">
        <v>1.3</v>
      </c>
      <c r="I83" s="19">
        <f t="shared" si="11"/>
        <v>0</v>
      </c>
      <c r="J83" s="19"/>
      <c r="K83" s="19">
        <f t="shared" si="12"/>
        <v>0</v>
      </c>
      <c r="L83" s="19">
        <f t="shared" si="13"/>
        <v>0</v>
      </c>
      <c r="M83" s="19">
        <f t="shared" si="14"/>
        <v>0</v>
      </c>
      <c r="N83" s="19">
        <f t="shared" si="15"/>
        <v>0</v>
      </c>
      <c r="O83" s="19">
        <f t="shared" si="16"/>
        <v>0</v>
      </c>
      <c r="P83" s="19">
        <f t="shared" si="17"/>
        <v>0</v>
      </c>
      <c r="Q83" s="19"/>
      <c r="R83" s="19"/>
      <c r="S83" s="20"/>
    </row>
    <row r="84" spans="1:19" ht="12.75">
      <c r="A84" s="561"/>
      <c r="B84" s="21" t="s">
        <v>299</v>
      </c>
      <c r="C84" s="22">
        <v>0.33</v>
      </c>
      <c r="D84" s="23">
        <f t="shared" si="10"/>
        <v>0</v>
      </c>
      <c r="E84" s="22">
        <v>11</v>
      </c>
      <c r="F84" s="23"/>
      <c r="G84" s="23"/>
      <c r="H84" s="23">
        <v>1.3</v>
      </c>
      <c r="I84" s="23">
        <f t="shared" si="11"/>
        <v>0</v>
      </c>
      <c r="J84" s="23"/>
      <c r="K84" s="23">
        <f t="shared" si="12"/>
        <v>0</v>
      </c>
      <c r="L84" s="23">
        <f t="shared" si="13"/>
        <v>0</v>
      </c>
      <c r="M84" s="23">
        <f t="shared" si="14"/>
        <v>0</v>
      </c>
      <c r="N84" s="23">
        <f t="shared" si="15"/>
        <v>0</v>
      </c>
      <c r="O84" s="23">
        <f t="shared" si="16"/>
        <v>0</v>
      </c>
      <c r="P84" s="23">
        <f t="shared" si="17"/>
        <v>0</v>
      </c>
      <c r="Q84" s="23"/>
      <c r="R84" s="23"/>
      <c r="S84" s="24"/>
    </row>
    <row r="85" spans="1:19" ht="12.75">
      <c r="A85" s="559" t="s">
        <v>320</v>
      </c>
      <c r="B85" s="11" t="s">
        <v>274</v>
      </c>
      <c r="C85" s="12">
        <v>0.09</v>
      </c>
      <c r="D85" s="13">
        <f t="shared" si="10"/>
        <v>16.661739802004536</v>
      </c>
      <c r="E85" s="12">
        <v>12</v>
      </c>
      <c r="F85" s="13">
        <f>+LONGITUDES!C49</f>
        <v>2619.06</v>
      </c>
      <c r="G85" s="13">
        <v>0.4</v>
      </c>
      <c r="H85" s="13">
        <v>1.3</v>
      </c>
      <c r="I85" s="13">
        <f t="shared" si="11"/>
        <v>1361.91</v>
      </c>
      <c r="J85" s="13">
        <f>F85*0.2</f>
        <v>523.81200000000001</v>
      </c>
      <c r="K85" s="13">
        <f t="shared" si="12"/>
        <v>2095.248</v>
      </c>
      <c r="L85" s="13">
        <f t="shared" si="13"/>
        <v>496.67402019799539</v>
      </c>
      <c r="M85" s="13">
        <f t="shared" si="14"/>
        <v>1051.9135401979954</v>
      </c>
      <c r="N85" s="13">
        <f t="shared" si="15"/>
        <v>41.90496000000001</v>
      </c>
      <c r="O85" s="13">
        <f t="shared" si="16"/>
        <v>251.42976000000004</v>
      </c>
      <c r="P85" s="13">
        <f t="shared" si="17"/>
        <v>157.14360000000002</v>
      </c>
      <c r="Q85" s="13"/>
      <c r="R85" s="13"/>
      <c r="S85" s="14"/>
    </row>
    <row r="86" spans="1:19" ht="12.75">
      <c r="A86" s="560"/>
      <c r="B86" s="17" t="s">
        <v>273</v>
      </c>
      <c r="C86" s="18">
        <v>0.12</v>
      </c>
      <c r="D86" s="19">
        <f t="shared" si="10"/>
        <v>26.951660543293762</v>
      </c>
      <c r="E86" s="18">
        <v>12</v>
      </c>
      <c r="F86" s="19">
        <f>+LONGITUDES!C48</f>
        <v>2383.0500000000002</v>
      </c>
      <c r="G86" s="19">
        <v>0.4</v>
      </c>
      <c r="H86" s="19">
        <v>1.3</v>
      </c>
      <c r="I86" s="19">
        <f t="shared" si="11"/>
        <v>1239.19</v>
      </c>
      <c r="J86" s="19">
        <f t="shared" ref="J86:J87" si="19">F86*0.2</f>
        <v>476.61000000000007</v>
      </c>
      <c r="K86" s="19">
        <f t="shared" si="12"/>
        <v>1906.44</v>
      </c>
      <c r="L86" s="19">
        <f t="shared" si="13"/>
        <v>468.72273945670634</v>
      </c>
      <c r="M86" s="19">
        <f t="shared" si="14"/>
        <v>945.33673945670637</v>
      </c>
      <c r="N86" s="19">
        <f t="shared" si="15"/>
        <v>38.128800000000005</v>
      </c>
      <c r="O86" s="19">
        <f t="shared" si="16"/>
        <v>228.77280000000002</v>
      </c>
      <c r="P86" s="19">
        <f t="shared" si="17"/>
        <v>142.98300000000003</v>
      </c>
      <c r="Q86" s="19"/>
      <c r="R86" s="19"/>
      <c r="S86" s="20"/>
    </row>
    <row r="87" spans="1:19" ht="12.75">
      <c r="A87" s="560"/>
      <c r="B87" s="17" t="s">
        <v>300</v>
      </c>
      <c r="C87" s="18">
        <v>0.17</v>
      </c>
      <c r="D87" s="19">
        <f t="shared" si="10"/>
        <v>23.098853724432068</v>
      </c>
      <c r="E87" s="18">
        <v>12</v>
      </c>
      <c r="F87" s="19">
        <f>+LONGITUDES!C47</f>
        <v>1017.66</v>
      </c>
      <c r="G87" s="19">
        <v>0.6</v>
      </c>
      <c r="H87" s="19">
        <v>1.3</v>
      </c>
      <c r="I87" s="19">
        <f t="shared" si="11"/>
        <v>793.77</v>
      </c>
      <c r="J87" s="19">
        <f t="shared" si="19"/>
        <v>203.53200000000001</v>
      </c>
      <c r="K87" s="19">
        <f t="shared" si="12"/>
        <v>814.12799999999993</v>
      </c>
      <c r="L87" s="19">
        <f t="shared" si="13"/>
        <v>324.940866275568</v>
      </c>
      <c r="M87" s="19">
        <f t="shared" si="14"/>
        <v>599.70426627556787</v>
      </c>
      <c r="N87" s="19">
        <f t="shared" si="15"/>
        <v>24.423840000000002</v>
      </c>
      <c r="O87" s="19">
        <f t="shared" si="16"/>
        <v>146.54303999999999</v>
      </c>
      <c r="P87" s="19">
        <f t="shared" si="17"/>
        <v>61.059600000000003</v>
      </c>
      <c r="Q87" s="19"/>
      <c r="R87" s="19"/>
      <c r="S87" s="20"/>
    </row>
    <row r="88" spans="1:19" ht="12.75">
      <c r="A88" s="560"/>
      <c r="B88" s="17" t="s">
        <v>301</v>
      </c>
      <c r="C88" s="18">
        <v>0.22</v>
      </c>
      <c r="D88" s="19">
        <f t="shared" si="10"/>
        <v>0</v>
      </c>
      <c r="E88" s="18">
        <v>12</v>
      </c>
      <c r="F88" s="19"/>
      <c r="G88" s="19">
        <v>0.6</v>
      </c>
      <c r="H88" s="19">
        <v>1.3</v>
      </c>
      <c r="I88" s="19">
        <f t="shared" si="11"/>
        <v>0</v>
      </c>
      <c r="J88" s="19"/>
      <c r="K88" s="19">
        <f t="shared" si="12"/>
        <v>0</v>
      </c>
      <c r="L88" s="19">
        <f t="shared" si="13"/>
        <v>0</v>
      </c>
      <c r="M88" s="19">
        <f t="shared" si="14"/>
        <v>0</v>
      </c>
      <c r="N88" s="19">
        <f t="shared" si="15"/>
        <v>0</v>
      </c>
      <c r="O88" s="19">
        <f t="shared" si="16"/>
        <v>0</v>
      </c>
      <c r="P88" s="19">
        <f t="shared" si="17"/>
        <v>0</v>
      </c>
      <c r="Q88" s="19"/>
      <c r="R88" s="19"/>
      <c r="S88" s="20"/>
    </row>
    <row r="89" spans="1:19" ht="12.75">
      <c r="A89" s="560"/>
      <c r="B89" s="17" t="s">
        <v>298</v>
      </c>
      <c r="C89" s="18">
        <v>0.27</v>
      </c>
      <c r="D89" s="19">
        <f t="shared" si="10"/>
        <v>0</v>
      </c>
      <c r="E89" s="18">
        <v>12</v>
      </c>
      <c r="F89" s="19"/>
      <c r="G89" s="19"/>
      <c r="H89" s="19">
        <v>1.3</v>
      </c>
      <c r="I89" s="19">
        <f t="shared" si="11"/>
        <v>0</v>
      </c>
      <c r="J89" s="19"/>
      <c r="K89" s="19">
        <f t="shared" si="12"/>
        <v>0</v>
      </c>
      <c r="L89" s="19">
        <f t="shared" si="13"/>
        <v>0</v>
      </c>
      <c r="M89" s="19">
        <f t="shared" si="14"/>
        <v>0</v>
      </c>
      <c r="N89" s="19">
        <f t="shared" si="15"/>
        <v>0</v>
      </c>
      <c r="O89" s="19">
        <f t="shared" si="16"/>
        <v>0</v>
      </c>
      <c r="P89" s="19">
        <f t="shared" si="17"/>
        <v>0</v>
      </c>
      <c r="Q89" s="19"/>
      <c r="R89" s="19"/>
      <c r="S89" s="20"/>
    </row>
    <row r="90" spans="1:19" ht="12.75">
      <c r="A90" s="561"/>
      <c r="B90" s="21" t="s">
        <v>299</v>
      </c>
      <c r="C90" s="22">
        <v>0.33</v>
      </c>
      <c r="D90" s="23">
        <f t="shared" si="10"/>
        <v>0</v>
      </c>
      <c r="E90" s="22">
        <v>12</v>
      </c>
      <c r="F90" s="23"/>
      <c r="G90" s="23"/>
      <c r="H90" s="23">
        <v>1.3</v>
      </c>
      <c r="I90" s="23">
        <f t="shared" si="11"/>
        <v>0</v>
      </c>
      <c r="J90" s="23"/>
      <c r="K90" s="23">
        <f t="shared" si="12"/>
        <v>0</v>
      </c>
      <c r="L90" s="23">
        <f t="shared" si="13"/>
        <v>0</v>
      </c>
      <c r="M90" s="23">
        <f t="shared" si="14"/>
        <v>0</v>
      </c>
      <c r="N90" s="23">
        <f t="shared" si="15"/>
        <v>0</v>
      </c>
      <c r="O90" s="23">
        <f t="shared" si="16"/>
        <v>0</v>
      </c>
      <c r="P90" s="23">
        <f t="shared" si="17"/>
        <v>0</v>
      </c>
      <c r="Q90" s="23"/>
      <c r="R90" s="23"/>
      <c r="S90" s="24"/>
    </row>
    <row r="91" spans="1:19" ht="12.75">
      <c r="A91" s="559" t="s">
        <v>321</v>
      </c>
      <c r="B91" s="11" t="s">
        <v>274</v>
      </c>
      <c r="C91" s="12">
        <v>0.09</v>
      </c>
      <c r="D91" s="13">
        <f t="shared" si="10"/>
        <v>13.286971858480003</v>
      </c>
      <c r="E91" s="12">
        <v>13</v>
      </c>
      <c r="F91" s="13">
        <f>+LONGITUDES!C53</f>
        <v>2088.58</v>
      </c>
      <c r="G91" s="13">
        <v>0.4</v>
      </c>
      <c r="H91" s="13">
        <v>1.3</v>
      </c>
      <c r="I91" s="13">
        <f t="shared" si="11"/>
        <v>1086.06</v>
      </c>
      <c r="J91" s="13"/>
      <c r="K91" s="13">
        <f t="shared" si="12"/>
        <v>2088.58</v>
      </c>
      <c r="L91" s="13">
        <f t="shared" si="13"/>
        <v>396.07470814151998</v>
      </c>
      <c r="M91" s="13">
        <f t="shared" si="14"/>
        <v>863.91502814152</v>
      </c>
      <c r="N91" s="13">
        <f t="shared" si="15"/>
        <v>0</v>
      </c>
      <c r="O91" s="13">
        <f t="shared" si="16"/>
        <v>208.858</v>
      </c>
      <c r="P91" s="13">
        <f t="shared" si="17"/>
        <v>0</v>
      </c>
      <c r="Q91" s="13"/>
      <c r="R91" s="13"/>
      <c r="S91" s="14"/>
    </row>
    <row r="92" spans="1:19" ht="12.75">
      <c r="A92" s="560"/>
      <c r="B92" s="17" t="s">
        <v>273</v>
      </c>
      <c r="C92" s="18">
        <v>0.12</v>
      </c>
      <c r="D92" s="19">
        <f t="shared" si="10"/>
        <v>31.249359293404602</v>
      </c>
      <c r="E92" s="18">
        <v>13</v>
      </c>
      <c r="F92" s="19">
        <f>+LONGITUDES!C52</f>
        <v>2763.05</v>
      </c>
      <c r="G92" s="19">
        <v>0.4</v>
      </c>
      <c r="H92" s="19">
        <v>1.3</v>
      </c>
      <c r="I92" s="19">
        <f t="shared" si="11"/>
        <v>1436.79</v>
      </c>
      <c r="J92" s="19"/>
      <c r="K92" s="19">
        <f t="shared" si="12"/>
        <v>2763.05</v>
      </c>
      <c r="L92" s="19">
        <f t="shared" si="13"/>
        <v>543.46504070659546</v>
      </c>
      <c r="M92" s="19">
        <f t="shared" si="14"/>
        <v>1129.2356407065954</v>
      </c>
      <c r="N92" s="19">
        <f t="shared" si="15"/>
        <v>0</v>
      </c>
      <c r="O92" s="19">
        <f t="shared" si="16"/>
        <v>276.30500000000001</v>
      </c>
      <c r="P92" s="19">
        <f t="shared" si="17"/>
        <v>0</v>
      </c>
      <c r="Q92" s="19"/>
      <c r="R92" s="19"/>
      <c r="S92" s="20"/>
    </row>
    <row r="93" spans="1:19" ht="12.75">
      <c r="A93" s="560"/>
      <c r="B93" s="17" t="s">
        <v>300</v>
      </c>
      <c r="C93" s="18">
        <v>0.17</v>
      </c>
      <c r="D93" s="19">
        <f t="shared" si="10"/>
        <v>23.108386887339389</v>
      </c>
      <c r="E93" s="18">
        <v>13</v>
      </c>
      <c r="F93" s="19">
        <f>+LONGITUDES!C51</f>
        <v>1018.08</v>
      </c>
      <c r="G93" s="19">
        <v>0.6</v>
      </c>
      <c r="H93" s="19">
        <v>1.3</v>
      </c>
      <c r="I93" s="19">
        <f t="shared" si="11"/>
        <v>794.1</v>
      </c>
      <c r="J93" s="19"/>
      <c r="K93" s="19">
        <f t="shared" si="12"/>
        <v>1018.08</v>
      </c>
      <c r="L93" s="19">
        <f t="shared" si="13"/>
        <v>325.07497311266064</v>
      </c>
      <c r="M93" s="19">
        <f t="shared" si="14"/>
        <v>618.27961311266063</v>
      </c>
      <c r="N93" s="19">
        <f t="shared" si="15"/>
        <v>0</v>
      </c>
      <c r="O93" s="19">
        <f t="shared" si="16"/>
        <v>152.71199999999999</v>
      </c>
      <c r="P93" s="19">
        <f t="shared" si="17"/>
        <v>0</v>
      </c>
      <c r="Q93" s="19"/>
      <c r="R93" s="19"/>
      <c r="S93" s="20"/>
    </row>
    <row r="94" spans="1:19" ht="12.75">
      <c r="A94" s="560"/>
      <c r="B94" s="17" t="s">
        <v>301</v>
      </c>
      <c r="C94" s="18">
        <v>0.22</v>
      </c>
      <c r="D94" s="19">
        <f t="shared" si="10"/>
        <v>0</v>
      </c>
      <c r="E94" s="18">
        <v>13</v>
      </c>
      <c r="F94" s="19"/>
      <c r="G94" s="19">
        <v>0.6</v>
      </c>
      <c r="H94" s="19">
        <v>1.3</v>
      </c>
      <c r="I94" s="19">
        <f t="shared" si="11"/>
        <v>0</v>
      </c>
      <c r="J94" s="19"/>
      <c r="K94" s="19">
        <f t="shared" si="12"/>
        <v>0</v>
      </c>
      <c r="L94" s="19">
        <f t="shared" si="13"/>
        <v>0</v>
      </c>
      <c r="M94" s="19">
        <f t="shared" si="14"/>
        <v>0</v>
      </c>
      <c r="N94" s="19">
        <f t="shared" si="15"/>
        <v>0</v>
      </c>
      <c r="O94" s="19">
        <f t="shared" si="16"/>
        <v>0</v>
      </c>
      <c r="P94" s="19">
        <f t="shared" si="17"/>
        <v>0</v>
      </c>
      <c r="Q94" s="19"/>
      <c r="R94" s="19"/>
      <c r="S94" s="20"/>
    </row>
    <row r="95" spans="1:19" ht="12.75">
      <c r="A95" s="560"/>
      <c r="B95" s="17" t="s">
        <v>298</v>
      </c>
      <c r="C95" s="18">
        <v>0.27</v>
      </c>
      <c r="D95" s="19">
        <f t="shared" si="10"/>
        <v>0</v>
      </c>
      <c r="E95" s="18">
        <v>13</v>
      </c>
      <c r="F95" s="19"/>
      <c r="G95" s="19"/>
      <c r="H95" s="19">
        <v>1.3</v>
      </c>
      <c r="I95" s="19">
        <f t="shared" si="11"/>
        <v>0</v>
      </c>
      <c r="J95" s="19"/>
      <c r="K95" s="19">
        <f t="shared" si="12"/>
        <v>0</v>
      </c>
      <c r="L95" s="19">
        <f t="shared" si="13"/>
        <v>0</v>
      </c>
      <c r="M95" s="19">
        <f t="shared" si="14"/>
        <v>0</v>
      </c>
      <c r="N95" s="19">
        <f t="shared" si="15"/>
        <v>0</v>
      </c>
      <c r="O95" s="19">
        <f t="shared" si="16"/>
        <v>0</v>
      </c>
      <c r="P95" s="19">
        <f t="shared" si="17"/>
        <v>0</v>
      </c>
      <c r="Q95" s="19"/>
      <c r="R95" s="19"/>
      <c r="S95" s="20"/>
    </row>
    <row r="96" spans="1:19" ht="12.75">
      <c r="A96" s="561"/>
      <c r="B96" s="21" t="s">
        <v>299</v>
      </c>
      <c r="C96" s="22">
        <v>0.33</v>
      </c>
      <c r="D96" s="23">
        <f t="shared" si="10"/>
        <v>0</v>
      </c>
      <c r="E96" s="22">
        <v>13</v>
      </c>
      <c r="F96" s="23"/>
      <c r="G96" s="23"/>
      <c r="H96" s="23">
        <v>1.3</v>
      </c>
      <c r="I96" s="23">
        <f t="shared" si="11"/>
        <v>0</v>
      </c>
      <c r="J96" s="23"/>
      <c r="K96" s="23">
        <f t="shared" si="12"/>
        <v>0</v>
      </c>
      <c r="L96" s="23">
        <f t="shared" si="13"/>
        <v>0</v>
      </c>
      <c r="M96" s="23">
        <f t="shared" si="14"/>
        <v>0</v>
      </c>
      <c r="N96" s="23">
        <f t="shared" si="15"/>
        <v>0</v>
      </c>
      <c r="O96" s="23">
        <f t="shared" si="16"/>
        <v>0</v>
      </c>
      <c r="P96" s="23">
        <f t="shared" si="17"/>
        <v>0</v>
      </c>
      <c r="Q96" s="23"/>
      <c r="R96" s="23"/>
      <c r="S96" s="24"/>
    </row>
    <row r="97" spans="1:19" ht="12.75">
      <c r="A97" s="559" t="s">
        <v>322</v>
      </c>
      <c r="B97" s="11" t="s">
        <v>274</v>
      </c>
      <c r="C97" s="12">
        <v>0.09</v>
      </c>
      <c r="D97" s="13">
        <f t="shared" si="10"/>
        <v>14.310318961849323</v>
      </c>
      <c r="E97" s="12">
        <v>14</v>
      </c>
      <c r="F97" s="13">
        <f>+LONGITUDES!C57</f>
        <v>2249.44</v>
      </c>
      <c r="G97" s="13">
        <v>0.4</v>
      </c>
      <c r="H97" s="13">
        <v>1.3</v>
      </c>
      <c r="I97" s="13">
        <f t="shared" si="11"/>
        <v>1169.71</v>
      </c>
      <c r="J97" s="13">
        <f>F97*0.2</f>
        <v>449.88800000000003</v>
      </c>
      <c r="K97" s="13">
        <f t="shared" si="12"/>
        <v>1799.5520000000001</v>
      </c>
      <c r="L97" s="13">
        <f t="shared" si="13"/>
        <v>426.5799210381507</v>
      </c>
      <c r="M97" s="13">
        <f t="shared" si="14"/>
        <v>903.46240103815057</v>
      </c>
      <c r="N97" s="13">
        <f t="shared" si="15"/>
        <v>35.991040000000005</v>
      </c>
      <c r="O97" s="13">
        <f t="shared" si="16"/>
        <v>215.94624000000002</v>
      </c>
      <c r="P97" s="13">
        <f t="shared" si="17"/>
        <v>134.96640000000002</v>
      </c>
      <c r="Q97" s="13"/>
      <c r="R97" s="13"/>
      <c r="S97" s="14"/>
    </row>
    <row r="98" spans="1:19" ht="12.75">
      <c r="A98" s="560"/>
      <c r="B98" s="17" t="s">
        <v>273</v>
      </c>
      <c r="C98" s="18">
        <v>0.12</v>
      </c>
      <c r="D98" s="19">
        <f t="shared" si="10"/>
        <v>7.8732710128675238</v>
      </c>
      <c r="E98" s="18">
        <v>14</v>
      </c>
      <c r="F98" s="19">
        <f>+LONGITUDES!C56</f>
        <v>696.15</v>
      </c>
      <c r="G98" s="19">
        <v>0.4</v>
      </c>
      <c r="H98" s="19">
        <v>1.3</v>
      </c>
      <c r="I98" s="19">
        <f t="shared" si="11"/>
        <v>362</v>
      </c>
      <c r="J98" s="19">
        <f t="shared" ref="J98:J99" si="20">F98*0.2</f>
        <v>139.22999999999999</v>
      </c>
      <c r="K98" s="19">
        <f t="shared" si="12"/>
        <v>556.91999999999996</v>
      </c>
      <c r="L98" s="19">
        <f t="shared" si="13"/>
        <v>136.92592898713249</v>
      </c>
      <c r="M98" s="19">
        <f t="shared" si="14"/>
        <v>276.15792898713249</v>
      </c>
      <c r="N98" s="19">
        <f t="shared" si="15"/>
        <v>11.138400000000001</v>
      </c>
      <c r="O98" s="19">
        <f t="shared" si="16"/>
        <v>66.830399999999997</v>
      </c>
      <c r="P98" s="19">
        <f t="shared" si="17"/>
        <v>41.768999999999998</v>
      </c>
      <c r="Q98" s="19"/>
      <c r="R98" s="19"/>
      <c r="S98" s="20"/>
    </row>
    <row r="99" spans="1:19" ht="12.75">
      <c r="A99" s="560"/>
      <c r="B99" s="17" t="s">
        <v>300</v>
      </c>
      <c r="C99" s="18">
        <v>0.17</v>
      </c>
      <c r="D99" s="19">
        <f t="shared" si="10"/>
        <v>16.086304485822627</v>
      </c>
      <c r="E99" s="18">
        <v>14</v>
      </c>
      <c r="F99" s="19">
        <f>+LONGITUDES!C55</f>
        <v>708.71</v>
      </c>
      <c r="G99" s="19">
        <v>0.6</v>
      </c>
      <c r="H99" s="19">
        <v>1.3</v>
      </c>
      <c r="I99" s="19">
        <f t="shared" si="11"/>
        <v>552.79</v>
      </c>
      <c r="J99" s="19">
        <f t="shared" si="20"/>
        <v>141.74200000000002</v>
      </c>
      <c r="K99" s="19">
        <f t="shared" si="12"/>
        <v>566.96800000000007</v>
      </c>
      <c r="L99" s="19">
        <f t="shared" si="13"/>
        <v>226.29251551417738</v>
      </c>
      <c r="M99" s="19">
        <f t="shared" si="14"/>
        <v>417.64041551417733</v>
      </c>
      <c r="N99" s="19">
        <f t="shared" si="15"/>
        <v>17.009040000000002</v>
      </c>
      <c r="O99" s="19">
        <f t="shared" si="16"/>
        <v>102.05424000000001</v>
      </c>
      <c r="P99" s="19">
        <f t="shared" si="17"/>
        <v>42.522600000000011</v>
      </c>
      <c r="Q99" s="19"/>
      <c r="R99" s="19"/>
      <c r="S99" s="20"/>
    </row>
    <row r="100" spans="1:19" ht="12.75">
      <c r="A100" s="560"/>
      <c r="B100" s="17" t="s">
        <v>301</v>
      </c>
      <c r="C100" s="18">
        <v>0.22</v>
      </c>
      <c r="D100" s="19">
        <f t="shared" si="10"/>
        <v>0</v>
      </c>
      <c r="E100" s="18">
        <v>14</v>
      </c>
      <c r="F100" s="19"/>
      <c r="G100" s="19">
        <v>0.6</v>
      </c>
      <c r="H100" s="19">
        <v>1.3</v>
      </c>
      <c r="I100" s="19">
        <f t="shared" si="11"/>
        <v>0</v>
      </c>
      <c r="J100" s="19"/>
      <c r="K100" s="19">
        <f t="shared" si="12"/>
        <v>0</v>
      </c>
      <c r="L100" s="19">
        <f t="shared" si="13"/>
        <v>0</v>
      </c>
      <c r="M100" s="19">
        <f t="shared" si="14"/>
        <v>0</v>
      </c>
      <c r="N100" s="19">
        <f t="shared" si="15"/>
        <v>0</v>
      </c>
      <c r="O100" s="19">
        <f t="shared" si="16"/>
        <v>0</v>
      </c>
      <c r="P100" s="19">
        <f t="shared" si="17"/>
        <v>0</v>
      </c>
      <c r="Q100" s="19"/>
      <c r="R100" s="19"/>
      <c r="S100" s="20"/>
    </row>
    <row r="101" spans="1:19" ht="12.75">
      <c r="A101" s="560"/>
      <c r="B101" s="17" t="s">
        <v>298</v>
      </c>
      <c r="C101" s="18">
        <v>0.27</v>
      </c>
      <c r="D101" s="19">
        <f t="shared" si="10"/>
        <v>0</v>
      </c>
      <c r="E101" s="18">
        <v>14</v>
      </c>
      <c r="F101" s="19"/>
      <c r="G101" s="19"/>
      <c r="H101" s="19">
        <v>1.3</v>
      </c>
      <c r="I101" s="19">
        <f t="shared" si="11"/>
        <v>0</v>
      </c>
      <c r="J101" s="19"/>
      <c r="K101" s="19">
        <f t="shared" si="12"/>
        <v>0</v>
      </c>
      <c r="L101" s="19">
        <f t="shared" si="13"/>
        <v>0</v>
      </c>
      <c r="M101" s="19">
        <f t="shared" si="14"/>
        <v>0</v>
      </c>
      <c r="N101" s="19">
        <f t="shared" si="15"/>
        <v>0</v>
      </c>
      <c r="O101" s="19">
        <f t="shared" si="16"/>
        <v>0</v>
      </c>
      <c r="P101" s="19">
        <f t="shared" si="17"/>
        <v>0</v>
      </c>
      <c r="Q101" s="19"/>
      <c r="R101" s="19"/>
      <c r="S101" s="20"/>
    </row>
    <row r="102" spans="1:19" ht="12.75">
      <c r="A102" s="561"/>
      <c r="B102" s="21" t="s">
        <v>299</v>
      </c>
      <c r="C102" s="22">
        <v>0.33</v>
      </c>
      <c r="D102" s="23">
        <f t="shared" si="10"/>
        <v>0</v>
      </c>
      <c r="E102" s="22">
        <v>14</v>
      </c>
      <c r="F102" s="23"/>
      <c r="G102" s="23"/>
      <c r="H102" s="23">
        <v>1.3</v>
      </c>
      <c r="I102" s="23">
        <f t="shared" si="11"/>
        <v>0</v>
      </c>
      <c r="J102" s="23"/>
      <c r="K102" s="23">
        <f t="shared" si="12"/>
        <v>0</v>
      </c>
      <c r="L102" s="23">
        <f t="shared" si="13"/>
        <v>0</v>
      </c>
      <c r="M102" s="23">
        <f t="shared" si="14"/>
        <v>0</v>
      </c>
      <c r="N102" s="23">
        <f t="shared" si="15"/>
        <v>0</v>
      </c>
      <c r="O102" s="23">
        <f t="shared" si="16"/>
        <v>0</v>
      </c>
      <c r="P102" s="23">
        <f t="shared" si="17"/>
        <v>0</v>
      </c>
      <c r="Q102" s="23"/>
      <c r="R102" s="23"/>
      <c r="S102" s="24"/>
    </row>
    <row r="103" spans="1:19" ht="12.75">
      <c r="A103" s="559" t="s">
        <v>323</v>
      </c>
      <c r="B103" s="11" t="s">
        <v>274</v>
      </c>
      <c r="C103" s="12">
        <v>0.09</v>
      </c>
      <c r="D103" s="13">
        <f t="shared" si="10"/>
        <v>5.6394148529949462</v>
      </c>
      <c r="E103" s="12">
        <v>15</v>
      </c>
      <c r="F103" s="13">
        <f>+LONGITUDES!C61</f>
        <v>886.46</v>
      </c>
      <c r="G103" s="13">
        <v>0.4</v>
      </c>
      <c r="H103" s="13">
        <v>1.3</v>
      </c>
      <c r="I103" s="13">
        <f t="shared" si="11"/>
        <v>460.96</v>
      </c>
      <c r="J103" s="13"/>
      <c r="K103" s="13">
        <f t="shared" si="12"/>
        <v>886.46</v>
      </c>
      <c r="L103" s="13">
        <f t="shared" si="13"/>
        <v>168.10674514700509</v>
      </c>
      <c r="M103" s="13">
        <f t="shared" si="14"/>
        <v>366.67458514700502</v>
      </c>
      <c r="N103" s="13">
        <f t="shared" si="15"/>
        <v>0</v>
      </c>
      <c r="O103" s="13">
        <f t="shared" si="16"/>
        <v>88.646000000000015</v>
      </c>
      <c r="P103" s="13">
        <f t="shared" si="17"/>
        <v>0</v>
      </c>
      <c r="Q103" s="13"/>
      <c r="R103" s="13"/>
      <c r="S103" s="14"/>
    </row>
    <row r="104" spans="1:19" ht="12.75">
      <c r="A104" s="560"/>
      <c r="B104" s="17" t="s">
        <v>273</v>
      </c>
      <c r="C104" s="18">
        <v>0.12</v>
      </c>
      <c r="D104" s="19">
        <f t="shared" si="10"/>
        <v>13.23804312369667</v>
      </c>
      <c r="E104" s="18">
        <v>15</v>
      </c>
      <c r="F104" s="19">
        <f>+LONGITUDES!C60</f>
        <v>1170.5</v>
      </c>
      <c r="G104" s="19">
        <v>0.4</v>
      </c>
      <c r="H104" s="19">
        <v>1.3</v>
      </c>
      <c r="I104" s="19">
        <f t="shared" si="11"/>
        <v>608.66</v>
      </c>
      <c r="J104" s="19"/>
      <c r="K104" s="19">
        <f t="shared" si="12"/>
        <v>1170.5</v>
      </c>
      <c r="L104" s="19">
        <f t="shared" si="13"/>
        <v>230.22595687630331</v>
      </c>
      <c r="M104" s="19">
        <f t="shared" si="14"/>
        <v>478.37195687630327</v>
      </c>
      <c r="N104" s="19">
        <f t="shared" si="15"/>
        <v>0</v>
      </c>
      <c r="O104" s="19">
        <f t="shared" si="16"/>
        <v>117.05000000000001</v>
      </c>
      <c r="P104" s="19">
        <f t="shared" si="17"/>
        <v>0</v>
      </c>
      <c r="Q104" s="19"/>
      <c r="R104" s="19"/>
      <c r="S104" s="20"/>
    </row>
    <row r="105" spans="1:19" ht="12.75">
      <c r="A105" s="560"/>
      <c r="B105" s="17" t="s">
        <v>300</v>
      </c>
      <c r="C105" s="18">
        <v>0.17</v>
      </c>
      <c r="D105" s="19">
        <f t="shared" si="10"/>
        <v>10.994006632830137</v>
      </c>
      <c r="E105" s="18">
        <v>15</v>
      </c>
      <c r="F105" s="19">
        <f>+LONGITUDES!C59</f>
        <v>484.36</v>
      </c>
      <c r="G105" s="19">
        <v>0.6</v>
      </c>
      <c r="H105" s="19">
        <v>1.3</v>
      </c>
      <c r="I105" s="19">
        <f t="shared" si="11"/>
        <v>377.8</v>
      </c>
      <c r="J105" s="19"/>
      <c r="K105" s="19">
        <f t="shared" si="12"/>
        <v>484.36</v>
      </c>
      <c r="L105" s="19">
        <f t="shared" si="13"/>
        <v>154.65711336716987</v>
      </c>
      <c r="M105" s="19">
        <f t="shared" si="14"/>
        <v>294.15199336716989</v>
      </c>
      <c r="N105" s="19">
        <f t="shared" si="15"/>
        <v>0</v>
      </c>
      <c r="O105" s="19">
        <f t="shared" si="16"/>
        <v>72.653999999999996</v>
      </c>
      <c r="P105" s="19">
        <f t="shared" si="17"/>
        <v>0</v>
      </c>
      <c r="Q105" s="19"/>
      <c r="R105" s="19"/>
      <c r="S105" s="20"/>
    </row>
    <row r="106" spans="1:19" ht="12.75">
      <c r="A106" s="560"/>
      <c r="B106" s="17" t="s">
        <v>301</v>
      </c>
      <c r="C106" s="18">
        <v>0.22</v>
      </c>
      <c r="D106" s="19">
        <f t="shared" si="10"/>
        <v>0</v>
      </c>
      <c r="E106" s="18">
        <v>15</v>
      </c>
      <c r="F106" s="19"/>
      <c r="G106" s="19">
        <v>0.6</v>
      </c>
      <c r="H106" s="19">
        <v>1.3</v>
      </c>
      <c r="I106" s="19">
        <f t="shared" si="11"/>
        <v>0</v>
      </c>
      <c r="J106" s="19"/>
      <c r="K106" s="19">
        <f t="shared" si="12"/>
        <v>0</v>
      </c>
      <c r="L106" s="19">
        <f t="shared" si="13"/>
        <v>0</v>
      </c>
      <c r="M106" s="19">
        <f t="shared" si="14"/>
        <v>0</v>
      </c>
      <c r="N106" s="19">
        <f t="shared" si="15"/>
        <v>0</v>
      </c>
      <c r="O106" s="19">
        <f t="shared" si="16"/>
        <v>0</v>
      </c>
      <c r="P106" s="19">
        <f t="shared" si="17"/>
        <v>0</v>
      </c>
      <c r="Q106" s="19"/>
      <c r="R106" s="19"/>
      <c r="S106" s="20"/>
    </row>
    <row r="107" spans="1:19" ht="12.75">
      <c r="A107" s="560"/>
      <c r="B107" s="17" t="s">
        <v>298</v>
      </c>
      <c r="C107" s="18">
        <v>0.27</v>
      </c>
      <c r="D107" s="19">
        <f t="shared" si="10"/>
        <v>0</v>
      </c>
      <c r="E107" s="18">
        <v>15</v>
      </c>
      <c r="F107" s="19"/>
      <c r="G107" s="19"/>
      <c r="H107" s="19">
        <v>1.3</v>
      </c>
      <c r="I107" s="19">
        <f t="shared" si="11"/>
        <v>0</v>
      </c>
      <c r="J107" s="19"/>
      <c r="K107" s="19">
        <f t="shared" si="12"/>
        <v>0</v>
      </c>
      <c r="L107" s="19">
        <f t="shared" si="13"/>
        <v>0</v>
      </c>
      <c r="M107" s="19">
        <f t="shared" si="14"/>
        <v>0</v>
      </c>
      <c r="N107" s="19">
        <f t="shared" si="15"/>
        <v>0</v>
      </c>
      <c r="O107" s="19">
        <f t="shared" si="16"/>
        <v>0</v>
      </c>
      <c r="P107" s="19">
        <f t="shared" si="17"/>
        <v>0</v>
      </c>
      <c r="Q107" s="19"/>
      <c r="R107" s="19"/>
      <c r="S107" s="20"/>
    </row>
    <row r="108" spans="1:19" ht="12.75">
      <c r="A108" s="561"/>
      <c r="B108" s="21" t="s">
        <v>299</v>
      </c>
      <c r="C108" s="22">
        <v>0.33</v>
      </c>
      <c r="D108" s="23">
        <f t="shared" si="10"/>
        <v>0</v>
      </c>
      <c r="E108" s="22">
        <v>15</v>
      </c>
      <c r="F108" s="23"/>
      <c r="G108" s="23"/>
      <c r="H108" s="23">
        <v>1.3</v>
      </c>
      <c r="I108" s="23">
        <f t="shared" si="11"/>
        <v>0</v>
      </c>
      <c r="J108" s="23"/>
      <c r="K108" s="23">
        <f t="shared" si="12"/>
        <v>0</v>
      </c>
      <c r="L108" s="23">
        <f t="shared" si="13"/>
        <v>0</v>
      </c>
      <c r="M108" s="23">
        <f t="shared" si="14"/>
        <v>0</v>
      </c>
      <c r="N108" s="23">
        <f t="shared" si="15"/>
        <v>0</v>
      </c>
      <c r="O108" s="23">
        <f t="shared" si="16"/>
        <v>0</v>
      </c>
      <c r="P108" s="23">
        <f t="shared" si="17"/>
        <v>0</v>
      </c>
      <c r="Q108" s="23"/>
      <c r="R108" s="23"/>
      <c r="S108" s="24"/>
    </row>
    <row r="109" spans="1:19" ht="12.75">
      <c r="A109" s="559" t="s">
        <v>324</v>
      </c>
      <c r="B109" s="11" t="s">
        <v>274</v>
      </c>
      <c r="C109" s="12">
        <v>0.09</v>
      </c>
      <c r="D109" s="13">
        <f t="shared" si="10"/>
        <v>9.8050088466241689</v>
      </c>
      <c r="E109" s="12">
        <v>16</v>
      </c>
      <c r="F109" s="13">
        <f>+LONGITUDES!C65</f>
        <v>1541.25</v>
      </c>
      <c r="G109" s="13">
        <v>0.4</v>
      </c>
      <c r="H109" s="13">
        <v>1.3</v>
      </c>
      <c r="I109" s="13">
        <f t="shared" si="11"/>
        <v>801.45</v>
      </c>
      <c r="J109" s="13"/>
      <c r="K109" s="13">
        <f t="shared" si="12"/>
        <v>1541.25</v>
      </c>
      <c r="L109" s="13">
        <f t="shared" si="13"/>
        <v>292.27999115337582</v>
      </c>
      <c r="M109" s="13">
        <f t="shared" si="14"/>
        <v>637.51999115337583</v>
      </c>
      <c r="N109" s="13">
        <f t="shared" si="15"/>
        <v>0</v>
      </c>
      <c r="O109" s="13">
        <f t="shared" si="16"/>
        <v>154.125</v>
      </c>
      <c r="P109" s="13">
        <f t="shared" si="17"/>
        <v>0</v>
      </c>
      <c r="Q109" s="13"/>
      <c r="R109" s="13"/>
      <c r="S109" s="14"/>
    </row>
    <row r="110" spans="1:19" ht="12.75">
      <c r="A110" s="560"/>
      <c r="B110" s="17" t="s">
        <v>273</v>
      </c>
      <c r="C110" s="18">
        <v>0.12</v>
      </c>
      <c r="D110" s="19">
        <f t="shared" si="10"/>
        <v>16.169299865943319</v>
      </c>
      <c r="E110" s="18">
        <v>16</v>
      </c>
      <c r="F110" s="19">
        <f>+LONGITUDES!C64</f>
        <v>1429.68</v>
      </c>
      <c r="G110" s="19">
        <v>0.4</v>
      </c>
      <c r="H110" s="19">
        <v>1.3</v>
      </c>
      <c r="I110" s="19">
        <f t="shared" si="11"/>
        <v>743.43</v>
      </c>
      <c r="J110" s="19"/>
      <c r="K110" s="19">
        <f t="shared" si="12"/>
        <v>1429.68</v>
      </c>
      <c r="L110" s="19">
        <f t="shared" si="13"/>
        <v>281.20414013405667</v>
      </c>
      <c r="M110" s="19">
        <f t="shared" si="14"/>
        <v>584.29270013405664</v>
      </c>
      <c r="N110" s="19">
        <f t="shared" si="15"/>
        <v>0</v>
      </c>
      <c r="O110" s="19">
        <f t="shared" si="16"/>
        <v>142.96800000000002</v>
      </c>
      <c r="P110" s="19">
        <f t="shared" si="17"/>
        <v>0</v>
      </c>
      <c r="Q110" s="19"/>
      <c r="R110" s="19"/>
      <c r="S110" s="20"/>
    </row>
    <row r="111" spans="1:19" ht="12.75">
      <c r="A111" s="560"/>
      <c r="B111" s="17" t="s">
        <v>300</v>
      </c>
      <c r="C111" s="18">
        <v>0.17</v>
      </c>
      <c r="D111" s="19">
        <f t="shared" si="10"/>
        <v>10.602239033353204</v>
      </c>
      <c r="E111" s="18">
        <v>16</v>
      </c>
      <c r="F111" s="19">
        <f>+LONGITUDES!C63</f>
        <v>467.1</v>
      </c>
      <c r="G111" s="19">
        <v>0.6</v>
      </c>
      <c r="H111" s="19">
        <v>1.3</v>
      </c>
      <c r="I111" s="19">
        <f t="shared" si="11"/>
        <v>364.34</v>
      </c>
      <c r="J111" s="19"/>
      <c r="K111" s="19">
        <f t="shared" si="12"/>
        <v>467.1</v>
      </c>
      <c r="L111" s="19">
        <f t="shared" si="13"/>
        <v>149.14596096664678</v>
      </c>
      <c r="M111" s="19">
        <f t="shared" si="14"/>
        <v>283.67276096664676</v>
      </c>
      <c r="N111" s="19">
        <f t="shared" si="15"/>
        <v>0</v>
      </c>
      <c r="O111" s="19">
        <f t="shared" si="16"/>
        <v>70.064999999999998</v>
      </c>
      <c r="P111" s="19">
        <f t="shared" si="17"/>
        <v>0</v>
      </c>
      <c r="Q111" s="19"/>
      <c r="R111" s="19"/>
      <c r="S111" s="20"/>
    </row>
    <row r="112" spans="1:19" ht="12.75">
      <c r="A112" s="560"/>
      <c r="B112" s="17" t="s">
        <v>301</v>
      </c>
      <c r="C112" s="18">
        <v>0.22</v>
      </c>
      <c r="D112" s="19">
        <f t="shared" si="10"/>
        <v>0</v>
      </c>
      <c r="E112" s="18">
        <v>16</v>
      </c>
      <c r="F112" s="19"/>
      <c r="G112" s="19">
        <v>0.6</v>
      </c>
      <c r="H112" s="19">
        <v>1.3</v>
      </c>
      <c r="I112" s="19">
        <f t="shared" si="11"/>
        <v>0</v>
      </c>
      <c r="J112" s="19"/>
      <c r="K112" s="19">
        <f t="shared" si="12"/>
        <v>0</v>
      </c>
      <c r="L112" s="19">
        <f t="shared" si="13"/>
        <v>0</v>
      </c>
      <c r="M112" s="19">
        <f t="shared" si="14"/>
        <v>0</v>
      </c>
      <c r="N112" s="19">
        <f t="shared" si="15"/>
        <v>0</v>
      </c>
      <c r="O112" s="19">
        <f t="shared" si="16"/>
        <v>0</v>
      </c>
      <c r="P112" s="19">
        <f t="shared" si="17"/>
        <v>0</v>
      </c>
      <c r="Q112" s="19"/>
      <c r="R112" s="19"/>
      <c r="S112" s="20"/>
    </row>
    <row r="113" spans="1:24" ht="12.75">
      <c r="A113" s="560"/>
      <c r="B113" s="17" t="s">
        <v>298</v>
      </c>
      <c r="C113" s="18">
        <v>0.27</v>
      </c>
      <c r="D113" s="19">
        <f t="shared" si="10"/>
        <v>0</v>
      </c>
      <c r="E113" s="18">
        <v>16</v>
      </c>
      <c r="F113" s="19"/>
      <c r="G113" s="19"/>
      <c r="H113" s="19">
        <v>1.3</v>
      </c>
      <c r="I113" s="19">
        <f t="shared" si="11"/>
        <v>0</v>
      </c>
      <c r="J113" s="19"/>
      <c r="K113" s="19">
        <f t="shared" si="12"/>
        <v>0</v>
      </c>
      <c r="L113" s="19">
        <f t="shared" si="13"/>
        <v>0</v>
      </c>
      <c r="M113" s="19">
        <f t="shared" si="14"/>
        <v>0</v>
      </c>
      <c r="N113" s="19">
        <f t="shared" si="15"/>
        <v>0</v>
      </c>
      <c r="O113" s="19">
        <f t="shared" si="16"/>
        <v>0</v>
      </c>
      <c r="P113" s="19">
        <f t="shared" si="17"/>
        <v>0</v>
      </c>
      <c r="Q113" s="19"/>
      <c r="R113" s="19"/>
      <c r="S113" s="20"/>
    </row>
    <row r="114" spans="1:24" ht="12.75">
      <c r="A114" s="561"/>
      <c r="B114" s="21" t="s">
        <v>299</v>
      </c>
      <c r="C114" s="22">
        <v>0.33</v>
      </c>
      <c r="D114" s="23">
        <f t="shared" si="10"/>
        <v>0</v>
      </c>
      <c r="E114" s="22">
        <v>16</v>
      </c>
      <c r="F114" s="23"/>
      <c r="G114" s="23"/>
      <c r="H114" s="23">
        <v>1.3</v>
      </c>
      <c r="I114" s="23">
        <f t="shared" si="11"/>
        <v>0</v>
      </c>
      <c r="J114" s="23"/>
      <c r="K114" s="23">
        <f t="shared" si="12"/>
        <v>0</v>
      </c>
      <c r="L114" s="23">
        <f t="shared" si="13"/>
        <v>0</v>
      </c>
      <c r="M114" s="23">
        <f t="shared" si="14"/>
        <v>0</v>
      </c>
      <c r="N114" s="23">
        <f t="shared" si="15"/>
        <v>0</v>
      </c>
      <c r="O114" s="23">
        <f t="shared" si="16"/>
        <v>0</v>
      </c>
      <c r="P114" s="23">
        <f t="shared" si="17"/>
        <v>0</v>
      </c>
      <c r="Q114" s="23"/>
      <c r="R114" s="23"/>
      <c r="S114" s="24"/>
    </row>
    <row r="115" spans="1:24" ht="12.75">
      <c r="A115" s="559" t="s">
        <v>325</v>
      </c>
      <c r="B115" s="11" t="s">
        <v>274</v>
      </c>
      <c r="C115" s="12">
        <v>0.09</v>
      </c>
      <c r="D115" s="13">
        <f t="shared" si="10"/>
        <v>10.393595655052177</v>
      </c>
      <c r="E115" s="12">
        <v>17</v>
      </c>
      <c r="F115" s="13">
        <f>+LONGITUDES!C69</f>
        <v>1633.77</v>
      </c>
      <c r="G115" s="13">
        <v>0.4</v>
      </c>
      <c r="H115" s="13">
        <v>1.3</v>
      </c>
      <c r="I115" s="13">
        <f t="shared" si="11"/>
        <v>849.56</v>
      </c>
      <c r="J115" s="13"/>
      <c r="K115" s="13">
        <f t="shared" si="12"/>
        <v>1633.77</v>
      </c>
      <c r="L115" s="13">
        <f t="shared" si="13"/>
        <v>309.82532434494783</v>
      </c>
      <c r="M115" s="13">
        <f t="shared" si="14"/>
        <v>675.7894043449478</v>
      </c>
      <c r="N115" s="13">
        <f t="shared" si="15"/>
        <v>0</v>
      </c>
      <c r="O115" s="13">
        <f t="shared" si="16"/>
        <v>163.37700000000001</v>
      </c>
      <c r="P115" s="13">
        <f t="shared" si="17"/>
        <v>0</v>
      </c>
      <c r="Q115" s="13"/>
      <c r="R115" s="13"/>
      <c r="S115" s="14"/>
    </row>
    <row r="116" spans="1:24" ht="12.75">
      <c r="A116" s="560"/>
      <c r="B116" s="17" t="s">
        <v>273</v>
      </c>
      <c r="C116" s="18">
        <v>0.12</v>
      </c>
      <c r="D116" s="19">
        <f t="shared" si="10"/>
        <v>7.69548200141557</v>
      </c>
      <c r="E116" s="18">
        <v>17</v>
      </c>
      <c r="F116" s="19">
        <f>+LONGITUDES!C68</f>
        <v>680.43</v>
      </c>
      <c r="G116" s="19">
        <v>0.4</v>
      </c>
      <c r="H116" s="19">
        <v>1.3</v>
      </c>
      <c r="I116" s="19">
        <f t="shared" si="11"/>
        <v>353.82</v>
      </c>
      <c r="J116" s="19"/>
      <c r="K116" s="19">
        <f t="shared" si="12"/>
        <v>680.43</v>
      </c>
      <c r="L116" s="19">
        <f t="shared" si="13"/>
        <v>133.83395799858442</v>
      </c>
      <c r="M116" s="19">
        <f t="shared" si="14"/>
        <v>278.08151799858445</v>
      </c>
      <c r="N116" s="19">
        <f t="shared" si="15"/>
        <v>0</v>
      </c>
      <c r="O116" s="19">
        <f t="shared" si="16"/>
        <v>68.042999999999992</v>
      </c>
      <c r="P116" s="19">
        <f t="shared" si="17"/>
        <v>0</v>
      </c>
      <c r="Q116" s="19"/>
      <c r="R116" s="19"/>
      <c r="S116" s="20"/>
    </row>
    <row r="117" spans="1:24" ht="12.75">
      <c r="A117" s="560"/>
      <c r="B117" s="17" t="s">
        <v>300</v>
      </c>
      <c r="C117" s="18">
        <v>0.17</v>
      </c>
      <c r="D117" s="19">
        <f t="shared" si="10"/>
        <v>9.1379906068029655</v>
      </c>
      <c r="E117" s="18">
        <v>17</v>
      </c>
      <c r="F117" s="19">
        <f>+LONGITUDES!C67</f>
        <v>402.59</v>
      </c>
      <c r="G117" s="19">
        <v>0.6</v>
      </c>
      <c r="H117" s="19">
        <v>1.3</v>
      </c>
      <c r="I117" s="19">
        <f t="shared" si="11"/>
        <v>314.02</v>
      </c>
      <c r="J117" s="19"/>
      <c r="K117" s="19">
        <f t="shared" si="12"/>
        <v>402.59</v>
      </c>
      <c r="L117" s="19">
        <f t="shared" si="13"/>
        <v>128.54778939319704</v>
      </c>
      <c r="M117" s="19">
        <f t="shared" si="14"/>
        <v>244.49350939319703</v>
      </c>
      <c r="N117" s="19">
        <f t="shared" si="15"/>
        <v>0</v>
      </c>
      <c r="O117" s="19">
        <f t="shared" si="16"/>
        <v>60.388499999999993</v>
      </c>
      <c r="P117" s="19">
        <f t="shared" si="17"/>
        <v>0</v>
      </c>
      <c r="Q117" s="19"/>
      <c r="R117" s="19"/>
      <c r="S117" s="20"/>
    </row>
    <row r="118" spans="1:24" ht="12.75">
      <c r="A118" s="560"/>
      <c r="B118" s="17" t="s">
        <v>301</v>
      </c>
      <c r="C118" s="18">
        <v>0.22</v>
      </c>
      <c r="D118" s="19">
        <f t="shared" si="10"/>
        <v>0</v>
      </c>
      <c r="E118" s="18">
        <v>17</v>
      </c>
      <c r="F118" s="19"/>
      <c r="G118" s="19">
        <v>0.6</v>
      </c>
      <c r="H118" s="19">
        <v>1.3</v>
      </c>
      <c r="I118" s="19">
        <f t="shared" si="11"/>
        <v>0</v>
      </c>
      <c r="J118" s="19"/>
      <c r="K118" s="19">
        <f t="shared" si="12"/>
        <v>0</v>
      </c>
      <c r="L118" s="19">
        <f t="shared" si="13"/>
        <v>0</v>
      </c>
      <c r="M118" s="19">
        <f t="shared" si="14"/>
        <v>0</v>
      </c>
      <c r="N118" s="19">
        <f t="shared" si="15"/>
        <v>0</v>
      </c>
      <c r="O118" s="19">
        <f t="shared" si="16"/>
        <v>0</v>
      </c>
      <c r="P118" s="19">
        <f t="shared" si="17"/>
        <v>0</v>
      </c>
      <c r="Q118" s="19"/>
      <c r="R118" s="19"/>
      <c r="S118" s="20"/>
    </row>
    <row r="119" spans="1:24" ht="12.75">
      <c r="A119" s="560"/>
      <c r="B119" s="17" t="s">
        <v>298</v>
      </c>
      <c r="C119" s="18">
        <v>0.27</v>
      </c>
      <c r="D119" s="19">
        <f t="shared" si="10"/>
        <v>0</v>
      </c>
      <c r="E119" s="18">
        <v>17</v>
      </c>
      <c r="F119" s="19"/>
      <c r="G119" s="19"/>
      <c r="H119" s="19">
        <v>1.3</v>
      </c>
      <c r="I119" s="19">
        <f t="shared" si="11"/>
        <v>0</v>
      </c>
      <c r="J119" s="19"/>
      <c r="K119" s="19">
        <f t="shared" si="12"/>
        <v>0</v>
      </c>
      <c r="L119" s="19">
        <f t="shared" si="13"/>
        <v>0</v>
      </c>
      <c r="M119" s="19">
        <f t="shared" si="14"/>
        <v>0</v>
      </c>
      <c r="N119" s="19">
        <f t="shared" si="15"/>
        <v>0</v>
      </c>
      <c r="O119" s="19">
        <f t="shared" si="16"/>
        <v>0</v>
      </c>
      <c r="P119" s="19">
        <f t="shared" si="17"/>
        <v>0</v>
      </c>
      <c r="Q119" s="19"/>
      <c r="R119" s="19"/>
      <c r="S119" s="20"/>
    </row>
    <row r="120" spans="1:24" ht="12.75">
      <c r="A120" s="561"/>
      <c r="B120" s="21" t="s">
        <v>299</v>
      </c>
      <c r="C120" s="22">
        <v>0.33</v>
      </c>
      <c r="D120" s="23">
        <f t="shared" si="10"/>
        <v>0</v>
      </c>
      <c r="E120" s="22">
        <v>17</v>
      </c>
      <c r="F120" s="46"/>
      <c r="G120" s="23">
        <v>0.8</v>
      </c>
      <c r="H120" s="23">
        <v>1.3</v>
      </c>
      <c r="I120" s="23">
        <f t="shared" si="11"/>
        <v>0</v>
      </c>
      <c r="J120" s="23"/>
      <c r="K120" s="23">
        <f t="shared" si="12"/>
        <v>0</v>
      </c>
      <c r="L120" s="23">
        <f t="shared" si="13"/>
        <v>0</v>
      </c>
      <c r="M120" s="23">
        <f t="shared" si="14"/>
        <v>0</v>
      </c>
      <c r="N120" s="23">
        <f t="shared" si="15"/>
        <v>0</v>
      </c>
      <c r="O120" s="23">
        <f t="shared" si="16"/>
        <v>0</v>
      </c>
      <c r="P120" s="23">
        <f t="shared" si="17"/>
        <v>0</v>
      </c>
      <c r="Q120" s="23"/>
      <c r="R120" s="23"/>
      <c r="S120" s="24"/>
    </row>
    <row r="121" spans="1:24" ht="12.75">
      <c r="A121" s="559" t="s">
        <v>326</v>
      </c>
      <c r="B121" s="36" t="s">
        <v>274</v>
      </c>
      <c r="C121" s="37">
        <v>0.09</v>
      </c>
      <c r="D121" s="38">
        <f t="shared" si="10"/>
        <v>27.53729975241454</v>
      </c>
      <c r="E121" s="37">
        <v>18</v>
      </c>
      <c r="F121" s="38">
        <f>+LONGITUDES!C73</f>
        <v>4328.59</v>
      </c>
      <c r="G121" s="38">
        <v>0.4</v>
      </c>
      <c r="H121" s="38">
        <v>1.3</v>
      </c>
      <c r="I121" s="38">
        <f t="shared" si="11"/>
        <v>2250.87</v>
      </c>
      <c r="J121" s="38"/>
      <c r="K121" s="38">
        <f t="shared" si="12"/>
        <v>4328.59</v>
      </c>
      <c r="L121" s="38">
        <f t="shared" si="13"/>
        <v>820.86634024758553</v>
      </c>
      <c r="M121" s="38">
        <f t="shared" si="14"/>
        <v>1790.4737002475854</v>
      </c>
      <c r="N121" s="38">
        <f t="shared" si="15"/>
        <v>0</v>
      </c>
      <c r="O121" s="38">
        <f t="shared" si="16"/>
        <v>432.85900000000004</v>
      </c>
      <c r="P121" s="38">
        <f t="shared" si="17"/>
        <v>0</v>
      </c>
      <c r="Q121" s="38"/>
      <c r="R121" s="38"/>
      <c r="S121" s="39"/>
    </row>
    <row r="122" spans="1:24" ht="12.75">
      <c r="A122" s="560"/>
      <c r="B122" s="17" t="s">
        <v>273</v>
      </c>
      <c r="C122" s="18">
        <v>0.12</v>
      </c>
      <c r="D122" s="19">
        <f t="shared" si="10"/>
        <v>11.516249287599633</v>
      </c>
      <c r="E122" s="18">
        <v>18</v>
      </c>
      <c r="F122" s="19">
        <f>+LONGITUDES!C72</f>
        <v>1018.26</v>
      </c>
      <c r="G122" s="19">
        <v>0.4</v>
      </c>
      <c r="H122" s="19">
        <v>1.3</v>
      </c>
      <c r="I122" s="19">
        <f t="shared" si="11"/>
        <v>529.5</v>
      </c>
      <c r="J122" s="19"/>
      <c r="K122" s="19">
        <f t="shared" si="12"/>
        <v>1018.26</v>
      </c>
      <c r="L122" s="19">
        <f t="shared" si="13"/>
        <v>200.28183071240039</v>
      </c>
      <c r="M122" s="19">
        <f t="shared" si="14"/>
        <v>416.15775071240034</v>
      </c>
      <c r="N122" s="19">
        <f t="shared" si="15"/>
        <v>0</v>
      </c>
      <c r="O122" s="19">
        <f t="shared" si="16"/>
        <v>101.82600000000001</v>
      </c>
      <c r="P122" s="19">
        <f t="shared" si="17"/>
        <v>0</v>
      </c>
      <c r="Q122" s="19"/>
      <c r="R122" s="19"/>
      <c r="S122" s="20"/>
    </row>
    <row r="123" spans="1:24" ht="12.75">
      <c r="A123" s="560"/>
      <c r="B123" s="17" t="s">
        <v>300</v>
      </c>
      <c r="C123" s="18">
        <v>0.17</v>
      </c>
      <c r="D123" s="19">
        <f t="shared" si="10"/>
        <v>11.132237494986251</v>
      </c>
      <c r="E123" s="18">
        <v>18</v>
      </c>
      <c r="F123" s="19">
        <f>+LONGITUDES!C71</f>
        <v>490.45</v>
      </c>
      <c r="G123" s="19">
        <v>0.6</v>
      </c>
      <c r="H123" s="19">
        <v>1.3</v>
      </c>
      <c r="I123" s="19">
        <f t="shared" si="11"/>
        <v>382.55</v>
      </c>
      <c r="J123" s="19"/>
      <c r="K123" s="19">
        <f t="shared" si="12"/>
        <v>490.45</v>
      </c>
      <c r="L123" s="19">
        <f t="shared" si="13"/>
        <v>156.60166250501376</v>
      </c>
      <c r="M123" s="19">
        <f t="shared" si="14"/>
        <v>297.85026250501375</v>
      </c>
      <c r="N123" s="19">
        <f t="shared" si="15"/>
        <v>0</v>
      </c>
      <c r="O123" s="19">
        <f t="shared" si="16"/>
        <v>73.567499999999995</v>
      </c>
      <c r="P123" s="19">
        <f t="shared" si="17"/>
        <v>0</v>
      </c>
      <c r="Q123" s="19"/>
      <c r="R123" s="19"/>
      <c r="S123" s="20"/>
    </row>
    <row r="124" spans="1:24" ht="12.75">
      <c r="A124" s="561"/>
      <c r="B124" s="21" t="s">
        <v>301</v>
      </c>
      <c r="C124" s="22">
        <v>0.22</v>
      </c>
      <c r="D124" s="23">
        <f t="shared" si="10"/>
        <v>0</v>
      </c>
      <c r="E124" s="22">
        <v>18</v>
      </c>
      <c r="F124" s="23"/>
      <c r="G124" s="23">
        <v>0.6</v>
      </c>
      <c r="H124" s="23">
        <v>1.3</v>
      </c>
      <c r="I124" s="23">
        <f t="shared" si="11"/>
        <v>0</v>
      </c>
      <c r="J124" s="23"/>
      <c r="K124" s="23">
        <f t="shared" si="12"/>
        <v>0</v>
      </c>
      <c r="L124" s="23">
        <f t="shared" si="13"/>
        <v>0</v>
      </c>
      <c r="M124" s="23">
        <f t="shared" si="14"/>
        <v>0</v>
      </c>
      <c r="N124" s="23">
        <f t="shared" si="15"/>
        <v>0</v>
      </c>
      <c r="O124" s="23">
        <f t="shared" si="16"/>
        <v>0</v>
      </c>
      <c r="P124" s="23">
        <f t="shared" si="17"/>
        <v>0</v>
      </c>
      <c r="Q124" s="23"/>
      <c r="R124" s="23"/>
      <c r="S124" s="24"/>
    </row>
    <row r="125" spans="1:24" s="31" customFormat="1">
      <c r="A125" s="45"/>
      <c r="B125" s="25" t="s">
        <v>297</v>
      </c>
      <c r="C125" s="26"/>
      <c r="D125" s="27"/>
      <c r="E125" s="26"/>
      <c r="F125" s="29">
        <f>SUM(F4:F124)</f>
        <v>61767.722000000002</v>
      </c>
      <c r="G125" s="27"/>
      <c r="H125" s="28"/>
      <c r="I125" s="29">
        <f>SUM(I4:I124)</f>
        <v>34006.640000000007</v>
      </c>
      <c r="J125" s="29"/>
      <c r="K125" s="29"/>
      <c r="L125" s="29">
        <f t="shared" ref="L125:R125" si="21">SUM(L4:L124)</f>
        <v>12802.98642487749</v>
      </c>
      <c r="M125" s="29">
        <f t="shared" si="21"/>
        <v>26515.935490877491</v>
      </c>
      <c r="N125" s="29">
        <f t="shared" si="21"/>
        <v>436.5511600000001</v>
      </c>
      <c r="O125" s="29">
        <f t="shared" si="21"/>
        <v>6430.5990599999996</v>
      </c>
      <c r="P125" s="29">
        <f t="shared" si="21"/>
        <v>1525.7037000000003</v>
      </c>
      <c r="Q125" s="29">
        <f t="shared" si="21"/>
        <v>0</v>
      </c>
      <c r="R125" s="29">
        <f t="shared" si="21"/>
        <v>0</v>
      </c>
      <c r="S125" s="29"/>
      <c r="T125" s="30"/>
      <c r="U125" s="30"/>
      <c r="V125" s="30"/>
      <c r="W125" s="30"/>
      <c r="X125" s="30"/>
    </row>
    <row r="127" spans="1:24">
      <c r="F127" s="16">
        <v>1</v>
      </c>
      <c r="G127" s="16">
        <v>2</v>
      </c>
      <c r="H127" s="16">
        <v>3</v>
      </c>
      <c r="I127" s="16">
        <v>4</v>
      </c>
      <c r="J127" s="16">
        <v>5</v>
      </c>
      <c r="K127" s="16">
        <v>6</v>
      </c>
      <c r="L127" s="16">
        <v>7</v>
      </c>
      <c r="M127" s="16">
        <v>8</v>
      </c>
      <c r="N127" s="16">
        <v>9</v>
      </c>
      <c r="O127" s="16">
        <v>10</v>
      </c>
      <c r="P127" s="16">
        <v>11</v>
      </c>
      <c r="Q127" s="16">
        <v>12</v>
      </c>
      <c r="R127" s="16">
        <v>13</v>
      </c>
      <c r="S127" s="16">
        <v>14</v>
      </c>
      <c r="T127" s="16">
        <v>15</v>
      </c>
      <c r="U127" s="16">
        <v>16</v>
      </c>
      <c r="V127" s="16">
        <v>17</v>
      </c>
      <c r="W127" s="16">
        <v>18</v>
      </c>
    </row>
    <row r="128" spans="1:24">
      <c r="B128" s="16">
        <v>1</v>
      </c>
      <c r="C128" s="32" t="str">
        <f>'PPTO REDES ACUEDUCTO'!B10</f>
        <v>Excavación mecánica a cualquier profundidad y material</v>
      </c>
      <c r="E128" s="15" t="s">
        <v>1</v>
      </c>
      <c r="F128" s="15">
        <f>SUMIF($E$4:$E$124,F$127,$I$4:$I$124)*0.7</f>
        <v>1035.0899999999999</v>
      </c>
      <c r="G128" s="15">
        <f t="shared" ref="G128:W128" si="22">SUMIF($E$4:$E$124,G$127,$I$4:$I$124)*0.7</f>
        <v>1070.867</v>
      </c>
      <c r="H128" s="15">
        <f t="shared" si="22"/>
        <v>1774.6609999999998</v>
      </c>
      <c r="I128" s="15">
        <f t="shared" si="22"/>
        <v>1817.4589999999998</v>
      </c>
      <c r="J128" s="15">
        <f t="shared" si="22"/>
        <v>795.06</v>
      </c>
      <c r="K128" s="15">
        <f t="shared" si="22"/>
        <v>1364.5729999999999</v>
      </c>
      <c r="L128" s="15">
        <f t="shared" si="22"/>
        <v>878.11500000000001</v>
      </c>
      <c r="M128" s="15">
        <f t="shared" si="22"/>
        <v>433.81099999999998</v>
      </c>
      <c r="N128" s="15">
        <f t="shared" si="22"/>
        <v>1125.6769999999999</v>
      </c>
      <c r="O128" s="15">
        <f t="shared" si="22"/>
        <v>332.15699999999998</v>
      </c>
      <c r="P128" s="15">
        <f t="shared" si="22"/>
        <v>1393.8819999999998</v>
      </c>
      <c r="Q128" s="15">
        <f t="shared" si="22"/>
        <v>2376.4090000000001</v>
      </c>
      <c r="R128" s="15">
        <f t="shared" si="22"/>
        <v>2321.8649999999998</v>
      </c>
      <c r="S128" s="15">
        <f t="shared" si="22"/>
        <v>1459.1499999999999</v>
      </c>
      <c r="T128" s="15">
        <f t="shared" si="22"/>
        <v>1013.1939999999998</v>
      </c>
      <c r="U128" s="15">
        <f t="shared" si="22"/>
        <v>1336.454</v>
      </c>
      <c r="V128" s="15">
        <f t="shared" si="22"/>
        <v>1062.1799999999998</v>
      </c>
      <c r="W128" s="15">
        <f t="shared" si="22"/>
        <v>2214.0439999999999</v>
      </c>
    </row>
    <row r="129" spans="2:23">
      <c r="B129" s="16">
        <v>2</v>
      </c>
      <c r="C129" s="32" t="str">
        <f>'PPTO REDES ACUEDUCTO'!B11</f>
        <v xml:space="preserve">Excavación manual de 0-2 mts. </v>
      </c>
      <c r="E129" s="15" t="s">
        <v>1</v>
      </c>
      <c r="F129" s="15">
        <f>F128/0.7*0.3</f>
        <v>443.61</v>
      </c>
      <c r="G129" s="15">
        <f t="shared" ref="G129:W129" si="23">G128/0.7*0.3</f>
        <v>458.94299999999998</v>
      </c>
      <c r="H129" s="15">
        <f t="shared" si="23"/>
        <v>760.56899999999996</v>
      </c>
      <c r="I129" s="15">
        <f t="shared" si="23"/>
        <v>778.91099999999994</v>
      </c>
      <c r="J129" s="15">
        <f t="shared" si="23"/>
        <v>340.73999999999995</v>
      </c>
      <c r="K129" s="15">
        <f t="shared" si="23"/>
        <v>584.81699999999989</v>
      </c>
      <c r="L129" s="15">
        <f t="shared" si="23"/>
        <v>376.33499999999998</v>
      </c>
      <c r="M129" s="15">
        <f t="shared" si="23"/>
        <v>185.91900000000001</v>
      </c>
      <c r="N129" s="15">
        <f t="shared" si="23"/>
        <v>482.43299999999994</v>
      </c>
      <c r="O129" s="15">
        <f t="shared" si="23"/>
        <v>142.35299999999998</v>
      </c>
      <c r="P129" s="15">
        <f t="shared" si="23"/>
        <v>597.37799999999993</v>
      </c>
      <c r="Q129" s="15">
        <f t="shared" si="23"/>
        <v>1018.461</v>
      </c>
      <c r="R129" s="15">
        <f t="shared" si="23"/>
        <v>995.08499999999992</v>
      </c>
      <c r="S129" s="15">
        <f t="shared" si="23"/>
        <v>625.35</v>
      </c>
      <c r="T129" s="15">
        <f t="shared" si="23"/>
        <v>434.22599999999994</v>
      </c>
      <c r="U129" s="15">
        <f t="shared" si="23"/>
        <v>572.76599999999996</v>
      </c>
      <c r="V129" s="15">
        <f t="shared" si="23"/>
        <v>455.21999999999997</v>
      </c>
      <c r="W129" s="15">
        <f t="shared" si="23"/>
        <v>948.87599999999998</v>
      </c>
    </row>
    <row r="130" spans="2:23">
      <c r="B130" s="16">
        <v>3</v>
      </c>
      <c r="C130" s="32" t="str">
        <f>'PPTO REDES ACUEDUCTO'!B12</f>
        <v xml:space="preserve">Demolición de pavimento incluye corte con disco </v>
      </c>
      <c r="E130" s="15" t="s">
        <v>1</v>
      </c>
      <c r="F130" s="15">
        <f>SUMIF($E$4:$E$124,F$127,$P$4:$P$124)</f>
        <v>0</v>
      </c>
      <c r="G130" s="15">
        <f t="shared" ref="G130:W130" si="24">SUMIF($E$4:$E$124,G$127,$P$4:$P$124)</f>
        <v>264.77460000000002</v>
      </c>
      <c r="H130" s="15">
        <f t="shared" si="24"/>
        <v>399.19230000000005</v>
      </c>
      <c r="I130" s="15">
        <f t="shared" si="24"/>
        <v>0</v>
      </c>
      <c r="J130" s="15">
        <f t="shared" si="24"/>
        <v>0</v>
      </c>
      <c r="K130" s="15">
        <f t="shared" si="24"/>
        <v>0</v>
      </c>
      <c r="L130" s="15">
        <f t="shared" si="24"/>
        <v>0</v>
      </c>
      <c r="M130" s="15">
        <f t="shared" si="24"/>
        <v>61.458600000000004</v>
      </c>
      <c r="N130" s="15">
        <f t="shared" si="24"/>
        <v>0</v>
      </c>
      <c r="O130" s="15">
        <f t="shared" si="24"/>
        <v>0</v>
      </c>
      <c r="P130" s="15">
        <f t="shared" si="24"/>
        <v>219.83400000000003</v>
      </c>
      <c r="Q130" s="15">
        <f t="shared" si="24"/>
        <v>361.18620000000004</v>
      </c>
      <c r="R130" s="15">
        <f t="shared" si="24"/>
        <v>0</v>
      </c>
      <c r="S130" s="15">
        <f t="shared" si="24"/>
        <v>219.25800000000004</v>
      </c>
      <c r="T130" s="15">
        <f t="shared" si="24"/>
        <v>0</v>
      </c>
      <c r="U130" s="15">
        <f t="shared" si="24"/>
        <v>0</v>
      </c>
      <c r="V130" s="15">
        <f t="shared" si="24"/>
        <v>0</v>
      </c>
      <c r="W130" s="15">
        <f t="shared" si="24"/>
        <v>0</v>
      </c>
    </row>
    <row r="131" spans="2:23">
      <c r="C131" s="32" t="str">
        <f>'PPTO REDES ACUEDUCTO'!B13</f>
        <v>Materiales de cimentación</v>
      </c>
      <c r="E131" s="15"/>
    </row>
    <row r="132" spans="2:23">
      <c r="B132" s="16">
        <v>4</v>
      </c>
      <c r="C132" s="32" t="str">
        <f>'PPTO REDES ACUEDUCTO'!B14</f>
        <v>Suministro e instalación de arena SW</v>
      </c>
      <c r="E132" s="15" t="s">
        <v>1</v>
      </c>
      <c r="F132" s="15">
        <f>SUMIF($E$4:$E$124,F$127,$L$4:$L$124)</f>
        <v>540.92887451491652</v>
      </c>
      <c r="G132" s="15">
        <f t="shared" ref="G132:W132" si="25">SUMIF($E$4:$E$124,G$127,$L$4:$L$124)</f>
        <v>565.30476914273981</v>
      </c>
      <c r="H132" s="15">
        <f t="shared" si="25"/>
        <v>968.83191672679754</v>
      </c>
      <c r="I132" s="15">
        <f t="shared" si="25"/>
        <v>978.99504797934026</v>
      </c>
      <c r="J132" s="15">
        <f t="shared" si="25"/>
        <v>425.36966412112332</v>
      </c>
      <c r="K132" s="15">
        <f t="shared" si="25"/>
        <v>732.69455738649208</v>
      </c>
      <c r="L132" s="15">
        <f t="shared" si="25"/>
        <v>458.99334154472916</v>
      </c>
      <c r="M132" s="15">
        <f t="shared" si="25"/>
        <v>242.54183077663686</v>
      </c>
      <c r="N132" s="15">
        <f t="shared" si="25"/>
        <v>596.38907054241599</v>
      </c>
      <c r="O132" s="15">
        <f t="shared" si="25"/>
        <v>175.50847440608479</v>
      </c>
      <c r="P132" s="15">
        <f t="shared" si="25"/>
        <v>747.10135145942354</v>
      </c>
      <c r="Q132" s="15">
        <f t="shared" si="25"/>
        <v>1290.3376259302697</v>
      </c>
      <c r="R132" s="15">
        <f t="shared" si="25"/>
        <v>1264.614721960776</v>
      </c>
      <c r="S132" s="15">
        <f t="shared" si="25"/>
        <v>789.79836553946052</v>
      </c>
      <c r="T132" s="15">
        <f t="shared" si="25"/>
        <v>552.98981539047827</v>
      </c>
      <c r="U132" s="15">
        <f t="shared" si="25"/>
        <v>722.63009225407927</v>
      </c>
      <c r="V132" s="15">
        <f t="shared" si="25"/>
        <v>572.20707173672929</v>
      </c>
      <c r="W132" s="15">
        <f t="shared" si="25"/>
        <v>1177.7498334649997</v>
      </c>
    </row>
    <row r="133" spans="2:23">
      <c r="B133" s="16">
        <v>5</v>
      </c>
      <c r="C133" s="32" t="str">
        <f>'PPTO REDES ACUEDUCTO'!B15</f>
        <v>Relleno con material de excavación</v>
      </c>
      <c r="E133" s="15" t="s">
        <v>1</v>
      </c>
      <c r="F133" s="15">
        <f>SUMIF($E$4:$E$124,F$127,$M$4:$M$124)</f>
        <v>1174.3839145149163</v>
      </c>
      <c r="G133" s="15">
        <f t="shared" ref="G133:W133" si="26">SUMIF($E$4:$E$124,G$127,$M$4:$M$124)</f>
        <v>1158.1041691427397</v>
      </c>
      <c r="H133" s="15">
        <f t="shared" si="26"/>
        <v>1907.2862667267977</v>
      </c>
      <c r="I133" s="15">
        <f t="shared" si="26"/>
        <v>2049.2145679793402</v>
      </c>
      <c r="J133" s="15">
        <f t="shared" si="26"/>
        <v>898.8066641211235</v>
      </c>
      <c r="K133" s="15">
        <f t="shared" si="26"/>
        <v>1538.1050493864923</v>
      </c>
      <c r="L133" s="15">
        <f t="shared" si="26"/>
        <v>988.97388154472901</v>
      </c>
      <c r="M133" s="15">
        <f t="shared" si="26"/>
        <v>470.85023077663675</v>
      </c>
      <c r="N133" s="15">
        <f t="shared" si="26"/>
        <v>1274.2309505424159</v>
      </c>
      <c r="O133" s="15">
        <f t="shared" si="26"/>
        <v>375.72691840608474</v>
      </c>
      <c r="P133" s="15">
        <f t="shared" si="26"/>
        <v>1527.0771714594234</v>
      </c>
      <c r="Q133" s="15">
        <f t="shared" si="26"/>
        <v>2596.9545459302699</v>
      </c>
      <c r="R133" s="15">
        <f t="shared" si="26"/>
        <v>2611.430281960776</v>
      </c>
      <c r="S133" s="15">
        <f t="shared" si="26"/>
        <v>1597.2607455394605</v>
      </c>
      <c r="T133" s="15">
        <f t="shared" si="26"/>
        <v>1139.1985353904784</v>
      </c>
      <c r="U133" s="15">
        <f t="shared" si="26"/>
        <v>1505.4854522540793</v>
      </c>
      <c r="V133" s="15">
        <f t="shared" si="26"/>
        <v>1198.3644317367293</v>
      </c>
      <c r="W133" s="15">
        <f t="shared" si="26"/>
        <v>2504.4817134649993</v>
      </c>
    </row>
    <row r="134" spans="2:23">
      <c r="B134" s="16">
        <v>6</v>
      </c>
      <c r="C134" s="32" t="str">
        <f>'PPTO REDES ACUEDUCTO'!B16</f>
        <v>Suministro, transporte y colocación de base granular, incluye acarreo hasta 20 Km.</v>
      </c>
      <c r="E134" s="15" t="s">
        <v>1</v>
      </c>
      <c r="F134" s="15">
        <f>SUMIF($E$4:$E$124,F$127,$O$4:$O$124)</f>
        <v>284.36500000000001</v>
      </c>
      <c r="G134" s="15">
        <f t="shared" ref="G134:W134" si="27">SUMIF($E$4:$E$124,G$127,$O$4:$O$124)</f>
        <v>276.54236000000003</v>
      </c>
      <c r="H134" s="15">
        <f t="shared" si="27"/>
        <v>458.28995000000009</v>
      </c>
      <c r="I134" s="15">
        <f t="shared" si="27"/>
        <v>499.30200000000002</v>
      </c>
      <c r="J134" s="15">
        <f t="shared" si="27"/>
        <v>218.423</v>
      </c>
      <c r="K134" s="15">
        <f t="shared" si="27"/>
        <v>374.88164999999998</v>
      </c>
      <c r="L134" s="15">
        <f t="shared" si="27"/>
        <v>241.23970000000003</v>
      </c>
      <c r="M134" s="15">
        <f t="shared" si="27"/>
        <v>114.41184000000001</v>
      </c>
      <c r="N134" s="15">
        <f t="shared" si="27"/>
        <v>309.25300000000004</v>
      </c>
      <c r="O134" s="15">
        <f t="shared" si="27"/>
        <v>91.25200000000001</v>
      </c>
      <c r="P134" s="15">
        <f t="shared" si="27"/>
        <v>367.61808000000002</v>
      </c>
      <c r="Q134" s="15">
        <f t="shared" si="27"/>
        <v>626.74560000000008</v>
      </c>
      <c r="R134" s="15">
        <f t="shared" si="27"/>
        <v>637.875</v>
      </c>
      <c r="S134" s="15">
        <f t="shared" si="27"/>
        <v>384.83088000000004</v>
      </c>
      <c r="T134" s="15">
        <f t="shared" si="27"/>
        <v>278.35000000000002</v>
      </c>
      <c r="U134" s="15">
        <f t="shared" si="27"/>
        <v>367.15800000000002</v>
      </c>
      <c r="V134" s="15">
        <f t="shared" si="27"/>
        <v>291.80849999999998</v>
      </c>
      <c r="W134" s="15">
        <f t="shared" si="27"/>
        <v>608.25250000000005</v>
      </c>
    </row>
    <row r="135" spans="2:23">
      <c r="B135" s="16">
        <v>7</v>
      </c>
      <c r="C135" s="32" t="str">
        <f>'PPTO REDES ACUEDUCTO'!B17</f>
        <v>Suministro, transporte y colocación de sub-base granular, incluye acarreo hasta 20 Km.</v>
      </c>
      <c r="E135" s="15" t="s">
        <v>1</v>
      </c>
      <c r="F135" s="15">
        <f>SUMIF($E$4:$E$124,F$127,$N$4:$N$124)</f>
        <v>0</v>
      </c>
      <c r="G135" s="15">
        <f t="shared" ref="G135:W135" si="28">SUMIF($E$4:$E$124,G$127,$N$4:$N$124)</f>
        <v>70.606560000000016</v>
      </c>
      <c r="H135" s="15">
        <f t="shared" si="28"/>
        <v>117.0102</v>
      </c>
      <c r="I135" s="15">
        <f t="shared" si="28"/>
        <v>0</v>
      </c>
      <c r="J135" s="15">
        <f t="shared" si="28"/>
        <v>0</v>
      </c>
      <c r="K135" s="15">
        <f t="shared" si="28"/>
        <v>0</v>
      </c>
      <c r="L135" s="15">
        <f t="shared" si="28"/>
        <v>0</v>
      </c>
      <c r="M135" s="15">
        <f t="shared" si="28"/>
        <v>19.068640000000002</v>
      </c>
      <c r="N135" s="15">
        <f t="shared" si="28"/>
        <v>0</v>
      </c>
      <c r="O135" s="15">
        <f t="shared" si="28"/>
        <v>0</v>
      </c>
      <c r="P135" s="15">
        <f t="shared" si="28"/>
        <v>61.269680000000008</v>
      </c>
      <c r="Q135" s="15">
        <f t="shared" si="28"/>
        <v>104.45760000000001</v>
      </c>
      <c r="R135" s="15">
        <f t="shared" si="28"/>
        <v>0</v>
      </c>
      <c r="S135" s="15">
        <f t="shared" si="28"/>
        <v>64.138480000000001</v>
      </c>
      <c r="T135" s="15">
        <f t="shared" si="28"/>
        <v>0</v>
      </c>
      <c r="U135" s="15">
        <f t="shared" si="28"/>
        <v>0</v>
      </c>
      <c r="V135" s="15">
        <f t="shared" si="28"/>
        <v>0</v>
      </c>
      <c r="W135" s="15">
        <f t="shared" si="28"/>
        <v>0</v>
      </c>
    </row>
    <row r="136" spans="2:23">
      <c r="B136" s="16">
        <v>8</v>
      </c>
      <c r="C136" s="32" t="str">
        <f>'PPTO REDES ACUEDUCTO'!B18</f>
        <v xml:space="preserve">Pavimento de concreto rígido MR40, incluye acero de refuerzo </v>
      </c>
      <c r="E136" s="15" t="s">
        <v>1</v>
      </c>
      <c r="F136" s="15">
        <f>SUMIF($E$4:$E$124,F$127,$P$4:$P$124)</f>
        <v>0</v>
      </c>
      <c r="G136" s="15">
        <f t="shared" ref="G136:W136" si="29">SUMIF($E$4:$E$124,G$127,$P$4:$P$124)</f>
        <v>264.77460000000002</v>
      </c>
      <c r="H136" s="15">
        <f t="shared" si="29"/>
        <v>399.19230000000005</v>
      </c>
      <c r="I136" s="15">
        <f t="shared" si="29"/>
        <v>0</v>
      </c>
      <c r="J136" s="15">
        <f t="shared" si="29"/>
        <v>0</v>
      </c>
      <c r="K136" s="15">
        <f t="shared" si="29"/>
        <v>0</v>
      </c>
      <c r="L136" s="15">
        <f t="shared" si="29"/>
        <v>0</v>
      </c>
      <c r="M136" s="15">
        <f t="shared" si="29"/>
        <v>61.458600000000004</v>
      </c>
      <c r="N136" s="15">
        <f t="shared" si="29"/>
        <v>0</v>
      </c>
      <c r="O136" s="15">
        <f t="shared" si="29"/>
        <v>0</v>
      </c>
      <c r="P136" s="15">
        <f t="shared" si="29"/>
        <v>219.83400000000003</v>
      </c>
      <c r="Q136" s="15">
        <f t="shared" si="29"/>
        <v>361.18620000000004</v>
      </c>
      <c r="R136" s="15">
        <f t="shared" si="29"/>
        <v>0</v>
      </c>
      <c r="S136" s="15">
        <f t="shared" si="29"/>
        <v>219.25800000000004</v>
      </c>
      <c r="T136" s="15">
        <f t="shared" si="29"/>
        <v>0</v>
      </c>
      <c r="U136" s="15">
        <f t="shared" si="29"/>
        <v>0</v>
      </c>
      <c r="V136" s="15">
        <f t="shared" si="29"/>
        <v>0</v>
      </c>
      <c r="W136" s="15">
        <f t="shared" si="29"/>
        <v>0</v>
      </c>
    </row>
    <row r="137" spans="2:23">
      <c r="C137" s="32" t="str">
        <f>'PPTO REDES ACUEDUCTO'!B19</f>
        <v>Retiro y disposición final de material sobrante con cargue en volqueta a mano - medido en banco - distancia máxima 20Km</v>
      </c>
      <c r="E137" s="15" t="s">
        <v>1</v>
      </c>
    </row>
    <row r="138" spans="2:23">
      <c r="C138" s="32" t="str">
        <f>'PPTO REDES ACUEDUCTO'!B20</f>
        <v>Recebo (Lleno con material afirmado compactado)</v>
      </c>
      <c r="E138" s="15" t="s">
        <v>1</v>
      </c>
    </row>
    <row r="139" spans="2:23">
      <c r="C139" s="32" t="str">
        <f>'PPTO REDES ACUEDUCTO'!B21</f>
        <v>Tuberías</v>
      </c>
      <c r="E139" s="15" t="s">
        <v>1</v>
      </c>
    </row>
    <row r="140" spans="2:23">
      <c r="C140" s="32" t="e">
        <f>'PPTO REDES ACUEDUCTO'!#REF!</f>
        <v>#REF!</v>
      </c>
      <c r="E140" s="15" t="s">
        <v>1</v>
      </c>
    </row>
    <row r="141" spans="2:23">
      <c r="C141" s="32" t="str">
        <f>'PPTO REDES ACUEDUCTO'!B22</f>
        <v>Instalación de tubería PVC Ø6" presión RDE 21-26</v>
      </c>
      <c r="E141" s="15" t="s">
        <v>1</v>
      </c>
    </row>
    <row r="142" spans="2:23">
      <c r="C142" s="32" t="str">
        <f>'PPTO REDES ACUEDUCTO'!B23</f>
        <v>Instalación de tubería PVC Ø4" presión RDE 21-26</v>
      </c>
      <c r="E142" s="15" t="s">
        <v>1</v>
      </c>
    </row>
    <row r="143" spans="2:23">
      <c r="C143" s="32" t="str">
        <f>'PPTO REDES ACUEDUCTO'!B24</f>
        <v>Instalación de tubería PVC Ø3" presión RDE 21-26</v>
      </c>
      <c r="E143" s="15" t="s">
        <v>1</v>
      </c>
    </row>
    <row r="144" spans="2:23">
      <c r="C144" s="32" t="str">
        <f>'PPTO REDES ACUEDUCTO'!B25</f>
        <v>Instalación de tubería PVC Ø2.5" presión RDE 21-26</v>
      </c>
      <c r="E144" s="15" t="s">
        <v>1</v>
      </c>
    </row>
  </sheetData>
  <autoFilter ref="B3:L125"/>
  <mergeCells count="18">
    <mergeCell ref="A79:A84"/>
    <mergeCell ref="A85:A90"/>
    <mergeCell ref="A121:A124"/>
    <mergeCell ref="A103:A108"/>
    <mergeCell ref="A109:A114"/>
    <mergeCell ref="A115:A120"/>
    <mergeCell ref="A6:A12"/>
    <mergeCell ref="A13:A19"/>
    <mergeCell ref="A20:A26"/>
    <mergeCell ref="A27:A33"/>
    <mergeCell ref="A34:A40"/>
    <mergeCell ref="A41:A49"/>
    <mergeCell ref="A50:A57"/>
    <mergeCell ref="A58:A64"/>
    <mergeCell ref="A91:A96"/>
    <mergeCell ref="A97:A102"/>
    <mergeCell ref="A65:A71"/>
    <mergeCell ref="A72:A78"/>
  </mergeCells>
  <pageMargins left="0.23622047244094491" right="0.23622047244094491" top="0.74803149606299213" bottom="0.74803149606299213" header="0.31496062992125984" footer="0.31496062992125984"/>
  <pageSetup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4"/>
  <sheetViews>
    <sheetView zoomScale="120" zoomScaleNormal="120" zoomScalePageLayoutView="150" workbookViewId="0">
      <selection activeCell="H11" sqref="H11"/>
    </sheetView>
  </sheetViews>
  <sheetFormatPr baseColWidth="10" defaultColWidth="10.6640625" defaultRowHeight="12"/>
  <cols>
    <col min="1" max="2" width="10.6640625" style="48"/>
    <col min="3" max="3" width="22.5" style="167" customWidth="1"/>
    <col min="4" max="7" width="10.6640625" style="48"/>
    <col min="8" max="8" width="10.6640625" style="195"/>
    <col min="9" max="12" width="10.6640625" style="48"/>
    <col min="13" max="13" width="4.1640625" style="48" customWidth="1"/>
    <col min="14" max="14" width="10.6640625" style="48"/>
    <col min="15" max="15" width="8.1640625" style="48" customWidth="1"/>
    <col min="16" max="16" width="10.6640625" style="48" customWidth="1"/>
    <col min="17" max="17" width="10.33203125" style="48" customWidth="1"/>
    <col min="18" max="16384" width="10.6640625" style="48"/>
  </cols>
  <sheetData>
    <row r="3" spans="1:20">
      <c r="C3" s="167" t="s">
        <v>512</v>
      </c>
      <c r="E3" s="48" t="s">
        <v>515</v>
      </c>
    </row>
    <row r="4" spans="1:20" ht="12.75" thickBot="1">
      <c r="H4" s="195" t="s">
        <v>514</v>
      </c>
    </row>
    <row r="5" spans="1:20">
      <c r="A5" s="171" t="s">
        <v>273</v>
      </c>
      <c r="B5" s="172">
        <v>1</v>
      </c>
      <c r="C5" s="173">
        <v>725.84</v>
      </c>
      <c r="D5" s="174"/>
      <c r="E5" s="211">
        <v>725.84</v>
      </c>
      <c r="F5" s="174"/>
      <c r="G5" s="174"/>
      <c r="H5" s="196"/>
      <c r="I5" s="174"/>
      <c r="J5" s="174"/>
      <c r="K5" s="174"/>
      <c r="L5" s="175"/>
      <c r="N5" s="1"/>
      <c r="O5" s="1"/>
      <c r="R5" s="1"/>
    </row>
    <row r="6" spans="1:20">
      <c r="A6" s="176" t="s">
        <v>274</v>
      </c>
      <c r="B6" s="165">
        <v>1</v>
      </c>
      <c r="C6" s="166">
        <v>821.43</v>
      </c>
      <c r="D6" s="177">
        <f>SUM(C5:C7)</f>
        <v>2843.65</v>
      </c>
      <c r="E6" s="177">
        <f>+C6</f>
        <v>821.43</v>
      </c>
      <c r="F6" s="177">
        <f>SUM(E5:E7)</f>
        <v>2843.65</v>
      </c>
      <c r="G6" s="177">
        <f>+D6-F6</f>
        <v>0</v>
      </c>
      <c r="H6" s="197"/>
      <c r="I6" s="178"/>
      <c r="J6" s="178"/>
      <c r="K6" s="178"/>
      <c r="L6" s="179"/>
    </row>
    <row r="7" spans="1:20" ht="12.75" thickBot="1">
      <c r="A7" s="180" t="s">
        <v>275</v>
      </c>
      <c r="B7" s="181">
        <v>1</v>
      </c>
      <c r="C7" s="182">
        <v>1296.3800000000001</v>
      </c>
      <c r="D7" s="183"/>
      <c r="E7" s="184">
        <f>+C7</f>
        <v>1296.3800000000001</v>
      </c>
      <c r="F7" s="183"/>
      <c r="G7" s="183"/>
      <c r="H7" s="198"/>
      <c r="I7" s="183"/>
      <c r="J7" s="183"/>
      <c r="K7" s="183"/>
      <c r="L7" s="185"/>
    </row>
    <row r="8" spans="1:20">
      <c r="A8" s="171" t="s">
        <v>273</v>
      </c>
      <c r="B8" s="172">
        <v>2</v>
      </c>
      <c r="C8" s="173">
        <v>1507.92</v>
      </c>
      <c r="D8" s="174"/>
      <c r="E8" s="174"/>
      <c r="F8" s="174"/>
      <c r="G8" s="174"/>
      <c r="H8" s="196"/>
      <c r="I8" s="174"/>
      <c r="J8" s="174"/>
      <c r="K8" s="174"/>
      <c r="L8" s="175"/>
    </row>
    <row r="9" spans="1:20">
      <c r="A9" s="176" t="s">
        <v>274</v>
      </c>
      <c r="B9" s="165">
        <v>2</v>
      </c>
      <c r="C9" s="166">
        <v>220.62</v>
      </c>
      <c r="D9" s="178"/>
      <c r="E9" s="178"/>
      <c r="F9" s="178"/>
      <c r="G9" s="178"/>
      <c r="H9" s="197"/>
      <c r="I9" s="178"/>
      <c r="J9" s="178"/>
      <c r="K9" s="178"/>
      <c r="L9" s="179"/>
    </row>
    <row r="10" spans="1:20" ht="12.75" thickBot="1">
      <c r="A10" s="180" t="s">
        <v>275</v>
      </c>
      <c r="B10" s="181">
        <v>2</v>
      </c>
      <c r="C10" s="182">
        <v>1213.4000000000001</v>
      </c>
      <c r="D10" s="183"/>
      <c r="E10" s="183"/>
      <c r="F10" s="183"/>
      <c r="G10" s="183"/>
      <c r="H10" s="198"/>
      <c r="I10" s="183"/>
      <c r="J10" s="183"/>
      <c r="K10" s="183"/>
      <c r="L10" s="185"/>
    </row>
    <row r="11" spans="1:20">
      <c r="A11" s="171" t="s">
        <v>300</v>
      </c>
      <c r="B11" s="172">
        <v>3</v>
      </c>
      <c r="C11" s="173">
        <v>879.91</v>
      </c>
      <c r="D11" s="174"/>
      <c r="E11" s="211">
        <v>879.91</v>
      </c>
      <c r="F11" s="174"/>
      <c r="G11" s="174"/>
      <c r="H11" s="196"/>
      <c r="I11" s="174"/>
      <c r="J11" s="174"/>
      <c r="K11" s="174"/>
      <c r="L11" s="175"/>
      <c r="T11" s="1"/>
    </row>
    <row r="12" spans="1:20">
      <c r="A12" s="176" t="s">
        <v>273</v>
      </c>
      <c r="B12" s="165">
        <v>3</v>
      </c>
      <c r="C12" s="166">
        <v>2287.0300000000002</v>
      </c>
      <c r="D12" s="177">
        <f>SUM(C11:C14)</f>
        <v>4435.47</v>
      </c>
      <c r="E12" s="212">
        <v>2287.0300000000002</v>
      </c>
      <c r="F12" s="177">
        <f>SUM(E11:E14)</f>
        <v>4435.47</v>
      </c>
      <c r="G12" s="177">
        <f>+D12-F12</f>
        <v>0</v>
      </c>
      <c r="H12" s="197"/>
      <c r="I12" s="178"/>
      <c r="J12" s="178"/>
      <c r="K12" s="178"/>
      <c r="L12" s="179"/>
      <c r="R12" s="1"/>
    </row>
    <row r="13" spans="1:20">
      <c r="A13" s="176" t="s">
        <v>274</v>
      </c>
      <c r="B13" s="165">
        <v>3</v>
      </c>
      <c r="C13" s="166">
        <v>321.57</v>
      </c>
      <c r="D13" s="178"/>
      <c r="E13" s="177">
        <f>+C13</f>
        <v>321.57</v>
      </c>
      <c r="F13" s="178"/>
      <c r="G13" s="178"/>
      <c r="H13" s="197"/>
      <c r="I13" s="178"/>
      <c r="J13" s="178"/>
      <c r="K13" s="178"/>
      <c r="L13" s="179"/>
    </row>
    <row r="14" spans="1:20" ht="12.75" thickBot="1">
      <c r="A14" s="180" t="s">
        <v>275</v>
      </c>
      <c r="B14" s="181">
        <v>3</v>
      </c>
      <c r="C14" s="182">
        <v>946.96</v>
      </c>
      <c r="D14" s="183"/>
      <c r="E14" s="184">
        <f>+C14</f>
        <v>946.96</v>
      </c>
      <c r="F14" s="183"/>
      <c r="G14" s="183"/>
      <c r="H14" s="198"/>
      <c r="I14" s="183"/>
      <c r="J14" s="183"/>
      <c r="K14" s="183"/>
      <c r="L14" s="185"/>
    </row>
    <row r="15" spans="1:20">
      <c r="A15" s="171" t="s">
        <v>300</v>
      </c>
      <c r="B15" s="172">
        <v>4</v>
      </c>
      <c r="C15" s="173">
        <v>636.84</v>
      </c>
      <c r="D15" s="174"/>
      <c r="E15" s="186">
        <f t="shared" ref="E15:E17" si="0">+C15</f>
        <v>636.84</v>
      </c>
      <c r="F15" s="174"/>
      <c r="G15" s="174"/>
      <c r="H15" s="196"/>
      <c r="I15" s="174"/>
      <c r="J15" s="174"/>
      <c r="K15" s="174"/>
      <c r="L15" s="175"/>
    </row>
    <row r="16" spans="1:20">
      <c r="A16" s="176" t="s">
        <v>273</v>
      </c>
      <c r="B16" s="165">
        <v>4</v>
      </c>
      <c r="C16" s="166">
        <v>1931.54</v>
      </c>
      <c r="D16" s="177">
        <f>SUM(C15:C18)</f>
        <v>4674.6000000000004</v>
      </c>
      <c r="E16" s="213">
        <v>1931.54</v>
      </c>
      <c r="F16" s="177">
        <f>SUM(E15:E18)</f>
        <v>4674.6000000000004</v>
      </c>
      <c r="G16" s="177">
        <f>+D16-F16</f>
        <v>0</v>
      </c>
      <c r="H16" s="197"/>
      <c r="I16" s="178"/>
      <c r="J16" s="178"/>
      <c r="K16" s="178"/>
      <c r="L16" s="179"/>
      <c r="R16" s="1"/>
    </row>
    <row r="17" spans="1:20">
      <c r="A17" s="176" t="s">
        <v>274</v>
      </c>
      <c r="B17" s="165">
        <v>4</v>
      </c>
      <c r="C17" s="166">
        <v>723.66</v>
      </c>
      <c r="D17" s="178"/>
      <c r="E17" s="177">
        <f t="shared" si="0"/>
        <v>723.66</v>
      </c>
      <c r="F17" s="178"/>
      <c r="G17" s="178"/>
      <c r="H17" s="197"/>
      <c r="I17" s="178"/>
      <c r="J17" s="178"/>
      <c r="K17" s="178"/>
      <c r="L17" s="179"/>
    </row>
    <row r="18" spans="1:20" ht="12.75" thickBot="1">
      <c r="A18" s="180" t="s">
        <v>275</v>
      </c>
      <c r="B18" s="181">
        <v>4</v>
      </c>
      <c r="C18" s="182">
        <v>1382.56</v>
      </c>
      <c r="D18" s="183"/>
      <c r="E18" s="214">
        <v>1382.56</v>
      </c>
      <c r="F18" s="183"/>
      <c r="G18" s="183"/>
      <c r="H18" s="198"/>
      <c r="I18" s="183"/>
      <c r="J18" s="183"/>
      <c r="K18" s="183"/>
      <c r="L18" s="185"/>
    </row>
    <row r="19" spans="1:20">
      <c r="A19" s="171" t="s">
        <v>300</v>
      </c>
      <c r="B19" s="172">
        <v>5</v>
      </c>
      <c r="C19" s="173">
        <f>+H19-J19</f>
        <v>334.03999999999996</v>
      </c>
      <c r="D19" s="174"/>
      <c r="E19" s="186">
        <f>+C19</f>
        <v>334.03999999999996</v>
      </c>
      <c r="F19" s="174"/>
      <c r="G19" s="174"/>
      <c r="H19" s="196">
        <v>618.27</v>
      </c>
      <c r="I19" s="186"/>
      <c r="J19" s="174">
        <v>284.23</v>
      </c>
      <c r="K19" s="174"/>
      <c r="L19" s="175"/>
    </row>
    <row r="20" spans="1:20">
      <c r="A20" s="176" t="s">
        <v>273</v>
      </c>
      <c r="B20" s="165">
        <v>5</v>
      </c>
      <c r="C20" s="166">
        <f>+H20-J20</f>
        <v>369.44000000000005</v>
      </c>
      <c r="D20" s="177">
        <f>SUM(C19:C22)</f>
        <v>2017.21</v>
      </c>
      <c r="E20" s="177">
        <f>+C20</f>
        <v>369.44000000000005</v>
      </c>
      <c r="F20" s="177">
        <f>SUM(E19:E22)</f>
        <v>2017.21</v>
      </c>
      <c r="G20" s="177">
        <f>+D20-F20</f>
        <v>0</v>
      </c>
      <c r="H20" s="197">
        <v>757.44</v>
      </c>
      <c r="I20" s="178"/>
      <c r="J20" s="178">
        <v>388</v>
      </c>
      <c r="K20" s="178"/>
      <c r="L20" s="179"/>
      <c r="R20" s="1"/>
    </row>
    <row r="21" spans="1:20">
      <c r="A21" s="176" t="s">
        <v>274</v>
      </c>
      <c r="B21" s="165">
        <v>5</v>
      </c>
      <c r="C21" s="166">
        <f>+H21-J21</f>
        <v>154.66000000000003</v>
      </c>
      <c r="D21" s="178"/>
      <c r="E21" s="213">
        <f>+C21</f>
        <v>154.66000000000003</v>
      </c>
      <c r="F21" s="178"/>
      <c r="G21" s="178"/>
      <c r="H21" s="197">
        <v>320.66000000000003</v>
      </c>
      <c r="I21" s="178"/>
      <c r="J21" s="178">
        <v>166</v>
      </c>
      <c r="K21" s="177"/>
      <c r="L21" s="179"/>
    </row>
    <row r="22" spans="1:20" ht="12.75" thickBot="1">
      <c r="A22" s="180" t="s">
        <v>275</v>
      </c>
      <c r="B22" s="181">
        <v>5</v>
      </c>
      <c r="C22" s="182">
        <f>+H22-J22</f>
        <v>1159.07</v>
      </c>
      <c r="D22" s="183"/>
      <c r="E22" s="184">
        <f t="shared" ref="E22" si="1">+C22</f>
        <v>1159.07</v>
      </c>
      <c r="F22" s="183"/>
      <c r="G22" s="183"/>
      <c r="H22" s="198">
        <v>1159.07</v>
      </c>
      <c r="I22" s="183"/>
      <c r="J22" s="183"/>
      <c r="K22" s="183"/>
      <c r="L22" s="185"/>
    </row>
    <row r="23" spans="1:20">
      <c r="A23" s="171" t="s">
        <v>300</v>
      </c>
      <c r="B23" s="172">
        <v>6</v>
      </c>
      <c r="C23" s="173">
        <v>299.33100000000002</v>
      </c>
      <c r="D23" s="174"/>
      <c r="E23" s="174"/>
      <c r="F23" s="174"/>
      <c r="G23" s="174"/>
      <c r="H23" s="174">
        <v>299.33</v>
      </c>
      <c r="I23" s="174"/>
      <c r="J23" s="174"/>
      <c r="K23" s="174"/>
      <c r="L23" s="175"/>
    </row>
    <row r="24" spans="1:20">
      <c r="A24" s="176" t="s">
        <v>273</v>
      </c>
      <c r="B24" s="165">
        <v>6</v>
      </c>
      <c r="C24" s="166">
        <v>2072.5759999999996</v>
      </c>
      <c r="D24" s="177"/>
      <c r="E24" s="178"/>
      <c r="F24" s="177"/>
      <c r="G24" s="177"/>
      <c r="H24" s="178">
        <v>1704.73</v>
      </c>
      <c r="I24" s="178"/>
      <c r="J24" s="178"/>
      <c r="K24" s="178"/>
      <c r="L24" s="179"/>
    </row>
    <row r="25" spans="1:20">
      <c r="A25" s="176" t="s">
        <v>274</v>
      </c>
      <c r="B25" s="165">
        <v>6</v>
      </c>
      <c r="C25" s="166">
        <v>0</v>
      </c>
      <c r="D25" s="178"/>
      <c r="E25" s="178"/>
      <c r="F25" s="178"/>
      <c r="G25" s="178"/>
      <c r="H25" s="178"/>
      <c r="I25" s="178"/>
      <c r="J25" s="178"/>
      <c r="K25" s="178"/>
      <c r="L25" s="179"/>
    </row>
    <row r="26" spans="1:20" ht="12.75" thickBot="1">
      <c r="A26" s="180" t="s">
        <v>275</v>
      </c>
      <c r="B26" s="181">
        <v>6</v>
      </c>
      <c r="C26" s="182">
        <v>1227.2439999999999</v>
      </c>
      <c r="D26" s="183"/>
      <c r="E26" s="184"/>
      <c r="F26" s="183"/>
      <c r="G26" s="183"/>
      <c r="H26" s="184">
        <v>1136.42</v>
      </c>
      <c r="I26" s="183"/>
      <c r="J26" s="183"/>
      <c r="K26" s="183"/>
      <c r="L26" s="185"/>
    </row>
    <row r="27" spans="1:20">
      <c r="A27" s="171" t="s">
        <v>300</v>
      </c>
      <c r="B27" s="172">
        <v>7</v>
      </c>
      <c r="C27" s="173">
        <v>187.88399999999999</v>
      </c>
      <c r="D27" s="174"/>
      <c r="E27" s="174"/>
      <c r="F27" s="174"/>
      <c r="G27" s="174"/>
      <c r="H27" s="196">
        <v>187.88</v>
      </c>
      <c r="I27" s="174"/>
      <c r="J27" s="174"/>
      <c r="K27" s="174"/>
      <c r="L27" s="175"/>
    </row>
    <row r="28" spans="1:20">
      <c r="A28" s="176" t="s">
        <v>273</v>
      </c>
      <c r="B28" s="165">
        <v>7</v>
      </c>
      <c r="C28" s="166">
        <v>1223.771</v>
      </c>
      <c r="D28" s="178"/>
      <c r="E28" s="178"/>
      <c r="F28" s="178"/>
      <c r="G28" s="178"/>
      <c r="H28" s="197">
        <v>1097.43</v>
      </c>
      <c r="I28" s="178"/>
      <c r="J28" s="178"/>
      <c r="K28" s="178"/>
      <c r="L28" s="179"/>
    </row>
    <row r="29" spans="1:20">
      <c r="A29" s="176" t="s">
        <v>274</v>
      </c>
      <c r="B29" s="165">
        <v>7</v>
      </c>
      <c r="C29" s="166">
        <v>117.30000000000001</v>
      </c>
      <c r="D29" s="178"/>
      <c r="E29" s="178"/>
      <c r="F29" s="178"/>
      <c r="G29" s="178"/>
      <c r="H29" s="197">
        <v>117.3</v>
      </c>
      <c r="I29" s="178"/>
      <c r="J29" s="178"/>
      <c r="K29" s="178"/>
      <c r="L29" s="179"/>
    </row>
    <row r="30" spans="1:20" ht="12.75" thickBot="1">
      <c r="A30" s="180" t="s">
        <v>275</v>
      </c>
      <c r="B30" s="181">
        <v>7</v>
      </c>
      <c r="C30" s="182">
        <v>1071.3260000000002</v>
      </c>
      <c r="D30" s="183"/>
      <c r="E30" s="183"/>
      <c r="F30" s="183"/>
      <c r="G30" s="183"/>
      <c r="H30" s="198">
        <v>1024.69</v>
      </c>
      <c r="I30" s="183"/>
      <c r="J30" s="183"/>
      <c r="K30" s="183"/>
      <c r="L30" s="185"/>
    </row>
    <row r="31" spans="1:20" ht="16.899999999999999" customHeight="1">
      <c r="A31" s="171" t="s">
        <v>300</v>
      </c>
      <c r="B31" s="172">
        <v>8</v>
      </c>
      <c r="C31" s="173">
        <v>334.96</v>
      </c>
      <c r="D31" s="174"/>
      <c r="E31" s="211">
        <v>334.96</v>
      </c>
      <c r="F31" s="174"/>
      <c r="G31" s="174"/>
      <c r="H31" s="196"/>
      <c r="I31" s="174"/>
      <c r="J31" s="174"/>
      <c r="K31" s="174"/>
      <c r="L31" s="175"/>
      <c r="T31" s="1"/>
    </row>
    <row r="32" spans="1:20">
      <c r="A32" s="176" t="s">
        <v>273</v>
      </c>
      <c r="B32" s="165">
        <v>8</v>
      </c>
      <c r="C32" s="166">
        <v>689.35</v>
      </c>
      <c r="D32" s="177">
        <f>SUM(C31:C34)</f>
        <v>1024.31</v>
      </c>
      <c r="E32" s="178">
        <f>+C32</f>
        <v>689.35</v>
      </c>
      <c r="F32" s="177">
        <f>SUM(E31:E34)</f>
        <v>1024.31</v>
      </c>
      <c r="G32" s="177">
        <f>+D32-F32</f>
        <v>0</v>
      </c>
      <c r="H32" s="197"/>
      <c r="I32" s="178"/>
      <c r="J32" s="178"/>
      <c r="K32" s="178"/>
      <c r="L32" s="179"/>
      <c r="R32" s="1"/>
    </row>
    <row r="33" spans="1:21">
      <c r="A33" s="176" t="s">
        <v>274</v>
      </c>
      <c r="B33" s="165">
        <v>8</v>
      </c>
      <c r="C33" s="166">
        <v>0</v>
      </c>
      <c r="D33" s="178"/>
      <c r="E33" s="178"/>
      <c r="F33" s="178"/>
      <c r="G33" s="178"/>
      <c r="H33" s="197"/>
      <c r="I33" s="178"/>
      <c r="J33" s="178"/>
      <c r="K33" s="178"/>
      <c r="L33" s="179"/>
    </row>
    <row r="34" spans="1:21" ht="12.75" thickBot="1">
      <c r="A34" s="180" t="s">
        <v>275</v>
      </c>
      <c r="B34" s="181">
        <v>8</v>
      </c>
      <c r="C34" s="182">
        <v>0</v>
      </c>
      <c r="D34" s="183"/>
      <c r="E34" s="184"/>
      <c r="F34" s="183"/>
      <c r="G34" s="183"/>
      <c r="H34" s="198"/>
      <c r="I34" s="183"/>
      <c r="J34" s="183"/>
      <c r="K34" s="183"/>
      <c r="L34" s="185"/>
    </row>
    <row r="35" spans="1:21">
      <c r="A35" s="199" t="s">
        <v>300</v>
      </c>
      <c r="B35" s="200">
        <v>9</v>
      </c>
      <c r="C35" s="201">
        <v>230.12</v>
      </c>
      <c r="D35" s="174"/>
      <c r="E35" s="174">
        <v>230.12</v>
      </c>
      <c r="F35" s="174"/>
      <c r="G35" s="174"/>
      <c r="H35" s="196"/>
      <c r="I35" s="174"/>
      <c r="J35" s="174"/>
      <c r="K35" s="174"/>
      <c r="L35" s="175"/>
    </row>
    <row r="36" spans="1:21">
      <c r="A36" s="202" t="s">
        <v>273</v>
      </c>
      <c r="B36" s="203">
        <v>9</v>
      </c>
      <c r="C36" s="204">
        <v>684.69</v>
      </c>
      <c r="D36" s="177">
        <f>SUM(C35:C38)</f>
        <v>2977.4700000000003</v>
      </c>
      <c r="E36" s="212">
        <v>684.69</v>
      </c>
      <c r="F36" s="177">
        <f>SUM(E35:E38)</f>
        <v>2977.4700000000003</v>
      </c>
      <c r="G36" s="177">
        <f>+D36-F36</f>
        <v>0</v>
      </c>
      <c r="H36" s="197"/>
      <c r="I36" s="178"/>
      <c r="J36" s="178"/>
      <c r="K36" s="178"/>
      <c r="L36" s="179"/>
      <c r="R36" s="1"/>
    </row>
    <row r="37" spans="1:21">
      <c r="A37" s="205" t="s">
        <v>274</v>
      </c>
      <c r="B37" s="206">
        <f>B36</f>
        <v>9</v>
      </c>
      <c r="C37" s="207">
        <v>966.96</v>
      </c>
      <c r="D37" s="178"/>
      <c r="E37" s="212">
        <v>966.96</v>
      </c>
      <c r="F37" s="178"/>
      <c r="G37" s="178"/>
      <c r="H37" s="197"/>
      <c r="I37" s="178"/>
      <c r="J37" s="178"/>
      <c r="K37" s="178"/>
      <c r="L37" s="179"/>
      <c r="P37" s="1"/>
    </row>
    <row r="38" spans="1:21" ht="12.75" thickBot="1">
      <c r="A38" s="208" t="s">
        <v>275</v>
      </c>
      <c r="B38" s="209">
        <v>9</v>
      </c>
      <c r="C38" s="210">
        <v>1095.7</v>
      </c>
      <c r="D38" s="183"/>
      <c r="E38" s="184">
        <f>+C38</f>
        <v>1095.7</v>
      </c>
      <c r="F38" s="183"/>
      <c r="G38" s="183"/>
      <c r="H38" s="198"/>
      <c r="I38" s="183"/>
      <c r="J38" s="183"/>
      <c r="K38" s="183"/>
      <c r="L38" s="185"/>
    </row>
    <row r="39" spans="1:21">
      <c r="A39" s="194" t="s">
        <v>300</v>
      </c>
      <c r="B39" s="192">
        <v>10</v>
      </c>
      <c r="C39" s="193"/>
      <c r="D39" s="177"/>
      <c r="E39" s="178"/>
      <c r="F39" s="178"/>
      <c r="G39" s="178"/>
      <c r="H39" s="197"/>
      <c r="I39" s="178"/>
      <c r="J39" s="178"/>
      <c r="K39" s="178"/>
      <c r="L39" s="179"/>
    </row>
    <row r="40" spans="1:21">
      <c r="A40" s="191" t="s">
        <v>273</v>
      </c>
      <c r="B40" s="169">
        <f>B39</f>
        <v>10</v>
      </c>
      <c r="C40" s="170">
        <v>348.80300000000005</v>
      </c>
      <c r="D40" s="177"/>
      <c r="E40" s="178"/>
      <c r="F40" s="177"/>
      <c r="G40" s="177"/>
      <c r="H40" s="197"/>
      <c r="I40" s="178"/>
      <c r="J40" s="178"/>
      <c r="K40" s="178"/>
      <c r="L40" s="179"/>
    </row>
    <row r="41" spans="1:21" ht="12.75" thickBot="1">
      <c r="A41" s="180" t="s">
        <v>274</v>
      </c>
      <c r="B41" s="181">
        <f>B40</f>
        <v>10</v>
      </c>
      <c r="C41" s="187">
        <v>563.71699999999998</v>
      </c>
      <c r="D41" s="183"/>
      <c r="E41" s="183"/>
      <c r="F41" s="183"/>
      <c r="G41" s="183"/>
      <c r="H41" s="198"/>
      <c r="I41" s="183"/>
      <c r="J41" s="183"/>
      <c r="K41" s="183"/>
      <c r="L41" s="185"/>
    </row>
    <row r="42" spans="1:21">
      <c r="A42" s="171" t="s">
        <v>275</v>
      </c>
      <c r="B42" s="172">
        <f>B41+1</f>
        <v>11</v>
      </c>
      <c r="C42" s="188"/>
      <c r="D42" s="174"/>
      <c r="E42" s="174"/>
      <c r="F42" s="174"/>
      <c r="G42" s="174"/>
      <c r="H42" s="196"/>
      <c r="I42" s="174"/>
      <c r="J42" s="174"/>
      <c r="K42" s="174"/>
      <c r="L42" s="175"/>
    </row>
    <row r="43" spans="1:21">
      <c r="A43" s="189" t="s">
        <v>300</v>
      </c>
      <c r="B43" s="164">
        <f>B42</f>
        <v>11</v>
      </c>
      <c r="C43" s="190">
        <v>330.91</v>
      </c>
      <c r="D43" s="177">
        <f>SUM(C42:C45)</f>
        <v>3663.9</v>
      </c>
      <c r="E43" s="212">
        <v>330.91</v>
      </c>
      <c r="F43" s="177">
        <f>SUM(E42:E45)</f>
        <v>3663.9</v>
      </c>
      <c r="G43" s="177">
        <f>+D43-F43</f>
        <v>0</v>
      </c>
      <c r="H43" s="197"/>
      <c r="I43" s="178"/>
      <c r="J43" s="178"/>
      <c r="K43" s="178"/>
      <c r="L43" s="179"/>
      <c r="T43" s="1"/>
    </row>
    <row r="44" spans="1:21">
      <c r="A44" s="176" t="s">
        <v>273</v>
      </c>
      <c r="B44" s="165">
        <f>B43</f>
        <v>11</v>
      </c>
      <c r="C44" s="190">
        <v>1329.93</v>
      </c>
      <c r="D44" s="178"/>
      <c r="E44" s="212">
        <v>1329.93</v>
      </c>
      <c r="F44" s="178"/>
      <c r="G44" s="178"/>
      <c r="H44" s="197"/>
      <c r="I44" s="178"/>
      <c r="J44" s="178"/>
      <c r="K44" s="178"/>
      <c r="L44" s="179"/>
      <c r="R44" s="1"/>
    </row>
    <row r="45" spans="1:21" ht="12.75" thickBot="1">
      <c r="A45" s="180" t="s">
        <v>274</v>
      </c>
      <c r="B45" s="181">
        <f>B44</f>
        <v>11</v>
      </c>
      <c r="C45" s="187">
        <v>2003.06</v>
      </c>
      <c r="D45" s="183"/>
      <c r="E45" s="214">
        <v>2003.06</v>
      </c>
      <c r="F45" s="183"/>
      <c r="G45" s="183"/>
      <c r="H45" s="198"/>
      <c r="I45" s="183"/>
      <c r="J45" s="183"/>
      <c r="K45" s="183"/>
      <c r="L45" s="185"/>
      <c r="P45" s="1"/>
      <c r="R45" s="1"/>
      <c r="S45" s="1"/>
      <c r="T45" s="1"/>
      <c r="U45" s="1"/>
    </row>
    <row r="46" spans="1:21">
      <c r="A46" s="171" t="s">
        <v>275</v>
      </c>
      <c r="B46" s="172">
        <f>B45+1</f>
        <v>12</v>
      </c>
      <c r="C46" s="188"/>
      <c r="D46" s="174"/>
      <c r="E46" s="174"/>
      <c r="F46" s="174"/>
      <c r="G46" s="174"/>
      <c r="H46" s="196"/>
      <c r="I46" s="174"/>
      <c r="J46" s="174"/>
      <c r="K46" s="174"/>
      <c r="L46" s="175"/>
      <c r="P46" s="1"/>
      <c r="Q46" s="1"/>
      <c r="S46" s="1"/>
      <c r="U46" s="1"/>
    </row>
    <row r="47" spans="1:21">
      <c r="A47" s="189" t="s">
        <v>300</v>
      </c>
      <c r="B47" s="164">
        <f>B46</f>
        <v>12</v>
      </c>
      <c r="C47" s="190">
        <v>1017.66</v>
      </c>
      <c r="D47" s="178"/>
      <c r="E47" s="178"/>
      <c r="F47" s="178"/>
      <c r="G47" s="178"/>
      <c r="H47" s="197"/>
      <c r="I47" s="178"/>
      <c r="J47" s="178"/>
      <c r="K47" s="178"/>
      <c r="L47" s="179"/>
      <c r="Q47" s="1"/>
    </row>
    <row r="48" spans="1:21">
      <c r="A48" s="176" t="s">
        <v>273</v>
      </c>
      <c r="B48" s="165">
        <f>B47</f>
        <v>12</v>
      </c>
      <c r="C48" s="190">
        <v>2383.0500000000002</v>
      </c>
      <c r="D48" s="178"/>
      <c r="E48" s="178"/>
      <c r="F48" s="178"/>
      <c r="G48" s="178"/>
      <c r="H48" s="197"/>
      <c r="I48" s="178"/>
      <c r="J48" s="178"/>
      <c r="K48" s="178"/>
      <c r="L48" s="179"/>
    </row>
    <row r="49" spans="1:12" ht="12.75" thickBot="1">
      <c r="A49" s="180" t="s">
        <v>274</v>
      </c>
      <c r="B49" s="181">
        <f>B48</f>
        <v>12</v>
      </c>
      <c r="C49" s="187">
        <v>2619.06</v>
      </c>
      <c r="D49" s="183"/>
      <c r="E49" s="183"/>
      <c r="F49" s="183"/>
      <c r="G49" s="183"/>
      <c r="H49" s="198"/>
      <c r="I49" s="183"/>
      <c r="J49" s="183"/>
      <c r="K49" s="183"/>
      <c r="L49" s="185"/>
    </row>
    <row r="50" spans="1:12">
      <c r="A50" s="171" t="s">
        <v>275</v>
      </c>
      <c r="B50" s="172">
        <f>B49+1</f>
        <v>13</v>
      </c>
      <c r="C50" s="188"/>
      <c r="D50" s="174"/>
      <c r="E50" s="174"/>
      <c r="F50" s="174"/>
      <c r="G50" s="174"/>
      <c r="H50" s="196"/>
      <c r="I50" s="174"/>
      <c r="J50" s="174"/>
      <c r="K50" s="174"/>
      <c r="L50" s="175"/>
    </row>
    <row r="51" spans="1:12">
      <c r="A51" s="189" t="s">
        <v>300</v>
      </c>
      <c r="B51" s="164">
        <f>B50</f>
        <v>13</v>
      </c>
      <c r="C51" s="190">
        <v>1018.08</v>
      </c>
      <c r="D51" s="178"/>
      <c r="E51" s="178"/>
      <c r="F51" s="178"/>
      <c r="G51" s="178"/>
      <c r="H51" s="197"/>
      <c r="I51" s="178"/>
      <c r="J51" s="178"/>
      <c r="K51" s="178"/>
      <c r="L51" s="179"/>
    </row>
    <row r="52" spans="1:12">
      <c r="A52" s="176" t="s">
        <v>273</v>
      </c>
      <c r="B52" s="165">
        <f>B51</f>
        <v>13</v>
      </c>
      <c r="C52" s="190">
        <v>2763.05</v>
      </c>
      <c r="D52" s="178"/>
      <c r="E52" s="178"/>
      <c r="F52" s="178"/>
      <c r="G52" s="178"/>
      <c r="H52" s="197"/>
      <c r="I52" s="178"/>
      <c r="J52" s="178"/>
      <c r="K52" s="178"/>
      <c r="L52" s="179"/>
    </row>
    <row r="53" spans="1:12" ht="12.75" thickBot="1">
      <c r="A53" s="180" t="s">
        <v>274</v>
      </c>
      <c r="B53" s="181">
        <f>B52</f>
        <v>13</v>
      </c>
      <c r="C53" s="187">
        <v>2088.58</v>
      </c>
      <c r="D53" s="183"/>
      <c r="E53" s="183"/>
      <c r="F53" s="183"/>
      <c r="G53" s="183"/>
      <c r="H53" s="198"/>
      <c r="I53" s="183"/>
      <c r="J53" s="183"/>
      <c r="K53" s="183"/>
      <c r="L53" s="185"/>
    </row>
    <row r="54" spans="1:12">
      <c r="A54" s="171" t="s">
        <v>275</v>
      </c>
      <c r="B54" s="172">
        <f>B53+1</f>
        <v>14</v>
      </c>
      <c r="C54" s="188"/>
      <c r="D54" s="174"/>
      <c r="E54" s="174"/>
      <c r="F54" s="174"/>
      <c r="G54" s="174"/>
      <c r="H54" s="196"/>
      <c r="I54" s="174"/>
      <c r="J54" s="174"/>
      <c r="K54" s="174"/>
      <c r="L54" s="175"/>
    </row>
    <row r="55" spans="1:12">
      <c r="A55" s="189" t="s">
        <v>300</v>
      </c>
      <c r="B55" s="164">
        <f>B54</f>
        <v>14</v>
      </c>
      <c r="C55" s="190">
        <v>708.71</v>
      </c>
      <c r="D55" s="178"/>
      <c r="E55" s="178"/>
      <c r="F55" s="178"/>
      <c r="G55" s="178"/>
      <c r="H55" s="197"/>
      <c r="I55" s="178"/>
      <c r="J55" s="178"/>
      <c r="K55" s="178"/>
      <c r="L55" s="179"/>
    </row>
    <row r="56" spans="1:12">
      <c r="A56" s="176" t="s">
        <v>273</v>
      </c>
      <c r="B56" s="165">
        <f>B55</f>
        <v>14</v>
      </c>
      <c r="C56" s="190">
        <v>696.15</v>
      </c>
      <c r="D56" s="178"/>
      <c r="E56" s="178"/>
      <c r="F56" s="178"/>
      <c r="G56" s="178"/>
      <c r="H56" s="197"/>
      <c r="I56" s="178"/>
      <c r="J56" s="178"/>
      <c r="K56" s="178"/>
      <c r="L56" s="179"/>
    </row>
    <row r="57" spans="1:12" ht="12.75" thickBot="1">
      <c r="A57" s="180" t="s">
        <v>274</v>
      </c>
      <c r="B57" s="181">
        <f>B56</f>
        <v>14</v>
      </c>
      <c r="C57" s="187">
        <v>2249.44</v>
      </c>
      <c r="D57" s="183"/>
      <c r="E57" s="183"/>
      <c r="F57" s="183"/>
      <c r="G57" s="183"/>
      <c r="H57" s="198"/>
      <c r="I57" s="183"/>
      <c r="J57" s="183"/>
      <c r="K57" s="183"/>
      <c r="L57" s="185"/>
    </row>
    <row r="58" spans="1:12">
      <c r="A58" s="171" t="s">
        <v>275</v>
      </c>
      <c r="B58" s="172">
        <f>B57+1</f>
        <v>15</v>
      </c>
      <c r="C58" s="188"/>
      <c r="D58" s="174"/>
      <c r="E58" s="174"/>
      <c r="F58" s="174"/>
      <c r="G58" s="174"/>
      <c r="H58" s="196"/>
      <c r="I58" s="174"/>
      <c r="J58" s="174"/>
      <c r="K58" s="174"/>
      <c r="L58" s="175"/>
    </row>
    <row r="59" spans="1:12">
      <c r="A59" s="189" t="s">
        <v>300</v>
      </c>
      <c r="B59" s="164">
        <f>B58</f>
        <v>15</v>
      </c>
      <c r="C59" s="190">
        <v>484.36</v>
      </c>
      <c r="D59" s="178"/>
      <c r="E59" s="178"/>
      <c r="F59" s="178"/>
      <c r="G59" s="178"/>
      <c r="H59" s="197"/>
      <c r="I59" s="178"/>
      <c r="J59" s="178"/>
      <c r="K59" s="178"/>
      <c r="L59" s="179"/>
    </row>
    <row r="60" spans="1:12">
      <c r="A60" s="176" t="s">
        <v>273</v>
      </c>
      <c r="B60" s="165">
        <f>B59</f>
        <v>15</v>
      </c>
      <c r="C60" s="190">
        <v>1170.5</v>
      </c>
      <c r="D60" s="178"/>
      <c r="E60" s="178"/>
      <c r="F60" s="178"/>
      <c r="G60" s="178"/>
      <c r="H60" s="197"/>
      <c r="I60" s="178"/>
      <c r="J60" s="178"/>
      <c r="K60" s="178"/>
      <c r="L60" s="179"/>
    </row>
    <row r="61" spans="1:12" ht="12.75" thickBot="1">
      <c r="A61" s="180" t="s">
        <v>274</v>
      </c>
      <c r="B61" s="181">
        <f>B60</f>
        <v>15</v>
      </c>
      <c r="C61" s="187">
        <v>886.46</v>
      </c>
      <c r="D61" s="183"/>
      <c r="E61" s="183"/>
      <c r="F61" s="183"/>
      <c r="G61" s="183"/>
      <c r="H61" s="198"/>
      <c r="I61" s="183"/>
      <c r="J61" s="183"/>
      <c r="K61" s="183"/>
      <c r="L61" s="185"/>
    </row>
    <row r="62" spans="1:12">
      <c r="A62" s="171" t="s">
        <v>275</v>
      </c>
      <c r="B62" s="172">
        <f>B61+1</f>
        <v>16</v>
      </c>
      <c r="C62" s="188"/>
      <c r="D62" s="174"/>
      <c r="E62" s="174"/>
      <c r="F62" s="174"/>
      <c r="G62" s="174"/>
      <c r="H62" s="196"/>
      <c r="I62" s="174"/>
      <c r="J62" s="174"/>
      <c r="K62" s="174"/>
      <c r="L62" s="175"/>
    </row>
    <row r="63" spans="1:12">
      <c r="A63" s="189" t="s">
        <v>300</v>
      </c>
      <c r="B63" s="164">
        <f>B62</f>
        <v>16</v>
      </c>
      <c r="C63" s="190">
        <v>467.1</v>
      </c>
      <c r="D63" s="178"/>
      <c r="E63" s="178"/>
      <c r="F63" s="178"/>
      <c r="G63" s="178"/>
      <c r="H63" s="197"/>
      <c r="I63" s="178"/>
      <c r="J63" s="178"/>
      <c r="K63" s="178"/>
      <c r="L63" s="179"/>
    </row>
    <row r="64" spans="1:12">
      <c r="A64" s="176" t="s">
        <v>273</v>
      </c>
      <c r="B64" s="165">
        <f>B63</f>
        <v>16</v>
      </c>
      <c r="C64" s="190">
        <v>1429.68</v>
      </c>
      <c r="D64" s="178"/>
      <c r="E64" s="178"/>
      <c r="F64" s="178"/>
      <c r="G64" s="178"/>
      <c r="H64" s="197"/>
      <c r="I64" s="178"/>
      <c r="J64" s="178"/>
      <c r="K64" s="178"/>
      <c r="L64" s="179"/>
    </row>
    <row r="65" spans="1:12" ht="12.75" thickBot="1">
      <c r="A65" s="180" t="s">
        <v>274</v>
      </c>
      <c r="B65" s="181">
        <f>B64</f>
        <v>16</v>
      </c>
      <c r="C65" s="187">
        <v>1541.25</v>
      </c>
      <c r="D65" s="183"/>
      <c r="E65" s="183"/>
      <c r="F65" s="183"/>
      <c r="G65" s="183"/>
      <c r="H65" s="198"/>
      <c r="I65" s="183"/>
      <c r="J65" s="183"/>
      <c r="K65" s="183"/>
      <c r="L65" s="185"/>
    </row>
    <row r="66" spans="1:12">
      <c r="A66" s="171" t="s">
        <v>275</v>
      </c>
      <c r="B66" s="172">
        <f>B65+1</f>
        <v>17</v>
      </c>
      <c r="C66" s="188"/>
      <c r="D66" s="174"/>
      <c r="E66" s="174"/>
      <c r="F66" s="174"/>
      <c r="G66" s="174"/>
      <c r="H66" s="196"/>
      <c r="I66" s="174"/>
      <c r="J66" s="174"/>
      <c r="K66" s="174"/>
      <c r="L66" s="175"/>
    </row>
    <row r="67" spans="1:12">
      <c r="A67" s="189" t="s">
        <v>300</v>
      </c>
      <c r="B67" s="164">
        <f>B66</f>
        <v>17</v>
      </c>
      <c r="C67" s="190">
        <v>402.59</v>
      </c>
      <c r="D67" s="178"/>
      <c r="E67" s="178"/>
      <c r="F67" s="178"/>
      <c r="G67" s="178"/>
      <c r="H67" s="197"/>
      <c r="I67" s="178"/>
      <c r="J67" s="178"/>
      <c r="K67" s="178"/>
      <c r="L67" s="179"/>
    </row>
    <row r="68" spans="1:12">
      <c r="A68" s="176" t="s">
        <v>273</v>
      </c>
      <c r="B68" s="165">
        <f>B67</f>
        <v>17</v>
      </c>
      <c r="C68" s="190">
        <v>680.43</v>
      </c>
      <c r="D68" s="178"/>
      <c r="E68" s="178"/>
      <c r="F68" s="178"/>
      <c r="G68" s="178"/>
      <c r="H68" s="197"/>
      <c r="I68" s="178"/>
      <c r="J68" s="178"/>
      <c r="K68" s="178"/>
      <c r="L68" s="179"/>
    </row>
    <row r="69" spans="1:12" ht="12.75" thickBot="1">
      <c r="A69" s="180" t="s">
        <v>274</v>
      </c>
      <c r="B69" s="181">
        <f>B68</f>
        <v>17</v>
      </c>
      <c r="C69" s="187">
        <v>1633.77</v>
      </c>
      <c r="D69" s="183"/>
      <c r="E69" s="183"/>
      <c r="F69" s="183"/>
      <c r="G69" s="183"/>
      <c r="H69" s="198"/>
      <c r="I69" s="183"/>
      <c r="J69" s="183"/>
      <c r="K69" s="183"/>
      <c r="L69" s="185"/>
    </row>
    <row r="70" spans="1:12">
      <c r="A70" s="171" t="s">
        <v>275</v>
      </c>
      <c r="B70" s="172">
        <f>B69+1</f>
        <v>18</v>
      </c>
      <c r="C70" s="188"/>
      <c r="D70" s="174"/>
      <c r="E70" s="174"/>
      <c r="F70" s="174"/>
      <c r="G70" s="174"/>
      <c r="H70" s="196"/>
      <c r="I70" s="174"/>
      <c r="J70" s="174"/>
      <c r="K70" s="174"/>
      <c r="L70" s="175"/>
    </row>
    <row r="71" spans="1:12">
      <c r="A71" s="189" t="s">
        <v>300</v>
      </c>
      <c r="B71" s="164">
        <f>B70</f>
        <v>18</v>
      </c>
      <c r="C71" s="190">
        <v>490.45</v>
      </c>
      <c r="D71" s="178"/>
      <c r="E71" s="178"/>
      <c r="F71" s="178"/>
      <c r="G71" s="178"/>
      <c r="H71" s="197"/>
      <c r="I71" s="178"/>
      <c r="J71" s="178"/>
      <c r="K71" s="178"/>
      <c r="L71" s="179"/>
    </row>
    <row r="72" spans="1:12">
      <c r="A72" s="176" t="s">
        <v>273</v>
      </c>
      <c r="B72" s="165">
        <f>B71</f>
        <v>18</v>
      </c>
      <c r="C72" s="190">
        <v>1018.26</v>
      </c>
      <c r="D72" s="178"/>
      <c r="E72" s="178"/>
      <c r="F72" s="178"/>
      <c r="G72" s="178"/>
      <c r="H72" s="197"/>
      <c r="I72" s="178"/>
      <c r="J72" s="178"/>
      <c r="K72" s="178"/>
      <c r="L72" s="179"/>
    </row>
    <row r="73" spans="1:12" ht="12.75" thickBot="1">
      <c r="A73" s="180" t="s">
        <v>274</v>
      </c>
      <c r="B73" s="181">
        <f>B72</f>
        <v>18</v>
      </c>
      <c r="C73" s="187">
        <v>4328.59</v>
      </c>
      <c r="D73" s="183"/>
      <c r="E73" s="183"/>
      <c r="F73" s="183"/>
      <c r="G73" s="183"/>
      <c r="H73" s="198"/>
      <c r="I73" s="183"/>
      <c r="J73" s="183"/>
      <c r="K73" s="183"/>
      <c r="L73" s="185"/>
    </row>
    <row r="74" spans="1:12">
      <c r="A74" s="168"/>
      <c r="B74" s="169"/>
    </row>
  </sheetData>
  <sortState ref="A5:C76">
    <sortCondition ref="B5:B76"/>
    <sortCondition descending="1" ref="A5:A76"/>
  </sortState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82"/>
  <sheetViews>
    <sheetView zoomScale="80" zoomScaleNormal="80" workbookViewId="0">
      <selection activeCell="H11" sqref="H11"/>
    </sheetView>
  </sheetViews>
  <sheetFormatPr baseColWidth="10" defaultColWidth="12" defaultRowHeight="11.25"/>
  <cols>
    <col min="1" max="1" width="12" style="359"/>
    <col min="2" max="2" width="17.33203125" style="359" customWidth="1"/>
    <col min="3" max="16384" width="12" style="359"/>
  </cols>
  <sheetData>
    <row r="3" spans="2:20" ht="23.25">
      <c r="B3" s="562" t="s">
        <v>1235</v>
      </c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4"/>
    </row>
    <row r="4" spans="2:20">
      <c r="B4" s="360" t="s">
        <v>1236</v>
      </c>
      <c r="C4" s="361" t="s">
        <v>309</v>
      </c>
      <c r="D4" s="361" t="s">
        <v>310</v>
      </c>
      <c r="E4" s="361" t="s">
        <v>311</v>
      </c>
      <c r="F4" s="361" t="s">
        <v>312</v>
      </c>
      <c r="G4" s="361" t="s">
        <v>313</v>
      </c>
      <c r="H4" s="361" t="s">
        <v>314</v>
      </c>
      <c r="I4" s="361" t="s">
        <v>315</v>
      </c>
      <c r="J4" s="361" t="s">
        <v>316</v>
      </c>
      <c r="K4" s="361" t="s">
        <v>317</v>
      </c>
      <c r="L4" s="361" t="s">
        <v>318</v>
      </c>
      <c r="M4" s="361" t="s">
        <v>319</v>
      </c>
      <c r="N4" s="361" t="s">
        <v>320</v>
      </c>
      <c r="O4" s="361" t="s">
        <v>321</v>
      </c>
      <c r="P4" s="361" t="s">
        <v>322</v>
      </c>
      <c r="Q4" s="361" t="s">
        <v>323</v>
      </c>
      <c r="R4" s="361" t="s">
        <v>324</v>
      </c>
      <c r="S4" s="361" t="s">
        <v>325</v>
      </c>
      <c r="T4" s="362" t="s">
        <v>326</v>
      </c>
    </row>
    <row r="5" spans="2:20">
      <c r="B5" s="363">
        <v>1</v>
      </c>
      <c r="C5" s="364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5"/>
      <c r="O5" s="365">
        <v>1</v>
      </c>
      <c r="P5" s="365"/>
      <c r="Q5" s="365"/>
      <c r="R5" s="365"/>
      <c r="S5" s="365"/>
      <c r="T5" s="366"/>
    </row>
    <row r="6" spans="2:20">
      <c r="B6" s="363">
        <v>2</v>
      </c>
      <c r="C6" s="364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>
        <v>1</v>
      </c>
      <c r="P6" s="365"/>
      <c r="Q6" s="365"/>
      <c r="R6" s="365"/>
      <c r="S6" s="365"/>
      <c r="T6" s="366"/>
    </row>
    <row r="7" spans="2:20">
      <c r="B7" s="363">
        <v>3</v>
      </c>
      <c r="C7" s="364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>
        <v>1</v>
      </c>
      <c r="Q7" s="365"/>
      <c r="R7" s="365"/>
      <c r="S7" s="365"/>
      <c r="T7" s="366"/>
    </row>
    <row r="8" spans="2:20">
      <c r="B8" s="363">
        <v>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>
        <v>1</v>
      </c>
      <c r="O8" s="365"/>
      <c r="P8" s="365"/>
      <c r="Q8" s="365"/>
      <c r="R8" s="365"/>
      <c r="S8" s="365"/>
      <c r="T8" s="366"/>
    </row>
    <row r="9" spans="2:20">
      <c r="B9" s="363">
        <v>5</v>
      </c>
      <c r="C9" s="364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>
        <v>1</v>
      </c>
      <c r="R9" s="365"/>
      <c r="S9" s="365"/>
      <c r="T9" s="366"/>
    </row>
    <row r="10" spans="2:20">
      <c r="B10" s="363">
        <v>6</v>
      </c>
      <c r="C10" s="364"/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>
        <v>1</v>
      </c>
      <c r="O10" s="365"/>
      <c r="P10" s="365"/>
      <c r="Q10" s="365"/>
      <c r="R10" s="365"/>
      <c r="S10" s="365"/>
      <c r="T10" s="366"/>
    </row>
    <row r="11" spans="2:20">
      <c r="B11" s="363">
        <v>7</v>
      </c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>
        <v>1</v>
      </c>
      <c r="N11" s="365"/>
      <c r="O11" s="365"/>
      <c r="P11" s="365"/>
      <c r="Q11" s="365"/>
      <c r="R11" s="365"/>
      <c r="S11" s="365"/>
      <c r="T11" s="366"/>
    </row>
    <row r="12" spans="2:20">
      <c r="B12" s="363">
        <v>8</v>
      </c>
      <c r="C12" s="364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>
        <v>1</v>
      </c>
      <c r="R12" s="365"/>
      <c r="S12" s="365"/>
      <c r="T12" s="366"/>
    </row>
    <row r="13" spans="2:20">
      <c r="B13" s="363">
        <v>9</v>
      </c>
      <c r="C13" s="364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>
        <v>1</v>
      </c>
      <c r="S13" s="365"/>
      <c r="T13" s="366"/>
    </row>
    <row r="14" spans="2:20">
      <c r="B14" s="363">
        <v>10</v>
      </c>
      <c r="C14" s="364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65"/>
      <c r="S14" s="365"/>
      <c r="T14" s="366">
        <v>1</v>
      </c>
    </row>
    <row r="15" spans="2:20">
      <c r="B15" s="363">
        <v>11</v>
      </c>
      <c r="C15" s="364"/>
      <c r="D15" s="365"/>
      <c r="E15" s="365"/>
      <c r="F15" s="365"/>
      <c r="G15" s="365"/>
      <c r="H15" s="365">
        <v>1</v>
      </c>
      <c r="I15" s="365"/>
      <c r="J15" s="365"/>
      <c r="K15" s="365"/>
      <c r="L15" s="365"/>
      <c r="M15" s="365"/>
      <c r="N15" s="365"/>
      <c r="O15" s="365"/>
      <c r="P15" s="365"/>
      <c r="Q15" s="365"/>
      <c r="R15" s="365"/>
      <c r="S15" s="365"/>
      <c r="T15" s="366"/>
    </row>
    <row r="16" spans="2:20">
      <c r="B16" s="363">
        <v>12</v>
      </c>
      <c r="C16" s="364"/>
      <c r="D16" s="365"/>
      <c r="E16" s="365"/>
      <c r="F16" s="365"/>
      <c r="G16" s="365"/>
      <c r="H16" s="365"/>
      <c r="I16" s="365">
        <v>1</v>
      </c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6"/>
    </row>
    <row r="17" spans="2:21">
      <c r="B17" s="363">
        <v>13</v>
      </c>
      <c r="C17" s="364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>
        <v>1</v>
      </c>
      <c r="P17" s="365"/>
      <c r="Q17" s="365"/>
      <c r="R17" s="365"/>
      <c r="S17" s="365"/>
      <c r="T17" s="366"/>
    </row>
    <row r="18" spans="2:21">
      <c r="B18" s="363">
        <v>14</v>
      </c>
      <c r="C18" s="364"/>
      <c r="D18" s="365"/>
      <c r="E18" s="365"/>
      <c r="F18" s="365"/>
      <c r="G18" s="365"/>
      <c r="H18" s="365">
        <v>1</v>
      </c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6"/>
    </row>
    <row r="19" spans="2:21">
      <c r="B19" s="363">
        <v>15</v>
      </c>
      <c r="C19" s="364"/>
      <c r="D19" s="365"/>
      <c r="E19" s="365"/>
      <c r="F19" s="365"/>
      <c r="G19" s="365"/>
      <c r="H19" s="365"/>
      <c r="I19" s="365">
        <v>1</v>
      </c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6"/>
    </row>
    <row r="20" spans="2:21">
      <c r="B20" s="363">
        <v>16</v>
      </c>
      <c r="C20" s="364"/>
      <c r="D20" s="365"/>
      <c r="E20" s="365"/>
      <c r="F20" s="365"/>
      <c r="G20" s="365"/>
      <c r="H20" s="365">
        <v>1</v>
      </c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6"/>
    </row>
    <row r="21" spans="2:21">
      <c r="B21" s="363">
        <v>17</v>
      </c>
      <c r="C21" s="364"/>
      <c r="D21" s="365"/>
      <c r="E21" s="365"/>
      <c r="F21" s="365"/>
      <c r="G21" s="365">
        <v>1</v>
      </c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6"/>
    </row>
    <row r="22" spans="2:21">
      <c r="B22" s="363">
        <v>18</v>
      </c>
      <c r="C22" s="364"/>
      <c r="D22" s="365"/>
      <c r="E22" s="365"/>
      <c r="F22" s="365"/>
      <c r="G22" s="365">
        <v>1</v>
      </c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6"/>
    </row>
    <row r="23" spans="2:21">
      <c r="B23" s="363">
        <v>19</v>
      </c>
      <c r="C23" s="365"/>
      <c r="D23" s="365"/>
      <c r="E23" s="365"/>
      <c r="F23" s="365">
        <v>1</v>
      </c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5"/>
      <c r="R23" s="365"/>
      <c r="S23" s="365"/>
      <c r="T23" s="366"/>
    </row>
    <row r="24" spans="2:21">
      <c r="B24" s="363">
        <v>20</v>
      </c>
      <c r="C24" s="365"/>
      <c r="D24" s="365"/>
      <c r="E24" s="365">
        <v>1</v>
      </c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6"/>
    </row>
    <row r="25" spans="2:21">
      <c r="B25" s="363">
        <v>21</v>
      </c>
      <c r="C25" s="365"/>
      <c r="D25" s="365"/>
      <c r="E25" s="365">
        <v>1</v>
      </c>
      <c r="F25" s="365"/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6"/>
    </row>
    <row r="26" spans="2:21">
      <c r="B26" s="367">
        <v>22</v>
      </c>
      <c r="C26" s="368"/>
      <c r="D26" s="368"/>
      <c r="E26" s="368">
        <v>1</v>
      </c>
      <c r="F26" s="368"/>
      <c r="G26" s="368"/>
      <c r="H26" s="368"/>
      <c r="I26" s="368"/>
      <c r="J26" s="368"/>
      <c r="K26" s="368"/>
      <c r="L26" s="368"/>
      <c r="M26" s="368"/>
      <c r="N26" s="368"/>
      <c r="O26" s="368"/>
      <c r="P26" s="368"/>
      <c r="Q26" s="368"/>
      <c r="R26" s="368"/>
      <c r="S26" s="368"/>
      <c r="T26" s="369"/>
    </row>
    <row r="27" spans="2:21">
      <c r="B27" s="370" t="s">
        <v>243</v>
      </c>
      <c r="C27" s="371">
        <f>SUM(C5:C26)</f>
        <v>0</v>
      </c>
      <c r="D27" s="371">
        <f t="shared" ref="D27:T27" si="0">SUM(D5:D26)</f>
        <v>0</v>
      </c>
      <c r="E27" s="371">
        <f t="shared" si="0"/>
        <v>3</v>
      </c>
      <c r="F27" s="371">
        <f t="shared" si="0"/>
        <v>1</v>
      </c>
      <c r="G27" s="371">
        <f t="shared" si="0"/>
        <v>2</v>
      </c>
      <c r="H27" s="371">
        <f t="shared" si="0"/>
        <v>3</v>
      </c>
      <c r="I27" s="371">
        <f t="shared" si="0"/>
        <v>2</v>
      </c>
      <c r="J27" s="371">
        <f t="shared" si="0"/>
        <v>0</v>
      </c>
      <c r="K27" s="371">
        <f t="shared" si="0"/>
        <v>0</v>
      </c>
      <c r="L27" s="371">
        <f t="shared" si="0"/>
        <v>0</v>
      </c>
      <c r="M27" s="371">
        <f t="shared" si="0"/>
        <v>1</v>
      </c>
      <c r="N27" s="371">
        <f t="shared" si="0"/>
        <v>2</v>
      </c>
      <c r="O27" s="371">
        <f t="shared" si="0"/>
        <v>3</v>
      </c>
      <c r="P27" s="371">
        <f t="shared" si="0"/>
        <v>1</v>
      </c>
      <c r="Q27" s="371">
        <f t="shared" si="0"/>
        <v>2</v>
      </c>
      <c r="R27" s="371">
        <f t="shared" si="0"/>
        <v>1</v>
      </c>
      <c r="S27" s="371">
        <f t="shared" si="0"/>
        <v>0</v>
      </c>
      <c r="T27" s="372">
        <f t="shared" si="0"/>
        <v>1</v>
      </c>
      <c r="U27" s="373">
        <f>SUM(C27:T27)</f>
        <v>22</v>
      </c>
    </row>
    <row r="29" spans="2:21">
      <c r="B29" s="374"/>
      <c r="C29" s="374"/>
      <c r="D29" s="374"/>
    </row>
    <row r="30" spans="2:21" ht="23.25">
      <c r="B30" s="562" t="s">
        <v>1237</v>
      </c>
      <c r="C30" s="563"/>
      <c r="D30" s="563"/>
      <c r="E30" s="563"/>
      <c r="F30" s="563"/>
      <c r="G30" s="563"/>
      <c r="H30" s="563"/>
      <c r="I30" s="563"/>
      <c r="J30" s="563"/>
      <c r="K30" s="563"/>
      <c r="L30" s="563"/>
      <c r="M30" s="563"/>
      <c r="N30" s="563"/>
      <c r="O30" s="563"/>
      <c r="P30" s="563"/>
      <c r="Q30" s="563"/>
      <c r="R30" s="563"/>
      <c r="S30" s="563"/>
      <c r="T30" s="564"/>
    </row>
    <row r="31" spans="2:21">
      <c r="B31" s="360" t="s">
        <v>1238</v>
      </c>
      <c r="C31" s="361" t="s">
        <v>309</v>
      </c>
      <c r="D31" s="361" t="s">
        <v>310</v>
      </c>
      <c r="E31" s="361" t="s">
        <v>311</v>
      </c>
      <c r="F31" s="361" t="s">
        <v>312</v>
      </c>
      <c r="G31" s="361" t="s">
        <v>313</v>
      </c>
      <c r="H31" s="361" t="s">
        <v>314</v>
      </c>
      <c r="I31" s="361" t="s">
        <v>315</v>
      </c>
      <c r="J31" s="361" t="s">
        <v>316</v>
      </c>
      <c r="K31" s="361" t="s">
        <v>317</v>
      </c>
      <c r="L31" s="361" t="s">
        <v>318</v>
      </c>
      <c r="M31" s="361" t="s">
        <v>319</v>
      </c>
      <c r="N31" s="361" t="s">
        <v>320</v>
      </c>
      <c r="O31" s="361" t="s">
        <v>321</v>
      </c>
      <c r="P31" s="361" t="s">
        <v>322</v>
      </c>
      <c r="Q31" s="361" t="s">
        <v>323</v>
      </c>
      <c r="R31" s="361" t="s">
        <v>324</v>
      </c>
      <c r="S31" s="361" t="s">
        <v>325</v>
      </c>
      <c r="T31" s="362" t="s">
        <v>326</v>
      </c>
    </row>
    <row r="32" spans="2:21">
      <c r="B32" s="363" t="s">
        <v>1239</v>
      </c>
      <c r="C32" s="364"/>
      <c r="D32" s="365"/>
      <c r="E32" s="365"/>
      <c r="F32" s="365"/>
      <c r="G32" s="365">
        <v>1</v>
      </c>
      <c r="H32" s="365"/>
      <c r="I32" s="365"/>
      <c r="J32" s="365"/>
      <c r="K32" s="365"/>
      <c r="L32" s="365"/>
      <c r="M32" s="365"/>
      <c r="N32" s="365"/>
      <c r="O32" s="365"/>
      <c r="P32" s="365"/>
      <c r="Q32" s="365"/>
      <c r="R32" s="365"/>
      <c r="S32" s="365"/>
      <c r="T32" s="366"/>
    </row>
    <row r="33" spans="2:21">
      <c r="B33" s="363" t="s">
        <v>2</v>
      </c>
      <c r="C33" s="364"/>
      <c r="D33" s="365"/>
      <c r="E33" s="365">
        <v>1</v>
      </c>
      <c r="F33" s="365"/>
      <c r="G33" s="365"/>
      <c r="H33" s="365"/>
      <c r="I33" s="365"/>
      <c r="J33" s="365"/>
      <c r="K33" s="365"/>
      <c r="L33" s="365"/>
      <c r="M33" s="365"/>
      <c r="N33" s="365"/>
      <c r="O33" s="365"/>
      <c r="P33" s="365"/>
      <c r="Q33" s="365"/>
      <c r="R33" s="365"/>
      <c r="S33" s="365"/>
      <c r="T33" s="366"/>
    </row>
    <row r="34" spans="2:21">
      <c r="B34" s="363" t="s">
        <v>1</v>
      </c>
      <c r="C34" s="364"/>
      <c r="D34" s="365"/>
      <c r="E34" s="365">
        <v>1</v>
      </c>
      <c r="F34" s="365"/>
      <c r="G34" s="365"/>
      <c r="H34" s="365"/>
      <c r="I34" s="365"/>
      <c r="J34" s="365"/>
      <c r="K34" s="365"/>
      <c r="L34" s="365"/>
      <c r="M34" s="365"/>
      <c r="N34" s="365"/>
      <c r="O34" s="365"/>
      <c r="P34" s="365"/>
      <c r="Q34" s="365"/>
      <c r="R34" s="365"/>
      <c r="S34" s="365"/>
      <c r="T34" s="366"/>
    </row>
    <row r="35" spans="2:21">
      <c r="B35" s="363" t="s">
        <v>382</v>
      </c>
      <c r="C35" s="364"/>
      <c r="D35" s="365"/>
      <c r="E35" s="365"/>
      <c r="F35" s="365"/>
      <c r="G35" s="365"/>
      <c r="H35" s="365">
        <v>1</v>
      </c>
      <c r="I35" s="365"/>
      <c r="J35" s="365"/>
      <c r="K35" s="365"/>
      <c r="L35" s="365"/>
      <c r="M35" s="365"/>
      <c r="N35" s="365"/>
      <c r="O35" s="365"/>
      <c r="P35" s="365"/>
      <c r="Q35" s="365"/>
      <c r="R35" s="365"/>
      <c r="S35" s="365"/>
      <c r="T35" s="366"/>
    </row>
    <row r="36" spans="2:21">
      <c r="B36" s="363" t="s">
        <v>1240</v>
      </c>
      <c r="C36" s="364"/>
      <c r="D36" s="365"/>
      <c r="E36" s="365"/>
      <c r="F36" s="365"/>
      <c r="G36" s="365"/>
      <c r="H36" s="365">
        <v>1</v>
      </c>
      <c r="I36" s="365"/>
      <c r="J36" s="365"/>
      <c r="K36" s="365"/>
      <c r="L36" s="365"/>
      <c r="M36" s="365"/>
      <c r="N36" s="365"/>
      <c r="O36" s="365"/>
      <c r="P36" s="365"/>
      <c r="Q36" s="365"/>
      <c r="R36" s="365"/>
      <c r="S36" s="365"/>
      <c r="T36" s="366"/>
    </row>
    <row r="37" spans="2:21">
      <c r="B37" s="363" t="s">
        <v>1241</v>
      </c>
      <c r="C37" s="364"/>
      <c r="D37" s="365"/>
      <c r="E37" s="365"/>
      <c r="F37" s="365"/>
      <c r="G37" s="365"/>
      <c r="H37" s="365">
        <v>1</v>
      </c>
      <c r="I37" s="365"/>
      <c r="J37" s="365"/>
      <c r="K37" s="365"/>
      <c r="L37" s="365"/>
      <c r="M37" s="365"/>
      <c r="N37" s="365"/>
      <c r="O37" s="365"/>
      <c r="P37" s="365"/>
      <c r="Q37" s="365"/>
      <c r="R37" s="365"/>
      <c r="S37" s="365"/>
      <c r="T37" s="366"/>
    </row>
    <row r="38" spans="2:21">
      <c r="B38" s="363" t="s">
        <v>1242</v>
      </c>
      <c r="C38" s="364"/>
      <c r="D38" s="365"/>
      <c r="E38" s="365"/>
      <c r="F38" s="365"/>
      <c r="G38" s="365"/>
      <c r="H38" s="365"/>
      <c r="I38" s="365"/>
      <c r="J38" s="365"/>
      <c r="K38" s="365">
        <v>1</v>
      </c>
      <c r="L38" s="365"/>
      <c r="M38" s="365"/>
      <c r="N38" s="365"/>
      <c r="O38" s="365"/>
      <c r="P38" s="365"/>
      <c r="Q38" s="365"/>
      <c r="R38" s="365"/>
      <c r="S38" s="365"/>
      <c r="T38" s="366"/>
    </row>
    <row r="39" spans="2:21">
      <c r="B39" s="363" t="s">
        <v>1243</v>
      </c>
      <c r="C39" s="364"/>
      <c r="D39" s="365"/>
      <c r="E39" s="365"/>
      <c r="F39" s="365"/>
      <c r="G39" s="365"/>
      <c r="H39" s="365"/>
      <c r="I39" s="365"/>
      <c r="J39" s="365"/>
      <c r="K39" s="365"/>
      <c r="L39" s="365"/>
      <c r="M39" s="365">
        <v>1</v>
      </c>
      <c r="N39" s="365"/>
      <c r="O39" s="365"/>
      <c r="P39" s="365"/>
      <c r="Q39" s="365"/>
      <c r="R39" s="365"/>
      <c r="S39" s="365"/>
      <c r="T39" s="366"/>
    </row>
    <row r="40" spans="2:21">
      <c r="B40" s="363" t="s">
        <v>1244</v>
      </c>
      <c r="C40" s="364"/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365"/>
      <c r="O40" s="365"/>
      <c r="P40" s="365"/>
      <c r="Q40" s="365"/>
      <c r="R40" s="365"/>
      <c r="S40" s="365"/>
      <c r="T40" s="366">
        <v>1</v>
      </c>
    </row>
    <row r="41" spans="2:21">
      <c r="B41" s="363" t="s">
        <v>1245</v>
      </c>
      <c r="C41" s="364"/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5"/>
      <c r="P41" s="365"/>
      <c r="Q41" s="365">
        <v>1</v>
      </c>
      <c r="R41" s="365"/>
      <c r="S41" s="365"/>
      <c r="T41" s="366"/>
    </row>
    <row r="42" spans="2:21">
      <c r="B42" s="363" t="s">
        <v>1246</v>
      </c>
      <c r="C42" s="364"/>
      <c r="D42" s="365"/>
      <c r="E42" s="365"/>
      <c r="F42" s="365"/>
      <c r="G42" s="365"/>
      <c r="H42" s="365"/>
      <c r="I42" s="365"/>
      <c r="J42" s="365"/>
      <c r="K42" s="365"/>
      <c r="L42" s="365">
        <v>1</v>
      </c>
      <c r="M42" s="365"/>
      <c r="N42" s="365"/>
      <c r="O42" s="365"/>
      <c r="P42" s="365"/>
      <c r="Q42" s="365"/>
      <c r="R42" s="365"/>
      <c r="S42" s="365"/>
      <c r="T42" s="366"/>
    </row>
    <row r="43" spans="2:21">
      <c r="B43" s="363" t="s">
        <v>1247</v>
      </c>
      <c r="C43" s="364"/>
      <c r="D43" s="365"/>
      <c r="E43" s="365"/>
      <c r="F43" s="365">
        <v>1</v>
      </c>
      <c r="G43" s="365"/>
      <c r="H43" s="365"/>
      <c r="I43" s="365"/>
      <c r="J43" s="365"/>
      <c r="K43" s="365"/>
      <c r="L43" s="365"/>
      <c r="M43" s="365"/>
      <c r="N43" s="365"/>
      <c r="O43" s="365"/>
      <c r="P43" s="365"/>
      <c r="Q43" s="365"/>
      <c r="R43" s="365"/>
      <c r="S43" s="365"/>
      <c r="T43" s="366"/>
    </row>
    <row r="44" spans="2:21">
      <c r="B44" s="363" t="s">
        <v>1248</v>
      </c>
      <c r="C44" s="364"/>
      <c r="D44" s="365"/>
      <c r="E44" s="365"/>
      <c r="F44" s="365"/>
      <c r="G44" s="365">
        <v>1</v>
      </c>
      <c r="H44" s="365"/>
      <c r="I44" s="365"/>
      <c r="J44" s="365"/>
      <c r="K44" s="365"/>
      <c r="L44" s="365"/>
      <c r="M44" s="365"/>
      <c r="N44" s="365"/>
      <c r="O44" s="365"/>
      <c r="P44" s="365"/>
      <c r="Q44" s="365"/>
      <c r="R44" s="365"/>
      <c r="S44" s="365"/>
      <c r="T44" s="366"/>
    </row>
    <row r="45" spans="2:21">
      <c r="B45" s="375" t="s">
        <v>243</v>
      </c>
      <c r="C45" s="371">
        <f t="shared" ref="C45:T45" si="1">SUM(C32:C44)</f>
        <v>0</v>
      </c>
      <c r="D45" s="371">
        <f t="shared" si="1"/>
        <v>0</v>
      </c>
      <c r="E45" s="371">
        <f t="shared" si="1"/>
        <v>2</v>
      </c>
      <c r="F45" s="371">
        <f t="shared" si="1"/>
        <v>1</v>
      </c>
      <c r="G45" s="371">
        <f t="shared" si="1"/>
        <v>2</v>
      </c>
      <c r="H45" s="371">
        <f t="shared" si="1"/>
        <v>3</v>
      </c>
      <c r="I45" s="371">
        <f t="shared" si="1"/>
        <v>0</v>
      </c>
      <c r="J45" s="371">
        <f t="shared" si="1"/>
        <v>0</v>
      </c>
      <c r="K45" s="371">
        <f t="shared" si="1"/>
        <v>1</v>
      </c>
      <c r="L45" s="371">
        <f t="shared" si="1"/>
        <v>1</v>
      </c>
      <c r="M45" s="371">
        <f t="shared" si="1"/>
        <v>1</v>
      </c>
      <c r="N45" s="371">
        <f t="shared" si="1"/>
        <v>0</v>
      </c>
      <c r="O45" s="371">
        <f t="shared" si="1"/>
        <v>0</v>
      </c>
      <c r="P45" s="371">
        <f t="shared" si="1"/>
        <v>0</v>
      </c>
      <c r="Q45" s="371">
        <f t="shared" si="1"/>
        <v>1</v>
      </c>
      <c r="R45" s="371">
        <f t="shared" si="1"/>
        <v>0</v>
      </c>
      <c r="S45" s="371">
        <f t="shared" si="1"/>
        <v>0</v>
      </c>
      <c r="T45" s="372">
        <f t="shared" si="1"/>
        <v>1</v>
      </c>
      <c r="U45" s="373">
        <f>SUM(C45:T45)</f>
        <v>13</v>
      </c>
    </row>
    <row r="51" spans="2:20" ht="23.25">
      <c r="B51" s="562" t="s">
        <v>1249</v>
      </c>
      <c r="C51" s="563"/>
      <c r="D51" s="563"/>
      <c r="E51" s="563"/>
      <c r="F51" s="563"/>
      <c r="G51" s="563"/>
      <c r="H51" s="563"/>
      <c r="I51" s="563"/>
      <c r="J51" s="563"/>
      <c r="K51" s="563"/>
      <c r="L51" s="563"/>
      <c r="M51" s="563"/>
      <c r="N51" s="563"/>
      <c r="O51" s="563"/>
      <c r="P51" s="563"/>
      <c r="Q51" s="563"/>
      <c r="R51" s="563"/>
      <c r="S51" s="563"/>
      <c r="T51" s="564"/>
    </row>
    <row r="52" spans="2:20">
      <c r="B52" s="360" t="s">
        <v>1238</v>
      </c>
      <c r="C52" s="361" t="s">
        <v>309</v>
      </c>
      <c r="D52" s="361" t="s">
        <v>310</v>
      </c>
      <c r="E52" s="361" t="s">
        <v>311</v>
      </c>
      <c r="F52" s="361" t="s">
        <v>312</v>
      </c>
      <c r="G52" s="361" t="s">
        <v>313</v>
      </c>
      <c r="H52" s="361" t="s">
        <v>314</v>
      </c>
      <c r="I52" s="361" t="s">
        <v>315</v>
      </c>
      <c r="J52" s="361" t="s">
        <v>316</v>
      </c>
      <c r="K52" s="361" t="s">
        <v>317</v>
      </c>
      <c r="L52" s="361" t="s">
        <v>318</v>
      </c>
      <c r="M52" s="361" t="s">
        <v>319</v>
      </c>
      <c r="N52" s="361" t="s">
        <v>320</v>
      </c>
      <c r="O52" s="361" t="s">
        <v>321</v>
      </c>
      <c r="P52" s="361" t="s">
        <v>322</v>
      </c>
      <c r="Q52" s="361" t="s">
        <v>323</v>
      </c>
      <c r="R52" s="361" t="s">
        <v>324</v>
      </c>
      <c r="S52" s="361" t="s">
        <v>325</v>
      </c>
      <c r="T52" s="362" t="s">
        <v>326</v>
      </c>
    </row>
    <row r="53" spans="2:20">
      <c r="B53" s="363" t="s">
        <v>1250</v>
      </c>
      <c r="C53" s="364">
        <v>1</v>
      </c>
      <c r="D53" s="36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6"/>
    </row>
    <row r="54" spans="2:20">
      <c r="B54" s="363" t="s">
        <v>1251</v>
      </c>
      <c r="C54" s="364"/>
      <c r="D54" s="365"/>
      <c r="E54" s="365"/>
      <c r="F54" s="365"/>
      <c r="G54" s="365">
        <v>1</v>
      </c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6"/>
    </row>
    <row r="55" spans="2:20">
      <c r="B55" s="363" t="s">
        <v>1252</v>
      </c>
      <c r="C55" s="364"/>
      <c r="D55" s="365"/>
      <c r="E55" s="365"/>
      <c r="F55" s="365">
        <v>1</v>
      </c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6"/>
    </row>
    <row r="56" spans="2:20">
      <c r="B56" s="363" t="s">
        <v>1253</v>
      </c>
      <c r="C56" s="364"/>
      <c r="D56" s="365"/>
      <c r="E56" s="365"/>
      <c r="F56" s="365"/>
      <c r="G56" s="365"/>
      <c r="H56" s="365"/>
      <c r="I56" s="365"/>
      <c r="J56" s="365">
        <v>1</v>
      </c>
      <c r="K56" s="365"/>
      <c r="L56" s="365"/>
      <c r="M56" s="365"/>
      <c r="N56" s="365"/>
      <c r="O56" s="365"/>
      <c r="P56" s="365"/>
      <c r="Q56" s="365"/>
      <c r="R56" s="365"/>
      <c r="S56" s="365"/>
      <c r="T56" s="366"/>
    </row>
    <row r="57" spans="2:20">
      <c r="B57" s="363" t="s">
        <v>1254</v>
      </c>
      <c r="C57" s="364"/>
      <c r="D57" s="365">
        <v>1</v>
      </c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6"/>
    </row>
    <row r="58" spans="2:20">
      <c r="B58" s="363" t="s">
        <v>1255</v>
      </c>
      <c r="C58" s="364"/>
      <c r="D58" s="365">
        <v>1</v>
      </c>
      <c r="E58" s="365"/>
      <c r="F58" s="365"/>
      <c r="G58" s="365"/>
      <c r="H58" s="365"/>
      <c r="I58" s="365"/>
      <c r="J58" s="365"/>
      <c r="K58" s="365"/>
      <c r="L58" s="365"/>
      <c r="M58" s="365"/>
      <c r="N58" s="365"/>
      <c r="O58" s="365"/>
      <c r="P58" s="365"/>
      <c r="Q58" s="365"/>
      <c r="R58" s="365"/>
      <c r="S58" s="365"/>
      <c r="T58" s="366"/>
    </row>
    <row r="59" spans="2:20">
      <c r="B59" s="363" t="s">
        <v>1256</v>
      </c>
      <c r="C59" s="364"/>
      <c r="D59" s="365"/>
      <c r="E59" s="365">
        <v>1</v>
      </c>
      <c r="F59" s="365"/>
      <c r="G59" s="365"/>
      <c r="H59" s="365"/>
      <c r="I59" s="365"/>
      <c r="J59" s="365"/>
      <c r="K59" s="365"/>
      <c r="L59" s="365"/>
      <c r="M59" s="365"/>
      <c r="N59" s="365"/>
      <c r="O59" s="365"/>
      <c r="P59" s="365"/>
      <c r="Q59" s="365"/>
      <c r="R59" s="365"/>
      <c r="S59" s="365"/>
      <c r="T59" s="366"/>
    </row>
    <row r="60" spans="2:20">
      <c r="B60" s="363" t="s">
        <v>1257</v>
      </c>
      <c r="C60" s="364"/>
      <c r="D60" s="365"/>
      <c r="E60" s="365"/>
      <c r="F60" s="365"/>
      <c r="G60" s="365"/>
      <c r="H60" s="365"/>
      <c r="I60" s="365"/>
      <c r="J60" s="365"/>
      <c r="K60" s="365"/>
      <c r="L60" s="365"/>
      <c r="M60" s="365"/>
      <c r="N60" s="365"/>
      <c r="O60" s="365">
        <v>1</v>
      </c>
      <c r="P60" s="365"/>
      <c r="Q60" s="365"/>
      <c r="R60" s="365"/>
      <c r="S60" s="365"/>
      <c r="T60" s="366"/>
    </row>
    <row r="61" spans="2:20">
      <c r="B61" s="363" t="s">
        <v>1258</v>
      </c>
      <c r="C61" s="364"/>
      <c r="D61" s="365"/>
      <c r="E61" s="365"/>
      <c r="F61" s="365"/>
      <c r="G61" s="365"/>
      <c r="H61" s="365"/>
      <c r="I61" s="365"/>
      <c r="J61" s="365"/>
      <c r="K61" s="365"/>
      <c r="L61" s="365"/>
      <c r="M61" s="365"/>
      <c r="N61" s="365"/>
      <c r="O61" s="365"/>
      <c r="P61" s="365">
        <v>1</v>
      </c>
      <c r="Q61" s="365"/>
      <c r="R61" s="365"/>
      <c r="S61" s="365"/>
      <c r="T61" s="366"/>
    </row>
    <row r="62" spans="2:20">
      <c r="B62" s="363" t="s">
        <v>1259</v>
      </c>
      <c r="C62" s="364"/>
      <c r="D62" s="365"/>
      <c r="E62" s="365"/>
      <c r="F62" s="365"/>
      <c r="G62" s="365"/>
      <c r="H62" s="365"/>
      <c r="I62" s="365"/>
      <c r="J62" s="365"/>
      <c r="K62" s="365"/>
      <c r="L62" s="365"/>
      <c r="M62" s="365"/>
      <c r="N62" s="365"/>
      <c r="O62" s="365"/>
      <c r="P62" s="365">
        <v>1</v>
      </c>
      <c r="Q62" s="365"/>
      <c r="R62" s="365"/>
      <c r="S62" s="365"/>
      <c r="T62" s="366"/>
    </row>
    <row r="63" spans="2:20">
      <c r="B63" s="363" t="s">
        <v>1260</v>
      </c>
      <c r="C63" s="364"/>
      <c r="D63" s="365"/>
      <c r="E63" s="365"/>
      <c r="F63" s="365"/>
      <c r="G63" s="365"/>
      <c r="H63" s="365"/>
      <c r="I63" s="365"/>
      <c r="J63" s="365"/>
      <c r="K63" s="365"/>
      <c r="L63" s="365"/>
      <c r="M63" s="365"/>
      <c r="N63" s="365"/>
      <c r="O63" s="365"/>
      <c r="P63" s="365">
        <v>1</v>
      </c>
      <c r="Q63" s="365"/>
      <c r="R63" s="365"/>
      <c r="S63" s="365"/>
      <c r="T63" s="366"/>
    </row>
    <row r="64" spans="2:20">
      <c r="B64" s="363" t="s">
        <v>1261</v>
      </c>
      <c r="C64" s="364"/>
      <c r="D64" s="365"/>
      <c r="E64" s="365"/>
      <c r="F64" s="365"/>
      <c r="G64" s="365"/>
      <c r="H64" s="365"/>
      <c r="I64" s="365"/>
      <c r="J64" s="365"/>
      <c r="K64" s="365"/>
      <c r="L64" s="365"/>
      <c r="M64" s="365"/>
      <c r="N64" s="365"/>
      <c r="O64" s="365"/>
      <c r="P64" s="365"/>
      <c r="Q64" s="365"/>
      <c r="R64" s="365"/>
      <c r="S64" s="365"/>
      <c r="T64" s="366">
        <v>1</v>
      </c>
    </row>
    <row r="65" spans="2:21">
      <c r="B65" s="363" t="s">
        <v>1262</v>
      </c>
      <c r="C65" s="364"/>
      <c r="D65" s="365"/>
      <c r="E65" s="365"/>
      <c r="F65" s="365"/>
      <c r="G65" s="365"/>
      <c r="H65" s="365"/>
      <c r="I65" s="365"/>
      <c r="J65" s="365"/>
      <c r="K65" s="365"/>
      <c r="L65" s="365"/>
      <c r="M65" s="365"/>
      <c r="N65" s="365"/>
      <c r="O65" s="365"/>
      <c r="P65" s="365"/>
      <c r="Q65" s="365"/>
      <c r="R65" s="365"/>
      <c r="S65" s="365"/>
      <c r="T65" s="366">
        <v>1</v>
      </c>
    </row>
    <row r="66" spans="2:21">
      <c r="B66" s="363" t="s">
        <v>1263</v>
      </c>
      <c r="C66" s="364"/>
      <c r="D66" s="365"/>
      <c r="E66" s="365"/>
      <c r="F66" s="365"/>
      <c r="G66" s="365"/>
      <c r="H66" s="365"/>
      <c r="I66" s="365"/>
      <c r="J66" s="365"/>
      <c r="K66" s="365"/>
      <c r="L66" s="365"/>
      <c r="M66" s="365"/>
      <c r="N66" s="365"/>
      <c r="O66" s="365"/>
      <c r="P66" s="365"/>
      <c r="Q66" s="365"/>
      <c r="R66" s="365"/>
      <c r="S66" s="365">
        <v>1</v>
      </c>
      <c r="T66" s="366"/>
    </row>
    <row r="67" spans="2:21">
      <c r="B67" s="363" t="s">
        <v>1264</v>
      </c>
      <c r="C67" s="364"/>
      <c r="D67" s="365"/>
      <c r="E67" s="365"/>
      <c r="F67" s="365"/>
      <c r="G67" s="365"/>
      <c r="H67" s="365"/>
      <c r="I67" s="365"/>
      <c r="J67" s="365"/>
      <c r="K67" s="365">
        <v>1</v>
      </c>
      <c r="L67" s="365"/>
      <c r="M67" s="365"/>
      <c r="N67" s="365"/>
      <c r="O67" s="365"/>
      <c r="P67" s="365"/>
      <c r="Q67" s="365"/>
      <c r="R67" s="365"/>
      <c r="S67" s="365"/>
      <c r="T67" s="366"/>
    </row>
    <row r="68" spans="2:21">
      <c r="B68" s="363" t="s">
        <v>1265</v>
      </c>
      <c r="C68" s="364"/>
      <c r="D68" s="365"/>
      <c r="E68" s="365"/>
      <c r="F68" s="365"/>
      <c r="G68" s="365"/>
      <c r="H68" s="365"/>
      <c r="I68" s="365"/>
      <c r="J68" s="365"/>
      <c r="K68" s="365">
        <v>1</v>
      </c>
      <c r="L68" s="365"/>
      <c r="M68" s="365"/>
      <c r="N68" s="365"/>
      <c r="O68" s="365"/>
      <c r="P68" s="365"/>
      <c r="Q68" s="365"/>
      <c r="R68" s="365"/>
      <c r="S68" s="365"/>
      <c r="T68" s="366"/>
    </row>
    <row r="69" spans="2:21">
      <c r="B69" s="375" t="s">
        <v>243</v>
      </c>
      <c r="C69" s="371">
        <f t="shared" ref="C69:T69" si="2">SUM(C53:C68)</f>
        <v>1</v>
      </c>
      <c r="D69" s="371">
        <f t="shared" si="2"/>
        <v>2</v>
      </c>
      <c r="E69" s="371">
        <f t="shared" si="2"/>
        <v>1</v>
      </c>
      <c r="F69" s="371">
        <f t="shared" si="2"/>
        <v>1</v>
      </c>
      <c r="G69" s="371">
        <f t="shared" si="2"/>
        <v>1</v>
      </c>
      <c r="H69" s="371">
        <f t="shared" si="2"/>
        <v>0</v>
      </c>
      <c r="I69" s="371">
        <f t="shared" si="2"/>
        <v>0</v>
      </c>
      <c r="J69" s="371">
        <f t="shared" si="2"/>
        <v>1</v>
      </c>
      <c r="K69" s="371">
        <f t="shared" si="2"/>
        <v>2</v>
      </c>
      <c r="L69" s="371">
        <f t="shared" si="2"/>
        <v>0</v>
      </c>
      <c r="M69" s="371">
        <f t="shared" si="2"/>
        <v>0</v>
      </c>
      <c r="N69" s="371">
        <f t="shared" si="2"/>
        <v>0</v>
      </c>
      <c r="O69" s="371">
        <f t="shared" si="2"/>
        <v>1</v>
      </c>
      <c r="P69" s="371">
        <f t="shared" si="2"/>
        <v>3</v>
      </c>
      <c r="Q69" s="371">
        <f t="shared" si="2"/>
        <v>0</v>
      </c>
      <c r="R69" s="371">
        <f t="shared" si="2"/>
        <v>0</v>
      </c>
      <c r="S69" s="371">
        <f t="shared" si="2"/>
        <v>1</v>
      </c>
      <c r="T69" s="372">
        <f t="shared" si="2"/>
        <v>2</v>
      </c>
      <c r="U69" s="373">
        <f>SUM(C69:T69)</f>
        <v>16</v>
      </c>
    </row>
    <row r="72" spans="2:21" ht="23.25">
      <c r="B72" s="562" t="s">
        <v>1266</v>
      </c>
      <c r="C72" s="563"/>
      <c r="D72" s="563"/>
      <c r="E72" s="563"/>
      <c r="F72" s="563"/>
      <c r="G72" s="563"/>
      <c r="H72" s="563"/>
      <c r="I72" s="563"/>
      <c r="J72" s="563"/>
      <c r="K72" s="563"/>
      <c r="L72" s="563"/>
      <c r="M72" s="563"/>
      <c r="N72" s="563"/>
      <c r="O72" s="563"/>
      <c r="P72" s="563"/>
      <c r="Q72" s="563"/>
      <c r="R72" s="563"/>
      <c r="S72" s="563"/>
      <c r="T72" s="564"/>
    </row>
    <row r="73" spans="2:21">
      <c r="B73" s="360" t="s">
        <v>1238</v>
      </c>
      <c r="C73" s="361" t="s">
        <v>309</v>
      </c>
      <c r="D73" s="361" t="s">
        <v>310</v>
      </c>
      <c r="E73" s="361" t="s">
        <v>311</v>
      </c>
      <c r="F73" s="361" t="s">
        <v>312</v>
      </c>
      <c r="G73" s="361" t="s">
        <v>313</v>
      </c>
      <c r="H73" s="361" t="s">
        <v>314</v>
      </c>
      <c r="I73" s="361" t="s">
        <v>315</v>
      </c>
      <c r="J73" s="361" t="s">
        <v>316</v>
      </c>
      <c r="K73" s="361" t="s">
        <v>317</v>
      </c>
      <c r="L73" s="361" t="s">
        <v>318</v>
      </c>
      <c r="M73" s="361" t="s">
        <v>319</v>
      </c>
      <c r="N73" s="361" t="s">
        <v>320</v>
      </c>
      <c r="O73" s="361" t="s">
        <v>321</v>
      </c>
      <c r="P73" s="361" t="s">
        <v>322</v>
      </c>
      <c r="Q73" s="361" t="s">
        <v>323</v>
      </c>
      <c r="R73" s="361" t="s">
        <v>324</v>
      </c>
      <c r="S73" s="361" t="s">
        <v>325</v>
      </c>
      <c r="T73" s="362" t="s">
        <v>326</v>
      </c>
    </row>
    <row r="74" spans="2:21">
      <c r="B74" s="363">
        <v>1</v>
      </c>
      <c r="C74" s="364"/>
      <c r="D74" s="365"/>
      <c r="E74" s="365"/>
      <c r="F74" s="365"/>
      <c r="G74" s="365"/>
      <c r="H74" s="365"/>
      <c r="I74" s="365">
        <v>1</v>
      </c>
      <c r="J74" s="365"/>
      <c r="K74" s="365"/>
      <c r="L74" s="365"/>
      <c r="M74" s="365"/>
      <c r="N74" s="365"/>
      <c r="O74" s="365"/>
      <c r="P74" s="365"/>
      <c r="Q74" s="365"/>
      <c r="R74" s="365"/>
      <c r="S74" s="365"/>
      <c r="T74" s="366"/>
    </row>
    <row r="75" spans="2:21">
      <c r="B75" s="363">
        <v>2</v>
      </c>
      <c r="C75" s="364"/>
      <c r="D75" s="365"/>
      <c r="E75" s="365"/>
      <c r="F75" s="365"/>
      <c r="G75" s="365"/>
      <c r="H75" s="365">
        <v>1</v>
      </c>
      <c r="I75" s="365"/>
      <c r="J75" s="365"/>
      <c r="K75" s="365"/>
      <c r="L75" s="365"/>
      <c r="M75" s="365"/>
      <c r="N75" s="365"/>
      <c r="O75" s="365"/>
      <c r="P75" s="365"/>
      <c r="Q75" s="365"/>
      <c r="R75" s="365"/>
      <c r="S75" s="365"/>
      <c r="T75" s="366"/>
    </row>
    <row r="76" spans="2:21">
      <c r="B76" s="363">
        <v>3</v>
      </c>
      <c r="C76" s="364"/>
      <c r="D76" s="365"/>
      <c r="E76" s="365"/>
      <c r="F76" s="365"/>
      <c r="G76" s="365">
        <v>1</v>
      </c>
      <c r="H76" s="365"/>
      <c r="I76" s="365"/>
      <c r="J76" s="365"/>
      <c r="K76" s="365"/>
      <c r="L76" s="365"/>
      <c r="M76" s="365"/>
      <c r="N76" s="365"/>
      <c r="O76" s="365"/>
      <c r="P76" s="365"/>
      <c r="Q76" s="365"/>
      <c r="R76" s="365"/>
      <c r="S76" s="365"/>
      <c r="T76" s="366"/>
    </row>
    <row r="77" spans="2:21">
      <c r="B77" s="363">
        <v>4</v>
      </c>
      <c r="C77" s="364"/>
      <c r="D77" s="365"/>
      <c r="E77" s="365"/>
      <c r="F77" s="365"/>
      <c r="G77" s="365"/>
      <c r="H77" s="365"/>
      <c r="I77" s="365"/>
      <c r="J77" s="365"/>
      <c r="K77" s="365"/>
      <c r="L77" s="365"/>
      <c r="M77" s="365">
        <v>1</v>
      </c>
      <c r="N77" s="365"/>
      <c r="O77" s="365"/>
      <c r="P77" s="365"/>
      <c r="Q77" s="365"/>
      <c r="R77" s="365"/>
      <c r="S77" s="365"/>
      <c r="T77" s="366"/>
    </row>
    <row r="78" spans="2:21">
      <c r="B78" s="363">
        <v>5</v>
      </c>
      <c r="C78" s="364"/>
      <c r="D78" s="365"/>
      <c r="E78" s="365"/>
      <c r="F78" s="365"/>
      <c r="G78" s="365"/>
      <c r="H78" s="365"/>
      <c r="I78" s="365"/>
      <c r="J78" s="365"/>
      <c r="K78" s="365">
        <v>1</v>
      </c>
      <c r="L78" s="365"/>
      <c r="M78" s="365"/>
      <c r="N78" s="365"/>
      <c r="O78" s="365"/>
      <c r="P78" s="365"/>
      <c r="Q78" s="365"/>
      <c r="R78" s="365"/>
      <c r="S78" s="365"/>
      <c r="T78" s="366"/>
    </row>
    <row r="79" spans="2:21">
      <c r="B79" s="363">
        <v>6</v>
      </c>
      <c r="C79" s="364"/>
      <c r="D79" s="365"/>
      <c r="E79" s="365"/>
      <c r="F79" s="365"/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5"/>
      <c r="R79" s="365">
        <v>1</v>
      </c>
      <c r="S79" s="365"/>
      <c r="T79" s="366"/>
    </row>
    <row r="80" spans="2:21">
      <c r="B80" s="363">
        <v>7</v>
      </c>
      <c r="C80" s="364"/>
      <c r="D80" s="365"/>
      <c r="E80" s="365"/>
      <c r="F80" s="365"/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5">
        <v>1</v>
      </c>
      <c r="R80" s="365"/>
      <c r="S80" s="365"/>
      <c r="T80" s="366"/>
    </row>
    <row r="81" spans="2:21">
      <c r="B81" s="363">
        <v>8</v>
      </c>
      <c r="C81" s="364"/>
      <c r="D81" s="365"/>
      <c r="E81" s="365"/>
      <c r="F81" s="365"/>
      <c r="G81" s="365"/>
      <c r="H81" s="365"/>
      <c r="I81" s="365"/>
      <c r="J81" s="365"/>
      <c r="K81" s="365"/>
      <c r="L81" s="365"/>
      <c r="M81" s="365"/>
      <c r="N81" s="365"/>
      <c r="O81" s="365">
        <v>1</v>
      </c>
      <c r="P81" s="365"/>
      <c r="Q81" s="365"/>
      <c r="R81" s="365"/>
      <c r="S81" s="365"/>
      <c r="T81" s="366"/>
    </row>
    <row r="82" spans="2:21">
      <c r="B82" s="375" t="s">
        <v>243</v>
      </c>
      <c r="C82" s="371">
        <f t="shared" ref="C82:T82" si="3">SUM(C74:C81)</f>
        <v>0</v>
      </c>
      <c r="D82" s="371">
        <f t="shared" si="3"/>
        <v>0</v>
      </c>
      <c r="E82" s="371">
        <f t="shared" si="3"/>
        <v>0</v>
      </c>
      <c r="F82" s="371">
        <f t="shared" si="3"/>
        <v>0</v>
      </c>
      <c r="G82" s="371">
        <f t="shared" si="3"/>
        <v>1</v>
      </c>
      <c r="H82" s="371">
        <f t="shared" si="3"/>
        <v>1</v>
      </c>
      <c r="I82" s="371">
        <f t="shared" si="3"/>
        <v>1</v>
      </c>
      <c r="J82" s="371">
        <f t="shared" si="3"/>
        <v>0</v>
      </c>
      <c r="K82" s="371">
        <f t="shared" si="3"/>
        <v>1</v>
      </c>
      <c r="L82" s="371">
        <f t="shared" si="3"/>
        <v>0</v>
      </c>
      <c r="M82" s="371">
        <f t="shared" si="3"/>
        <v>1</v>
      </c>
      <c r="N82" s="371">
        <f t="shared" si="3"/>
        <v>0</v>
      </c>
      <c r="O82" s="371">
        <f t="shared" si="3"/>
        <v>1</v>
      </c>
      <c r="P82" s="371">
        <f t="shared" si="3"/>
        <v>0</v>
      </c>
      <c r="Q82" s="371">
        <f t="shared" si="3"/>
        <v>1</v>
      </c>
      <c r="R82" s="371">
        <f t="shared" si="3"/>
        <v>1</v>
      </c>
      <c r="S82" s="371">
        <f t="shared" si="3"/>
        <v>0</v>
      </c>
      <c r="T82" s="372">
        <f t="shared" si="3"/>
        <v>0</v>
      </c>
      <c r="U82" s="373">
        <f>SUM(C82:T82)</f>
        <v>8</v>
      </c>
    </row>
  </sheetData>
  <mergeCells count="4">
    <mergeCell ref="B3:T3"/>
    <mergeCell ref="B30:T30"/>
    <mergeCell ref="B51:T51"/>
    <mergeCell ref="B72:T7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A229"/>
  <sheetViews>
    <sheetView topLeftCell="A2" zoomScale="75" zoomScaleNormal="75" workbookViewId="0">
      <pane ySplit="780" topLeftCell="A191" activePane="bottomLeft"/>
      <selection activeCell="A3" sqref="A3"/>
      <selection pane="bottomLeft" activeCell="A3" sqref="A3"/>
    </sheetView>
  </sheetViews>
  <sheetFormatPr baseColWidth="10" defaultRowHeight="11.25"/>
  <cols>
    <col min="1" max="2" width="3.6640625" customWidth="1"/>
    <col min="3" max="3" width="15.5" style="216" customWidth="1"/>
    <col min="4" max="4" width="20" style="328" customWidth="1"/>
    <col min="5" max="5" width="8" style="328" customWidth="1"/>
    <col min="6" max="8" width="5.33203125" style="328" customWidth="1"/>
    <col min="9" max="9" width="6.33203125" style="328" customWidth="1"/>
    <col min="10" max="12" width="5.33203125" style="328" customWidth="1"/>
    <col min="13" max="13" width="6.33203125" style="328" customWidth="1"/>
    <col min="14" max="16" width="5.33203125" style="328" customWidth="1"/>
    <col min="17" max="17" width="6.33203125" style="328" customWidth="1"/>
    <col min="18" max="20" width="5.33203125" style="328" customWidth="1"/>
    <col min="21" max="21" width="6.33203125" style="328" customWidth="1"/>
    <col min="22" max="22" width="7.6640625" style="328" customWidth="1"/>
    <col min="23" max="24" width="5.33203125" style="328" customWidth="1"/>
    <col min="25" max="25" width="6.33203125" style="328" bestFit="1" customWidth="1"/>
    <col min="26" max="28" width="5.33203125" style="328" bestFit="1" customWidth="1"/>
    <col min="29" max="29" width="6.33203125" style="328" bestFit="1" customWidth="1"/>
    <col min="30" max="32" width="5.33203125" style="328" bestFit="1" customWidth="1"/>
    <col min="33" max="33" width="6.33203125" style="328" bestFit="1" customWidth="1"/>
    <col min="34" max="36" width="5.33203125" style="328" bestFit="1" customWidth="1"/>
    <col min="37" max="37" width="6.33203125" style="328" bestFit="1" customWidth="1"/>
    <col min="38" max="40" width="5.33203125" style="328" bestFit="1" customWidth="1"/>
    <col min="41" max="41" width="6.33203125" style="328" bestFit="1" customWidth="1"/>
    <col min="42" max="44" width="5.33203125" style="328" bestFit="1" customWidth="1"/>
    <col min="45" max="45" width="6.33203125" style="328" bestFit="1" customWidth="1"/>
    <col min="46" max="49" width="5.33203125" style="328" bestFit="1" customWidth="1"/>
    <col min="50" max="50" width="6.33203125" style="328" bestFit="1" customWidth="1"/>
    <col min="51" max="53" width="5.33203125" style="328" bestFit="1" customWidth="1"/>
    <col min="54" max="54" width="6.33203125" style="328" bestFit="1" customWidth="1"/>
    <col min="55" max="57" width="5.33203125" style="328" bestFit="1" customWidth="1"/>
    <col min="58" max="58" width="6.33203125" style="328" bestFit="1" customWidth="1"/>
    <col min="59" max="61" width="5.33203125" style="328" bestFit="1" customWidth="1"/>
    <col min="62" max="62" width="6.33203125" style="328" bestFit="1" customWidth="1"/>
    <col min="63" max="65" width="5.33203125" style="328" bestFit="1" customWidth="1"/>
    <col min="66" max="66" width="6.33203125" style="328" bestFit="1" customWidth="1"/>
    <col min="67" max="69" width="5.33203125" style="328" bestFit="1" customWidth="1"/>
    <col min="70" max="70" width="6.33203125" style="328" bestFit="1" customWidth="1"/>
    <col min="71" max="73" width="5.33203125" style="328" bestFit="1" customWidth="1"/>
    <col min="74" max="74" width="6.33203125" style="328" bestFit="1" customWidth="1"/>
    <col min="75" max="77" width="5.33203125" style="328" bestFit="1" customWidth="1"/>
    <col min="78" max="78" width="8" style="216" customWidth="1"/>
    <col min="79" max="79" width="16.33203125" style="216" bestFit="1" customWidth="1"/>
    <col min="80" max="80" width="3.6640625" customWidth="1"/>
  </cols>
  <sheetData>
    <row r="2" spans="3:79">
      <c r="E2" s="570" t="s">
        <v>285</v>
      </c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</row>
    <row r="3" spans="3:79">
      <c r="E3" s="567" t="s">
        <v>519</v>
      </c>
      <c r="F3" s="568"/>
      <c r="G3" s="568"/>
      <c r="H3" s="569"/>
      <c r="I3" s="568" t="s">
        <v>520</v>
      </c>
      <c r="J3" s="568"/>
      <c r="K3" s="568"/>
      <c r="L3" s="569"/>
      <c r="M3" s="567" t="s">
        <v>521</v>
      </c>
      <c r="N3" s="568"/>
      <c r="O3" s="568"/>
      <c r="P3" s="568"/>
      <c r="Q3" s="567" t="s">
        <v>522</v>
      </c>
      <c r="R3" s="568"/>
      <c r="S3" s="568"/>
      <c r="T3" s="569"/>
      <c r="U3" s="567" t="s">
        <v>523</v>
      </c>
      <c r="V3" s="568"/>
      <c r="W3" s="568"/>
      <c r="X3" s="569"/>
      <c r="Y3" s="568" t="s">
        <v>524</v>
      </c>
      <c r="Z3" s="568"/>
      <c r="AA3" s="568"/>
      <c r="AB3" s="569"/>
      <c r="AC3" s="567" t="s">
        <v>525</v>
      </c>
      <c r="AD3" s="568"/>
      <c r="AE3" s="568"/>
      <c r="AF3" s="568"/>
      <c r="AG3" s="567" t="s">
        <v>526</v>
      </c>
      <c r="AH3" s="568"/>
      <c r="AI3" s="568"/>
      <c r="AJ3" s="568"/>
      <c r="AK3" s="567" t="s">
        <v>527</v>
      </c>
      <c r="AL3" s="568"/>
      <c r="AM3" s="568"/>
      <c r="AN3" s="569"/>
      <c r="AO3" s="567" t="s">
        <v>528</v>
      </c>
      <c r="AP3" s="568"/>
      <c r="AQ3" s="568"/>
      <c r="AR3" s="568"/>
      <c r="AS3" s="567" t="s">
        <v>529</v>
      </c>
      <c r="AT3" s="568"/>
      <c r="AU3" s="568"/>
      <c r="AV3" s="568"/>
      <c r="AW3" s="327"/>
      <c r="AX3" s="567" t="s">
        <v>530</v>
      </c>
      <c r="AY3" s="568"/>
      <c r="AZ3" s="568"/>
      <c r="BA3" s="569"/>
      <c r="BB3" s="567" t="s">
        <v>531</v>
      </c>
      <c r="BC3" s="568"/>
      <c r="BD3" s="568"/>
      <c r="BE3" s="569"/>
      <c r="BF3" s="568" t="s">
        <v>532</v>
      </c>
      <c r="BG3" s="568"/>
      <c r="BH3" s="568"/>
      <c r="BI3" s="569"/>
      <c r="BJ3" s="567" t="s">
        <v>533</v>
      </c>
      <c r="BK3" s="568"/>
      <c r="BL3" s="568"/>
      <c r="BM3" s="568"/>
      <c r="BN3" s="567" t="s">
        <v>534</v>
      </c>
      <c r="BO3" s="568"/>
      <c r="BP3" s="568"/>
      <c r="BQ3" s="569"/>
      <c r="BR3" s="567" t="s">
        <v>535</v>
      </c>
      <c r="BS3" s="568"/>
      <c r="BT3" s="568"/>
      <c r="BU3" s="568"/>
      <c r="BV3" s="567" t="s">
        <v>536</v>
      </c>
      <c r="BW3" s="568"/>
      <c r="BX3" s="568"/>
      <c r="BY3" s="569"/>
    </row>
    <row r="4" spans="3:79" s="216" customFormat="1">
      <c r="C4" s="217" t="s">
        <v>537</v>
      </c>
      <c r="D4" s="218" t="s">
        <v>516</v>
      </c>
      <c r="E4" s="217" t="s">
        <v>513</v>
      </c>
      <c r="F4" s="217" t="s">
        <v>274</v>
      </c>
      <c r="G4" s="217" t="s">
        <v>273</v>
      </c>
      <c r="H4" s="217" t="s">
        <v>300</v>
      </c>
      <c r="I4" s="219" t="s">
        <v>513</v>
      </c>
      <c r="J4" s="217" t="s">
        <v>274</v>
      </c>
      <c r="K4" s="217" t="s">
        <v>273</v>
      </c>
      <c r="L4" s="217" t="s">
        <v>300</v>
      </c>
      <c r="M4" s="217" t="s">
        <v>513</v>
      </c>
      <c r="N4" s="217" t="s">
        <v>274</v>
      </c>
      <c r="O4" s="217" t="s">
        <v>273</v>
      </c>
      <c r="P4" s="217" t="s">
        <v>300</v>
      </c>
      <c r="Q4" s="217" t="s">
        <v>513</v>
      </c>
      <c r="R4" s="217" t="s">
        <v>274</v>
      </c>
      <c r="S4" s="217" t="s">
        <v>273</v>
      </c>
      <c r="T4" s="217" t="s">
        <v>300</v>
      </c>
      <c r="U4" s="217" t="s">
        <v>513</v>
      </c>
      <c r="V4" s="217" t="s">
        <v>274</v>
      </c>
      <c r="W4" s="217" t="s">
        <v>273</v>
      </c>
      <c r="X4" s="217" t="s">
        <v>300</v>
      </c>
      <c r="Y4" s="219" t="s">
        <v>513</v>
      </c>
      <c r="Z4" s="217" t="s">
        <v>274</v>
      </c>
      <c r="AA4" s="217" t="s">
        <v>273</v>
      </c>
      <c r="AB4" s="217" t="s">
        <v>300</v>
      </c>
      <c r="AC4" s="217" t="s">
        <v>513</v>
      </c>
      <c r="AD4" s="217" t="s">
        <v>274</v>
      </c>
      <c r="AE4" s="217" t="s">
        <v>273</v>
      </c>
      <c r="AF4" s="220" t="s">
        <v>300</v>
      </c>
      <c r="AG4" s="217" t="s">
        <v>513</v>
      </c>
      <c r="AH4" s="217" t="s">
        <v>274</v>
      </c>
      <c r="AI4" s="217" t="s">
        <v>273</v>
      </c>
      <c r="AJ4" s="217" t="s">
        <v>300</v>
      </c>
      <c r="AK4" s="217" t="s">
        <v>513</v>
      </c>
      <c r="AL4" s="217" t="s">
        <v>274</v>
      </c>
      <c r="AM4" s="217" t="s">
        <v>273</v>
      </c>
      <c r="AN4" s="217" t="s">
        <v>300</v>
      </c>
      <c r="AO4" s="219" t="s">
        <v>513</v>
      </c>
      <c r="AP4" s="217" t="s">
        <v>274</v>
      </c>
      <c r="AQ4" s="217" t="s">
        <v>273</v>
      </c>
      <c r="AR4" s="217" t="s">
        <v>300</v>
      </c>
      <c r="AS4" s="217" t="s">
        <v>513</v>
      </c>
      <c r="AT4" s="217" t="s">
        <v>274</v>
      </c>
      <c r="AU4" s="217" t="s">
        <v>273</v>
      </c>
      <c r="AV4" s="220" t="s">
        <v>300</v>
      </c>
      <c r="AW4" s="220" t="s">
        <v>301</v>
      </c>
      <c r="AX4" s="217" t="s">
        <v>513</v>
      </c>
      <c r="AY4" s="217" t="s">
        <v>274</v>
      </c>
      <c r="AZ4" s="217" t="s">
        <v>273</v>
      </c>
      <c r="BA4" s="217" t="s">
        <v>300</v>
      </c>
      <c r="BB4" s="217" t="s">
        <v>513</v>
      </c>
      <c r="BC4" s="217" t="s">
        <v>274</v>
      </c>
      <c r="BD4" s="217" t="s">
        <v>273</v>
      </c>
      <c r="BE4" s="217" t="s">
        <v>300</v>
      </c>
      <c r="BF4" s="219" t="s">
        <v>513</v>
      </c>
      <c r="BG4" s="217" t="s">
        <v>274</v>
      </c>
      <c r="BH4" s="217" t="s">
        <v>273</v>
      </c>
      <c r="BI4" s="217" t="s">
        <v>300</v>
      </c>
      <c r="BJ4" s="217" t="s">
        <v>513</v>
      </c>
      <c r="BK4" s="217" t="s">
        <v>274</v>
      </c>
      <c r="BL4" s="217" t="s">
        <v>273</v>
      </c>
      <c r="BM4" s="220" t="s">
        <v>300</v>
      </c>
      <c r="BN4" s="217" t="s">
        <v>513</v>
      </c>
      <c r="BO4" s="217" t="s">
        <v>274</v>
      </c>
      <c r="BP4" s="217" t="s">
        <v>273</v>
      </c>
      <c r="BQ4" s="217" t="s">
        <v>300</v>
      </c>
      <c r="BR4" s="217" t="s">
        <v>513</v>
      </c>
      <c r="BS4" s="217" t="s">
        <v>274</v>
      </c>
      <c r="BT4" s="217" t="s">
        <v>273</v>
      </c>
      <c r="BU4" s="220" t="s">
        <v>300</v>
      </c>
      <c r="BV4" s="217" t="s">
        <v>513</v>
      </c>
      <c r="BW4" s="217" t="s">
        <v>274</v>
      </c>
      <c r="BX4" s="217" t="s">
        <v>273</v>
      </c>
      <c r="BY4" s="217" t="s">
        <v>300</v>
      </c>
    </row>
    <row r="5" spans="3:79" ht="12">
      <c r="C5" s="217">
        <v>1</v>
      </c>
      <c r="D5" s="35" t="s">
        <v>1267</v>
      </c>
      <c r="E5" s="376"/>
      <c r="F5" s="377"/>
      <c r="G5" s="377"/>
      <c r="H5" s="378"/>
      <c r="I5" s="379"/>
      <c r="J5" s="377"/>
      <c r="K5" s="377"/>
      <c r="L5" s="377"/>
      <c r="M5" s="376"/>
      <c r="N5" s="377"/>
      <c r="O5" s="377"/>
      <c r="P5" s="378">
        <v>1</v>
      </c>
      <c r="Q5" s="380"/>
      <c r="R5" s="377"/>
      <c r="S5" s="377"/>
      <c r="T5" s="378"/>
      <c r="U5" s="376"/>
      <c r="V5" s="377"/>
      <c r="W5" s="377"/>
      <c r="X5" s="378"/>
      <c r="Y5" s="379"/>
      <c r="Z5" s="377"/>
      <c r="AA5" s="377"/>
      <c r="AB5" s="377"/>
      <c r="AC5" s="376"/>
      <c r="AD5" s="377"/>
      <c r="AE5" s="377"/>
      <c r="AF5" s="381"/>
      <c r="AG5" s="376"/>
      <c r="AH5" s="377"/>
      <c r="AI5" s="377"/>
      <c r="AJ5" s="381"/>
      <c r="AK5" s="376"/>
      <c r="AL5" s="377"/>
      <c r="AM5" s="377"/>
      <c r="AN5" s="378"/>
      <c r="AO5" s="379"/>
      <c r="AP5" s="377"/>
      <c r="AQ5" s="377"/>
      <c r="AR5" s="377"/>
      <c r="AS5" s="376"/>
      <c r="AT5" s="377"/>
      <c r="AU5" s="377"/>
      <c r="AV5" s="381"/>
      <c r="AW5" s="382"/>
      <c r="AX5" s="376"/>
      <c r="AY5" s="377"/>
      <c r="AZ5" s="377"/>
      <c r="BA5" s="378"/>
      <c r="BB5" s="376"/>
      <c r="BC5" s="377"/>
      <c r="BD5" s="377"/>
      <c r="BE5" s="378"/>
      <c r="BF5" s="379"/>
      <c r="BG5" s="377"/>
      <c r="BH5" s="377"/>
      <c r="BI5" s="377"/>
      <c r="BJ5" s="376"/>
      <c r="BK5" s="377"/>
      <c r="BL5" s="377"/>
      <c r="BM5" s="381"/>
      <c r="BN5" s="376"/>
      <c r="BO5" s="377"/>
      <c r="BP5" s="377"/>
      <c r="BQ5" s="378"/>
      <c r="BR5" s="376"/>
      <c r="BS5" s="377"/>
      <c r="BT5" s="377"/>
      <c r="BU5" s="381"/>
      <c r="BV5" s="376"/>
      <c r="BW5" s="377"/>
      <c r="BX5" s="377"/>
      <c r="BY5" s="378"/>
      <c r="BZ5" s="216">
        <f t="shared" ref="BZ5:BZ36" si="0">SUM(E5:BY5)</f>
        <v>1</v>
      </c>
      <c r="CA5" s="216" t="str">
        <f>IF(BZ5=0,"NO SE ENCONTRO",IF(BZ5&gt;1,"ERROR",""))</f>
        <v/>
      </c>
    </row>
    <row r="6" spans="3:79" ht="12">
      <c r="C6" s="217">
        <v>2</v>
      </c>
      <c r="D6" s="35" t="s">
        <v>1268</v>
      </c>
      <c r="E6" s="383"/>
      <c r="F6" s="384"/>
      <c r="G6" s="384"/>
      <c r="H6" s="385"/>
      <c r="I6" s="386"/>
      <c r="J6" s="384"/>
      <c r="K6" s="384"/>
      <c r="L6" s="384"/>
      <c r="M6" s="383"/>
      <c r="N6" s="384"/>
      <c r="O6" s="384"/>
      <c r="P6" s="385">
        <v>1</v>
      </c>
      <c r="Q6" s="383"/>
      <c r="R6" s="384"/>
      <c r="S6" s="384"/>
      <c r="T6" s="385"/>
      <c r="U6" s="383"/>
      <c r="V6" s="384"/>
      <c r="W6" s="384"/>
      <c r="X6" s="385"/>
      <c r="Y6" s="386"/>
      <c r="Z6" s="384"/>
      <c r="AA6" s="384"/>
      <c r="AB6" s="384"/>
      <c r="AC6" s="383"/>
      <c r="AD6" s="384"/>
      <c r="AE6" s="384"/>
      <c r="AF6" s="387"/>
      <c r="AG6" s="383"/>
      <c r="AH6" s="384"/>
      <c r="AI6" s="384"/>
      <c r="AJ6" s="387"/>
      <c r="AK6" s="383"/>
      <c r="AL6" s="384"/>
      <c r="AM6" s="384"/>
      <c r="AN6" s="385"/>
      <c r="AO6" s="386"/>
      <c r="AP6" s="384"/>
      <c r="AQ6" s="384"/>
      <c r="AR6" s="384"/>
      <c r="AS6" s="383"/>
      <c r="AT6" s="384"/>
      <c r="AU6" s="384"/>
      <c r="AV6" s="387"/>
      <c r="AW6" s="388"/>
      <c r="AX6" s="383"/>
      <c r="AY6" s="384"/>
      <c r="AZ6" s="384"/>
      <c r="BA6" s="385"/>
      <c r="BB6" s="383"/>
      <c r="BC6" s="384"/>
      <c r="BD6" s="384"/>
      <c r="BE6" s="385"/>
      <c r="BF6" s="386"/>
      <c r="BG6" s="384"/>
      <c r="BH6" s="384"/>
      <c r="BI6" s="384"/>
      <c r="BJ6" s="383"/>
      <c r="BK6" s="384"/>
      <c r="BL6" s="384"/>
      <c r="BM6" s="387"/>
      <c r="BN6" s="383"/>
      <c r="BO6" s="384"/>
      <c r="BP6" s="384"/>
      <c r="BQ6" s="385"/>
      <c r="BR6" s="383"/>
      <c r="BS6" s="384"/>
      <c r="BT6" s="384"/>
      <c r="BU6" s="387"/>
      <c r="BV6" s="383"/>
      <c r="BW6" s="384"/>
      <c r="BX6" s="384"/>
      <c r="BY6" s="385"/>
      <c r="BZ6" s="216">
        <f t="shared" si="0"/>
        <v>1</v>
      </c>
      <c r="CA6" s="216" t="str">
        <f t="shared" ref="CA6:CA123" si="1">IF(BZ6=0,"NO SE ENCONTRO",IF(BZ6&gt;1,"ERROR",""))</f>
        <v/>
      </c>
    </row>
    <row r="7" spans="3:79" ht="12">
      <c r="C7" s="217">
        <v>3</v>
      </c>
      <c r="D7" s="35" t="s">
        <v>1269</v>
      </c>
      <c r="E7" s="383"/>
      <c r="F7" s="384"/>
      <c r="G7" s="384"/>
      <c r="H7" s="385"/>
      <c r="I7" s="386"/>
      <c r="J7" s="384"/>
      <c r="K7" s="384"/>
      <c r="L7" s="384"/>
      <c r="M7" s="383"/>
      <c r="N7" s="384"/>
      <c r="O7" s="384"/>
      <c r="P7" s="385">
        <v>1</v>
      </c>
      <c r="Q7" s="383"/>
      <c r="R7" s="384"/>
      <c r="S7" s="384"/>
      <c r="T7" s="385"/>
      <c r="U7" s="383"/>
      <c r="V7" s="384"/>
      <c r="W7" s="384"/>
      <c r="X7" s="385"/>
      <c r="Y7" s="386"/>
      <c r="Z7" s="384"/>
      <c r="AA7" s="384"/>
      <c r="AB7" s="384"/>
      <c r="AC7" s="383"/>
      <c r="AD7" s="384"/>
      <c r="AE7" s="384"/>
      <c r="AF7" s="387"/>
      <c r="AG7" s="383"/>
      <c r="AH7" s="384"/>
      <c r="AI7" s="384"/>
      <c r="AJ7" s="387"/>
      <c r="AK7" s="383"/>
      <c r="AL7" s="384"/>
      <c r="AM7" s="384"/>
      <c r="AN7" s="385"/>
      <c r="AO7" s="386"/>
      <c r="AP7" s="384"/>
      <c r="AQ7" s="384"/>
      <c r="AR7" s="384"/>
      <c r="AS7" s="383"/>
      <c r="AT7" s="384"/>
      <c r="AU7" s="384"/>
      <c r="AV7" s="387"/>
      <c r="AW7" s="388"/>
      <c r="AX7" s="383"/>
      <c r="AY7" s="384"/>
      <c r="AZ7" s="384"/>
      <c r="BA7" s="385"/>
      <c r="BB7" s="383"/>
      <c r="BC7" s="384"/>
      <c r="BD7" s="384"/>
      <c r="BE7" s="385"/>
      <c r="BF7" s="386"/>
      <c r="BG7" s="384"/>
      <c r="BH7" s="384"/>
      <c r="BI7" s="384"/>
      <c r="BJ7" s="383"/>
      <c r="BK7" s="384"/>
      <c r="BL7" s="384"/>
      <c r="BM7" s="387"/>
      <c r="BN7" s="383"/>
      <c r="BO7" s="384"/>
      <c r="BP7" s="384"/>
      <c r="BQ7" s="385"/>
      <c r="BR7" s="383"/>
      <c r="BS7" s="384"/>
      <c r="BT7" s="384"/>
      <c r="BU7" s="387"/>
      <c r="BV7" s="383"/>
      <c r="BW7" s="384"/>
      <c r="BX7" s="384"/>
      <c r="BY7" s="385"/>
      <c r="BZ7" s="216">
        <f t="shared" si="0"/>
        <v>1</v>
      </c>
      <c r="CA7" s="216" t="str">
        <f t="shared" si="1"/>
        <v/>
      </c>
    </row>
    <row r="8" spans="3:79" ht="12">
      <c r="C8" s="217">
        <v>4</v>
      </c>
      <c r="D8" s="35" t="s">
        <v>1270</v>
      </c>
      <c r="E8" s="383"/>
      <c r="F8" s="384"/>
      <c r="G8" s="384"/>
      <c r="H8" s="385"/>
      <c r="I8" s="386"/>
      <c r="J8" s="384"/>
      <c r="K8" s="384"/>
      <c r="L8" s="384"/>
      <c r="M8" s="383"/>
      <c r="N8" s="384"/>
      <c r="O8" s="384"/>
      <c r="P8" s="385"/>
      <c r="Q8" s="383"/>
      <c r="R8" s="384"/>
      <c r="S8" s="384"/>
      <c r="T8" s="385"/>
      <c r="U8" s="383"/>
      <c r="V8" s="384"/>
      <c r="W8" s="384"/>
      <c r="X8" s="385"/>
      <c r="Y8" s="386"/>
      <c r="Z8" s="384"/>
      <c r="AA8" s="384"/>
      <c r="AB8" s="384"/>
      <c r="AC8" s="383"/>
      <c r="AD8" s="384"/>
      <c r="AE8" s="384">
        <v>1</v>
      </c>
      <c r="AF8" s="387"/>
      <c r="AG8" s="383"/>
      <c r="AH8" s="384"/>
      <c r="AI8" s="384"/>
      <c r="AJ8" s="387"/>
      <c r="AK8" s="383"/>
      <c r="AL8" s="384"/>
      <c r="AM8" s="384"/>
      <c r="AN8" s="385"/>
      <c r="AO8" s="386"/>
      <c r="AP8" s="384"/>
      <c r="AQ8" s="384"/>
      <c r="AR8" s="384"/>
      <c r="AS8" s="383"/>
      <c r="AT8" s="384"/>
      <c r="AU8" s="384"/>
      <c r="AV8" s="387"/>
      <c r="AW8" s="388"/>
      <c r="AX8" s="383"/>
      <c r="AY8" s="384"/>
      <c r="AZ8" s="384"/>
      <c r="BA8" s="385"/>
      <c r="BB8" s="383"/>
      <c r="BC8" s="384"/>
      <c r="BD8" s="384"/>
      <c r="BE8" s="385"/>
      <c r="BF8" s="386"/>
      <c r="BG8" s="384"/>
      <c r="BH8" s="384"/>
      <c r="BI8" s="384"/>
      <c r="BJ8" s="383"/>
      <c r="BK8" s="384"/>
      <c r="BL8" s="384"/>
      <c r="BM8" s="387"/>
      <c r="BN8" s="383"/>
      <c r="BO8" s="384"/>
      <c r="BP8" s="384"/>
      <c r="BQ8" s="385"/>
      <c r="BR8" s="383"/>
      <c r="BS8" s="384"/>
      <c r="BT8" s="384"/>
      <c r="BU8" s="387"/>
      <c r="BV8" s="383"/>
      <c r="BW8" s="384"/>
      <c r="BX8" s="384"/>
      <c r="BY8" s="385"/>
      <c r="BZ8" s="216">
        <f t="shared" si="0"/>
        <v>1</v>
      </c>
    </row>
    <row r="9" spans="3:79" ht="12">
      <c r="C9" s="217">
        <v>5</v>
      </c>
      <c r="D9" s="35" t="s">
        <v>1271</v>
      </c>
      <c r="E9" s="383"/>
      <c r="F9" s="384"/>
      <c r="G9" s="384"/>
      <c r="H9" s="385"/>
      <c r="I9" s="386"/>
      <c r="J9" s="384"/>
      <c r="K9" s="384"/>
      <c r="L9" s="384"/>
      <c r="M9" s="383"/>
      <c r="N9" s="384"/>
      <c r="O9" s="384"/>
      <c r="P9" s="385">
        <v>1</v>
      </c>
      <c r="Q9" s="383"/>
      <c r="R9" s="384"/>
      <c r="S9" s="384"/>
      <c r="T9" s="385"/>
      <c r="U9" s="383"/>
      <c r="V9" s="384"/>
      <c r="W9" s="384"/>
      <c r="X9" s="385"/>
      <c r="Y9" s="386"/>
      <c r="Z9" s="384"/>
      <c r="AA9" s="384"/>
      <c r="AB9" s="384"/>
      <c r="AC9" s="383"/>
      <c r="AD9" s="384"/>
      <c r="AE9" s="384"/>
      <c r="AF9" s="387"/>
      <c r="AG9" s="383"/>
      <c r="AH9" s="384"/>
      <c r="AI9" s="384"/>
      <c r="AJ9" s="387"/>
      <c r="AK9" s="383"/>
      <c r="AL9" s="384"/>
      <c r="AM9" s="384"/>
      <c r="AN9" s="385"/>
      <c r="AO9" s="386"/>
      <c r="AP9" s="384"/>
      <c r="AQ9" s="384"/>
      <c r="AR9" s="384"/>
      <c r="AS9" s="383"/>
      <c r="AT9" s="384"/>
      <c r="AU9" s="384"/>
      <c r="AV9" s="387"/>
      <c r="AW9" s="388"/>
      <c r="AX9" s="383"/>
      <c r="AY9" s="384"/>
      <c r="AZ9" s="384"/>
      <c r="BA9" s="385"/>
      <c r="BB9" s="383"/>
      <c r="BC9" s="384"/>
      <c r="BD9" s="384"/>
      <c r="BE9" s="385"/>
      <c r="BF9" s="386"/>
      <c r="BG9" s="384"/>
      <c r="BH9" s="384"/>
      <c r="BI9" s="384"/>
      <c r="BJ9" s="383"/>
      <c r="BK9" s="384"/>
      <c r="BL9" s="384"/>
      <c r="BM9" s="387"/>
      <c r="BN9" s="383"/>
      <c r="BO9" s="384"/>
      <c r="BP9" s="384"/>
      <c r="BQ9" s="385"/>
      <c r="BR9" s="383"/>
      <c r="BS9" s="384"/>
      <c r="BT9" s="384"/>
      <c r="BU9" s="387"/>
      <c r="BV9" s="383"/>
      <c r="BW9" s="384"/>
      <c r="BX9" s="384"/>
      <c r="BY9" s="385"/>
      <c r="BZ9" s="216">
        <f t="shared" si="0"/>
        <v>1</v>
      </c>
    </row>
    <row r="10" spans="3:79" ht="12">
      <c r="C10" s="217">
        <v>6</v>
      </c>
      <c r="D10" s="35" t="s">
        <v>1272</v>
      </c>
      <c r="E10" s="383"/>
      <c r="F10" s="384"/>
      <c r="G10" s="384"/>
      <c r="H10" s="385"/>
      <c r="I10" s="386"/>
      <c r="J10" s="384"/>
      <c r="K10" s="384"/>
      <c r="L10" s="384"/>
      <c r="M10" s="383"/>
      <c r="N10" s="384"/>
      <c r="O10" s="384">
        <v>1</v>
      </c>
      <c r="P10" s="385"/>
      <c r="Q10" s="383"/>
      <c r="R10" s="384"/>
      <c r="S10" s="384"/>
      <c r="T10" s="385"/>
      <c r="U10" s="383"/>
      <c r="V10" s="384"/>
      <c r="W10" s="384"/>
      <c r="X10" s="385"/>
      <c r="Y10" s="386"/>
      <c r="Z10" s="384"/>
      <c r="AA10" s="384"/>
      <c r="AB10" s="384"/>
      <c r="AC10" s="383"/>
      <c r="AD10" s="384"/>
      <c r="AE10" s="384"/>
      <c r="AF10" s="387"/>
      <c r="AG10" s="383"/>
      <c r="AH10" s="384"/>
      <c r="AI10" s="384"/>
      <c r="AJ10" s="387"/>
      <c r="AK10" s="383"/>
      <c r="AL10" s="384"/>
      <c r="AM10" s="384"/>
      <c r="AN10" s="385"/>
      <c r="AO10" s="386"/>
      <c r="AP10" s="384"/>
      <c r="AQ10" s="384"/>
      <c r="AR10" s="384"/>
      <c r="AS10" s="383"/>
      <c r="AT10" s="384"/>
      <c r="AU10" s="384"/>
      <c r="AV10" s="387"/>
      <c r="AW10" s="388"/>
      <c r="AX10" s="383"/>
      <c r="AY10" s="384"/>
      <c r="AZ10" s="384"/>
      <c r="BA10" s="385"/>
      <c r="BB10" s="383"/>
      <c r="BC10" s="384"/>
      <c r="BD10" s="384"/>
      <c r="BE10" s="385"/>
      <c r="BF10" s="386"/>
      <c r="BG10" s="384"/>
      <c r="BH10" s="384"/>
      <c r="BI10" s="384"/>
      <c r="BJ10" s="383"/>
      <c r="BK10" s="384"/>
      <c r="BL10" s="384"/>
      <c r="BM10" s="387"/>
      <c r="BN10" s="383"/>
      <c r="BO10" s="384"/>
      <c r="BP10" s="384"/>
      <c r="BQ10" s="385"/>
      <c r="BR10" s="383"/>
      <c r="BS10" s="384"/>
      <c r="BT10" s="384"/>
      <c r="BU10" s="387"/>
      <c r="BV10" s="383"/>
      <c r="BW10" s="384"/>
      <c r="BX10" s="384"/>
      <c r="BY10" s="385"/>
      <c r="BZ10" s="216">
        <f t="shared" si="0"/>
        <v>1</v>
      </c>
      <c r="CA10" s="216" t="str">
        <f t="shared" si="1"/>
        <v/>
      </c>
    </row>
    <row r="11" spans="3:79" ht="12">
      <c r="C11" s="217">
        <v>7</v>
      </c>
      <c r="D11" s="35" t="s">
        <v>1273</v>
      </c>
      <c r="E11" s="383"/>
      <c r="F11" s="384"/>
      <c r="G11" s="384"/>
      <c r="H11" s="385"/>
      <c r="I11" s="386"/>
      <c r="J11" s="384"/>
      <c r="K11" s="384"/>
      <c r="L11" s="384"/>
      <c r="M11" s="383"/>
      <c r="N11" s="384"/>
      <c r="O11" s="384"/>
      <c r="P11" s="385">
        <v>1</v>
      </c>
      <c r="Q11" s="383"/>
      <c r="R11" s="384"/>
      <c r="S11" s="384"/>
      <c r="T11" s="385"/>
      <c r="U11" s="383"/>
      <c r="V11" s="384"/>
      <c r="W11" s="384"/>
      <c r="X11" s="385"/>
      <c r="Y11" s="386"/>
      <c r="Z11" s="384"/>
      <c r="AA11" s="384"/>
      <c r="AB11" s="384"/>
      <c r="AC11" s="383"/>
      <c r="AD11" s="384"/>
      <c r="AE11" s="384"/>
      <c r="AF11" s="387"/>
      <c r="AG11" s="383"/>
      <c r="AH11" s="384"/>
      <c r="AI11" s="384"/>
      <c r="AJ11" s="387"/>
      <c r="AK11" s="383"/>
      <c r="AL11" s="384"/>
      <c r="AM11" s="384"/>
      <c r="AN11" s="385"/>
      <c r="AO11" s="386"/>
      <c r="AP11" s="384"/>
      <c r="AQ11" s="384"/>
      <c r="AR11" s="384"/>
      <c r="AS11" s="383"/>
      <c r="AT11" s="384"/>
      <c r="AU11" s="384"/>
      <c r="AV11" s="387"/>
      <c r="AW11" s="388"/>
      <c r="AX11" s="383"/>
      <c r="AY11" s="384"/>
      <c r="AZ11" s="384"/>
      <c r="BA11" s="385"/>
      <c r="BB11" s="383"/>
      <c r="BC11" s="384"/>
      <c r="BD11" s="384"/>
      <c r="BE11" s="385"/>
      <c r="BF11" s="386"/>
      <c r="BG11" s="384"/>
      <c r="BH11" s="384"/>
      <c r="BI11" s="384"/>
      <c r="BJ11" s="383"/>
      <c r="BK11" s="384"/>
      <c r="BL11" s="384"/>
      <c r="BM11" s="387"/>
      <c r="BN11" s="383"/>
      <c r="BO11" s="384"/>
      <c r="BP11" s="384"/>
      <c r="BQ11" s="385"/>
      <c r="BR11" s="383"/>
      <c r="BS11" s="384"/>
      <c r="BT11" s="384"/>
      <c r="BU11" s="387"/>
      <c r="BV11" s="383"/>
      <c r="BW11" s="384"/>
      <c r="BX11" s="384"/>
      <c r="BY11" s="385"/>
      <c r="BZ11" s="216">
        <f t="shared" si="0"/>
        <v>1</v>
      </c>
    </row>
    <row r="12" spans="3:79" ht="12">
      <c r="C12" s="217">
        <v>8</v>
      </c>
      <c r="D12" s="35" t="s">
        <v>1274</v>
      </c>
      <c r="E12" s="383"/>
      <c r="F12" s="384"/>
      <c r="G12" s="384"/>
      <c r="H12" s="385"/>
      <c r="I12" s="386"/>
      <c r="J12" s="384"/>
      <c r="K12" s="384"/>
      <c r="L12" s="384"/>
      <c r="M12" s="383"/>
      <c r="N12" s="384"/>
      <c r="O12" s="384"/>
      <c r="P12" s="385"/>
      <c r="Q12" s="383"/>
      <c r="R12" s="384"/>
      <c r="S12" s="384">
        <v>1</v>
      </c>
      <c r="T12" s="385"/>
      <c r="U12" s="383"/>
      <c r="V12" s="384"/>
      <c r="W12" s="384"/>
      <c r="X12" s="385"/>
      <c r="Y12" s="386"/>
      <c r="Z12" s="384"/>
      <c r="AA12" s="384"/>
      <c r="AB12" s="384"/>
      <c r="AC12" s="383"/>
      <c r="AD12" s="384"/>
      <c r="AE12" s="384"/>
      <c r="AF12" s="387"/>
      <c r="AG12" s="383"/>
      <c r="AH12" s="384"/>
      <c r="AI12" s="384"/>
      <c r="AJ12" s="387"/>
      <c r="AK12" s="383"/>
      <c r="AL12" s="384"/>
      <c r="AM12" s="384"/>
      <c r="AN12" s="385"/>
      <c r="AO12" s="386"/>
      <c r="AP12" s="384"/>
      <c r="AQ12" s="384"/>
      <c r="AR12" s="384"/>
      <c r="AS12" s="383"/>
      <c r="AT12" s="384"/>
      <c r="AU12" s="384"/>
      <c r="AV12" s="387"/>
      <c r="AW12" s="388"/>
      <c r="AX12" s="383"/>
      <c r="AY12" s="384"/>
      <c r="AZ12" s="384"/>
      <c r="BA12" s="385"/>
      <c r="BB12" s="383"/>
      <c r="BC12" s="384"/>
      <c r="BD12" s="384"/>
      <c r="BE12" s="385"/>
      <c r="BF12" s="386"/>
      <c r="BG12" s="384"/>
      <c r="BH12" s="384"/>
      <c r="BI12" s="384"/>
      <c r="BJ12" s="383"/>
      <c r="BK12" s="384"/>
      <c r="BL12" s="384"/>
      <c r="BM12" s="387"/>
      <c r="BN12" s="383"/>
      <c r="BO12" s="384"/>
      <c r="BP12" s="384"/>
      <c r="BQ12" s="385"/>
      <c r="BR12" s="383"/>
      <c r="BS12" s="384"/>
      <c r="BT12" s="384"/>
      <c r="BU12" s="387"/>
      <c r="BV12" s="383"/>
      <c r="BW12" s="384"/>
      <c r="BX12" s="384"/>
      <c r="BY12" s="385"/>
      <c r="BZ12" s="216">
        <f t="shared" si="0"/>
        <v>1</v>
      </c>
      <c r="CA12" s="216" t="str">
        <f t="shared" si="1"/>
        <v/>
      </c>
    </row>
    <row r="13" spans="3:79" ht="12">
      <c r="C13" s="217">
        <v>9</v>
      </c>
      <c r="D13" s="35" t="s">
        <v>1275</v>
      </c>
      <c r="E13" s="383"/>
      <c r="F13" s="384"/>
      <c r="G13" s="384"/>
      <c r="H13" s="385"/>
      <c r="I13" s="386"/>
      <c r="J13" s="384"/>
      <c r="K13" s="384"/>
      <c r="L13" s="384"/>
      <c r="M13" s="383"/>
      <c r="N13" s="384"/>
      <c r="O13" s="384"/>
      <c r="P13" s="385"/>
      <c r="Q13" s="383"/>
      <c r="R13" s="384"/>
      <c r="S13" s="384"/>
      <c r="T13" s="385">
        <v>1</v>
      </c>
      <c r="U13" s="383"/>
      <c r="V13" s="384"/>
      <c r="W13" s="384"/>
      <c r="X13" s="385"/>
      <c r="Y13" s="386"/>
      <c r="Z13" s="384"/>
      <c r="AA13" s="384"/>
      <c r="AB13" s="384"/>
      <c r="AC13" s="383"/>
      <c r="AD13" s="384"/>
      <c r="AE13" s="384"/>
      <c r="AF13" s="387"/>
      <c r="AG13" s="383"/>
      <c r="AH13" s="384"/>
      <c r="AI13" s="384"/>
      <c r="AJ13" s="387"/>
      <c r="AK13" s="383"/>
      <c r="AL13" s="384"/>
      <c r="AM13" s="384"/>
      <c r="AN13" s="385"/>
      <c r="AO13" s="386"/>
      <c r="AP13" s="384"/>
      <c r="AQ13" s="384"/>
      <c r="AR13" s="384"/>
      <c r="AS13" s="383"/>
      <c r="AT13" s="384"/>
      <c r="AU13" s="384"/>
      <c r="AV13" s="387"/>
      <c r="AW13" s="388"/>
      <c r="AX13" s="383"/>
      <c r="AY13" s="384"/>
      <c r="AZ13" s="384"/>
      <c r="BA13" s="385"/>
      <c r="BB13" s="383"/>
      <c r="BC13" s="384"/>
      <c r="BD13" s="384"/>
      <c r="BE13" s="385"/>
      <c r="BF13" s="386"/>
      <c r="BG13" s="384"/>
      <c r="BH13" s="384"/>
      <c r="BI13" s="384"/>
      <c r="BJ13" s="383"/>
      <c r="BK13" s="384"/>
      <c r="BL13" s="384"/>
      <c r="BM13" s="387"/>
      <c r="BN13" s="383"/>
      <c r="BO13" s="384"/>
      <c r="BP13" s="384"/>
      <c r="BQ13" s="385"/>
      <c r="BR13" s="383"/>
      <c r="BS13" s="384"/>
      <c r="BT13" s="384"/>
      <c r="BU13" s="387"/>
      <c r="BV13" s="383"/>
      <c r="BW13" s="384"/>
      <c r="BX13" s="384"/>
      <c r="BY13" s="385"/>
      <c r="BZ13" s="216">
        <f t="shared" si="0"/>
        <v>1</v>
      </c>
    </row>
    <row r="14" spans="3:79" ht="12">
      <c r="C14" s="217">
        <v>10</v>
      </c>
      <c r="D14" s="35" t="s">
        <v>1276</v>
      </c>
      <c r="E14" s="383"/>
      <c r="F14" s="384"/>
      <c r="G14" s="384"/>
      <c r="H14" s="385"/>
      <c r="I14" s="386"/>
      <c r="J14" s="384"/>
      <c r="K14" s="384"/>
      <c r="L14" s="384"/>
      <c r="M14" s="383"/>
      <c r="N14" s="384"/>
      <c r="O14" s="384"/>
      <c r="P14" s="385"/>
      <c r="Q14" s="383"/>
      <c r="R14" s="384"/>
      <c r="S14" s="384">
        <v>1</v>
      </c>
      <c r="T14" s="385"/>
      <c r="U14" s="383"/>
      <c r="V14" s="384"/>
      <c r="W14" s="384"/>
      <c r="X14" s="385"/>
      <c r="Y14" s="386"/>
      <c r="Z14" s="384"/>
      <c r="AA14" s="384"/>
      <c r="AB14" s="384"/>
      <c r="AC14" s="383"/>
      <c r="AD14" s="384"/>
      <c r="AE14" s="384"/>
      <c r="AF14" s="387"/>
      <c r="AG14" s="383"/>
      <c r="AH14" s="384"/>
      <c r="AI14" s="384"/>
      <c r="AJ14" s="387"/>
      <c r="AK14" s="383"/>
      <c r="AL14" s="384"/>
      <c r="AM14" s="384"/>
      <c r="AN14" s="385"/>
      <c r="AO14" s="386"/>
      <c r="AP14" s="384"/>
      <c r="AQ14" s="384"/>
      <c r="AR14" s="384"/>
      <c r="AS14" s="383"/>
      <c r="AT14" s="384"/>
      <c r="AU14" s="384"/>
      <c r="AV14" s="387"/>
      <c r="AW14" s="388"/>
      <c r="AX14" s="383"/>
      <c r="AY14" s="384"/>
      <c r="AZ14" s="384"/>
      <c r="BA14" s="385"/>
      <c r="BB14" s="383"/>
      <c r="BC14" s="384"/>
      <c r="BD14" s="384"/>
      <c r="BE14" s="385"/>
      <c r="BF14" s="386"/>
      <c r="BG14" s="384"/>
      <c r="BH14" s="384"/>
      <c r="BI14" s="384"/>
      <c r="BJ14" s="383"/>
      <c r="BK14" s="384"/>
      <c r="BL14" s="384"/>
      <c r="BM14" s="387"/>
      <c r="BN14" s="383"/>
      <c r="BO14" s="384"/>
      <c r="BP14" s="384"/>
      <c r="BQ14" s="385"/>
      <c r="BR14" s="383"/>
      <c r="BS14" s="384"/>
      <c r="BT14" s="384"/>
      <c r="BU14" s="387"/>
      <c r="BV14" s="383"/>
      <c r="BW14" s="384"/>
      <c r="BX14" s="384"/>
      <c r="BY14" s="385"/>
      <c r="BZ14" s="216">
        <f t="shared" si="0"/>
        <v>1</v>
      </c>
      <c r="CA14" s="216" t="str">
        <f t="shared" si="1"/>
        <v/>
      </c>
    </row>
    <row r="15" spans="3:79" ht="12">
      <c r="C15" s="217">
        <v>11</v>
      </c>
      <c r="D15" s="35" t="s">
        <v>1277</v>
      </c>
      <c r="E15" s="383"/>
      <c r="F15" s="384"/>
      <c r="G15" s="384"/>
      <c r="H15" s="385"/>
      <c r="I15" s="386"/>
      <c r="J15" s="384"/>
      <c r="K15" s="384"/>
      <c r="L15" s="384"/>
      <c r="M15" s="383"/>
      <c r="N15" s="384"/>
      <c r="O15" s="384"/>
      <c r="P15" s="385"/>
      <c r="Q15" s="383"/>
      <c r="R15" s="384"/>
      <c r="S15" s="384"/>
      <c r="T15" s="385">
        <v>1</v>
      </c>
      <c r="U15" s="383"/>
      <c r="V15" s="384"/>
      <c r="W15" s="384"/>
      <c r="X15" s="385"/>
      <c r="Y15" s="386"/>
      <c r="Z15" s="384"/>
      <c r="AA15" s="384"/>
      <c r="AB15" s="384"/>
      <c r="AC15" s="383"/>
      <c r="AD15" s="384"/>
      <c r="AE15" s="384"/>
      <c r="AF15" s="387"/>
      <c r="AG15" s="383"/>
      <c r="AH15" s="384"/>
      <c r="AI15" s="384"/>
      <c r="AJ15" s="387"/>
      <c r="AK15" s="383"/>
      <c r="AL15" s="384"/>
      <c r="AM15" s="384"/>
      <c r="AN15" s="385"/>
      <c r="AO15" s="386"/>
      <c r="AP15" s="384"/>
      <c r="AQ15" s="384"/>
      <c r="AR15" s="384"/>
      <c r="AS15" s="383"/>
      <c r="AT15" s="384"/>
      <c r="AU15" s="384"/>
      <c r="AV15" s="387"/>
      <c r="AW15" s="388"/>
      <c r="AX15" s="383"/>
      <c r="AY15" s="384"/>
      <c r="AZ15" s="384"/>
      <c r="BA15" s="385"/>
      <c r="BB15" s="383"/>
      <c r="BC15" s="384"/>
      <c r="BD15" s="384"/>
      <c r="BE15" s="385"/>
      <c r="BF15" s="386"/>
      <c r="BG15" s="384"/>
      <c r="BH15" s="384"/>
      <c r="BI15" s="384"/>
      <c r="BJ15" s="383"/>
      <c r="BK15" s="384"/>
      <c r="BL15" s="384"/>
      <c r="BM15" s="387"/>
      <c r="BN15" s="383"/>
      <c r="BO15" s="384"/>
      <c r="BP15" s="384"/>
      <c r="BQ15" s="385"/>
      <c r="BR15" s="383"/>
      <c r="BS15" s="384"/>
      <c r="BT15" s="384"/>
      <c r="BU15" s="387"/>
      <c r="BV15" s="383"/>
      <c r="BW15" s="384"/>
      <c r="BX15" s="384"/>
      <c r="BY15" s="385"/>
      <c r="BZ15" s="216">
        <f t="shared" si="0"/>
        <v>1</v>
      </c>
    </row>
    <row r="16" spans="3:79" ht="12">
      <c r="C16" s="217">
        <v>12</v>
      </c>
      <c r="D16" s="35" t="s">
        <v>1278</v>
      </c>
      <c r="E16" s="383"/>
      <c r="F16" s="384"/>
      <c r="G16" s="384"/>
      <c r="H16" s="385"/>
      <c r="I16" s="386"/>
      <c r="J16" s="384"/>
      <c r="K16" s="384"/>
      <c r="L16" s="384"/>
      <c r="M16" s="383"/>
      <c r="N16" s="384"/>
      <c r="O16" s="384"/>
      <c r="P16" s="385"/>
      <c r="Q16" s="383"/>
      <c r="R16" s="384"/>
      <c r="S16" s="384">
        <v>1</v>
      </c>
      <c r="T16" s="385"/>
      <c r="U16" s="383"/>
      <c r="V16" s="384"/>
      <c r="W16" s="384"/>
      <c r="X16" s="385"/>
      <c r="Y16" s="386"/>
      <c r="Z16" s="384"/>
      <c r="AA16" s="384"/>
      <c r="AB16" s="384"/>
      <c r="AC16" s="383"/>
      <c r="AD16" s="384"/>
      <c r="AE16" s="384"/>
      <c r="AF16" s="387"/>
      <c r="AG16" s="383"/>
      <c r="AH16" s="384"/>
      <c r="AI16" s="384"/>
      <c r="AJ16" s="387"/>
      <c r="AK16" s="383"/>
      <c r="AL16" s="384"/>
      <c r="AM16" s="384"/>
      <c r="AN16" s="385"/>
      <c r="AO16" s="386"/>
      <c r="AP16" s="384"/>
      <c r="AQ16" s="384"/>
      <c r="AR16" s="384"/>
      <c r="AS16" s="383"/>
      <c r="AT16" s="384"/>
      <c r="AU16" s="384"/>
      <c r="AV16" s="387"/>
      <c r="AW16" s="388"/>
      <c r="AX16" s="383"/>
      <c r="AY16" s="384"/>
      <c r="AZ16" s="384"/>
      <c r="BA16" s="385"/>
      <c r="BB16" s="383"/>
      <c r="BC16" s="384"/>
      <c r="BD16" s="384"/>
      <c r="BE16" s="385"/>
      <c r="BF16" s="386"/>
      <c r="BG16" s="384"/>
      <c r="BH16" s="384"/>
      <c r="BI16" s="384"/>
      <c r="BJ16" s="383"/>
      <c r="BK16" s="384"/>
      <c r="BL16" s="384"/>
      <c r="BM16" s="387"/>
      <c r="BN16" s="383"/>
      <c r="BO16" s="384"/>
      <c r="BP16" s="384"/>
      <c r="BQ16" s="385"/>
      <c r="BR16" s="383"/>
      <c r="BS16" s="384"/>
      <c r="BT16" s="384"/>
      <c r="BU16" s="387"/>
      <c r="BV16" s="383"/>
      <c r="BW16" s="384"/>
      <c r="BX16" s="384"/>
      <c r="BY16" s="385"/>
      <c r="BZ16" s="216">
        <f t="shared" si="0"/>
        <v>1</v>
      </c>
    </row>
    <row r="17" spans="3:79" ht="12">
      <c r="C17" s="217">
        <v>13</v>
      </c>
      <c r="D17" s="35" t="s">
        <v>1279</v>
      </c>
      <c r="E17" s="383"/>
      <c r="F17" s="384"/>
      <c r="G17" s="384"/>
      <c r="H17" s="385"/>
      <c r="I17" s="386"/>
      <c r="J17" s="384"/>
      <c r="K17" s="384"/>
      <c r="L17" s="384"/>
      <c r="M17" s="383"/>
      <c r="N17" s="384"/>
      <c r="O17" s="384"/>
      <c r="P17" s="385"/>
      <c r="Q17" s="383"/>
      <c r="R17" s="384"/>
      <c r="S17" s="384"/>
      <c r="T17" s="385"/>
      <c r="U17" s="383"/>
      <c r="V17" s="384"/>
      <c r="W17" s="384"/>
      <c r="X17" s="385">
        <v>1</v>
      </c>
      <c r="Y17" s="386"/>
      <c r="Z17" s="384"/>
      <c r="AA17" s="384"/>
      <c r="AB17" s="384"/>
      <c r="AC17" s="383"/>
      <c r="AD17" s="384"/>
      <c r="AE17" s="384"/>
      <c r="AF17" s="387"/>
      <c r="AG17" s="383"/>
      <c r="AH17" s="384"/>
      <c r="AI17" s="384"/>
      <c r="AJ17" s="387"/>
      <c r="AK17" s="383"/>
      <c r="AL17" s="384"/>
      <c r="AM17" s="384"/>
      <c r="AN17" s="385"/>
      <c r="AO17" s="386"/>
      <c r="AP17" s="384"/>
      <c r="AQ17" s="384"/>
      <c r="AR17" s="384"/>
      <c r="AS17" s="383"/>
      <c r="AT17" s="384"/>
      <c r="AU17" s="384"/>
      <c r="AV17" s="387"/>
      <c r="AW17" s="388"/>
      <c r="AX17" s="383"/>
      <c r="AY17" s="384"/>
      <c r="AZ17" s="384"/>
      <c r="BA17" s="385"/>
      <c r="BB17" s="383"/>
      <c r="BC17" s="384"/>
      <c r="BD17" s="384"/>
      <c r="BE17" s="385"/>
      <c r="BF17" s="386"/>
      <c r="BG17" s="384"/>
      <c r="BH17" s="384"/>
      <c r="BI17" s="384"/>
      <c r="BJ17" s="383"/>
      <c r="BK17" s="384"/>
      <c r="BL17" s="384"/>
      <c r="BM17" s="387"/>
      <c r="BN17" s="383"/>
      <c r="BO17" s="384"/>
      <c r="BP17" s="384"/>
      <c r="BQ17" s="385"/>
      <c r="BR17" s="383"/>
      <c r="BS17" s="384"/>
      <c r="BT17" s="384"/>
      <c r="BU17" s="387"/>
      <c r="BV17" s="383"/>
      <c r="BW17" s="384"/>
      <c r="BX17" s="384"/>
      <c r="BY17" s="385"/>
      <c r="BZ17" s="216">
        <f t="shared" si="0"/>
        <v>1</v>
      </c>
      <c r="CA17" s="216" t="str">
        <f t="shared" si="1"/>
        <v/>
      </c>
    </row>
    <row r="18" spans="3:79" ht="12">
      <c r="C18" s="217">
        <v>14</v>
      </c>
      <c r="D18" s="35" t="s">
        <v>1280</v>
      </c>
      <c r="E18" s="383"/>
      <c r="F18" s="384"/>
      <c r="G18" s="384"/>
      <c r="H18" s="385"/>
      <c r="I18" s="386"/>
      <c r="J18" s="384"/>
      <c r="K18" s="384"/>
      <c r="L18" s="384"/>
      <c r="M18" s="383"/>
      <c r="N18" s="384"/>
      <c r="O18" s="384"/>
      <c r="P18" s="385"/>
      <c r="Q18" s="383"/>
      <c r="R18" s="384"/>
      <c r="S18" s="384"/>
      <c r="T18" s="385"/>
      <c r="U18" s="383"/>
      <c r="V18" s="384"/>
      <c r="W18" s="384">
        <v>1</v>
      </c>
      <c r="X18" s="385"/>
      <c r="Y18" s="386"/>
      <c r="Z18" s="384"/>
      <c r="AA18" s="384"/>
      <c r="AB18" s="384"/>
      <c r="AC18" s="383"/>
      <c r="AD18" s="384"/>
      <c r="AE18" s="384"/>
      <c r="AF18" s="387"/>
      <c r="AG18" s="383"/>
      <c r="AH18" s="384"/>
      <c r="AI18" s="384"/>
      <c r="AJ18" s="387"/>
      <c r="AK18" s="383"/>
      <c r="AL18" s="384"/>
      <c r="AM18" s="384"/>
      <c r="AN18" s="385"/>
      <c r="AO18" s="386"/>
      <c r="AP18" s="384"/>
      <c r="AQ18" s="384"/>
      <c r="AR18" s="384"/>
      <c r="AS18" s="383"/>
      <c r="AT18" s="384"/>
      <c r="AU18" s="384"/>
      <c r="AV18" s="387"/>
      <c r="AW18" s="388"/>
      <c r="AX18" s="383"/>
      <c r="AY18" s="384"/>
      <c r="AZ18" s="384"/>
      <c r="BA18" s="385"/>
      <c r="BB18" s="383"/>
      <c r="BC18" s="384"/>
      <c r="BD18" s="384"/>
      <c r="BE18" s="385"/>
      <c r="BF18" s="386"/>
      <c r="BG18" s="384"/>
      <c r="BH18" s="384"/>
      <c r="BI18" s="384"/>
      <c r="BJ18" s="383"/>
      <c r="BK18" s="384"/>
      <c r="BL18" s="384"/>
      <c r="BM18" s="387"/>
      <c r="BN18" s="383"/>
      <c r="BO18" s="384"/>
      <c r="BP18" s="384"/>
      <c r="BQ18" s="385"/>
      <c r="BR18" s="383"/>
      <c r="BS18" s="384"/>
      <c r="BT18" s="384"/>
      <c r="BU18" s="387"/>
      <c r="BV18" s="383"/>
      <c r="BW18" s="384"/>
      <c r="BX18" s="384"/>
      <c r="BY18" s="385"/>
      <c r="BZ18" s="216">
        <f t="shared" si="0"/>
        <v>1</v>
      </c>
      <c r="CA18" s="216" t="str">
        <f t="shared" si="1"/>
        <v/>
      </c>
    </row>
    <row r="19" spans="3:79" ht="12">
      <c r="C19" s="217">
        <v>15</v>
      </c>
      <c r="D19" s="35" t="s">
        <v>1281</v>
      </c>
      <c r="E19" s="383"/>
      <c r="F19" s="384"/>
      <c r="G19" s="384"/>
      <c r="H19" s="385"/>
      <c r="I19" s="386"/>
      <c r="J19" s="384"/>
      <c r="K19" s="384"/>
      <c r="L19" s="384"/>
      <c r="M19" s="383"/>
      <c r="N19" s="384"/>
      <c r="O19" s="384"/>
      <c r="P19" s="385"/>
      <c r="Q19" s="383"/>
      <c r="R19" s="384"/>
      <c r="S19" s="384"/>
      <c r="T19" s="385"/>
      <c r="U19" s="383"/>
      <c r="V19" s="384"/>
      <c r="W19" s="384"/>
      <c r="X19" s="385">
        <v>1</v>
      </c>
      <c r="Y19" s="386"/>
      <c r="Z19" s="384"/>
      <c r="AA19" s="384"/>
      <c r="AB19" s="384"/>
      <c r="AC19" s="383"/>
      <c r="AD19" s="384"/>
      <c r="AE19" s="384"/>
      <c r="AF19" s="387"/>
      <c r="AG19" s="383"/>
      <c r="AH19" s="384"/>
      <c r="AI19" s="384"/>
      <c r="AJ19" s="387"/>
      <c r="AK19" s="383"/>
      <c r="AL19" s="384"/>
      <c r="AM19" s="384"/>
      <c r="AN19" s="385"/>
      <c r="AO19" s="386"/>
      <c r="AP19" s="384"/>
      <c r="AQ19" s="384"/>
      <c r="AR19" s="384"/>
      <c r="AS19" s="383"/>
      <c r="AT19" s="384"/>
      <c r="AU19" s="384"/>
      <c r="AV19" s="387"/>
      <c r="AW19" s="388"/>
      <c r="AX19" s="383"/>
      <c r="AY19" s="384"/>
      <c r="AZ19" s="384"/>
      <c r="BA19" s="385"/>
      <c r="BB19" s="383"/>
      <c r="BC19" s="384"/>
      <c r="BD19" s="384"/>
      <c r="BE19" s="385"/>
      <c r="BF19" s="386"/>
      <c r="BG19" s="384"/>
      <c r="BH19" s="384"/>
      <c r="BI19" s="384"/>
      <c r="BJ19" s="383"/>
      <c r="BK19" s="384"/>
      <c r="BL19" s="384"/>
      <c r="BM19" s="387"/>
      <c r="BN19" s="383"/>
      <c r="BO19" s="384"/>
      <c r="BP19" s="384"/>
      <c r="BQ19" s="385"/>
      <c r="BR19" s="383"/>
      <c r="BS19" s="384"/>
      <c r="BT19" s="384"/>
      <c r="BU19" s="387"/>
      <c r="BV19" s="383"/>
      <c r="BW19" s="384"/>
      <c r="BX19" s="384"/>
      <c r="BY19" s="385"/>
      <c r="BZ19" s="216">
        <f t="shared" si="0"/>
        <v>1</v>
      </c>
    </row>
    <row r="20" spans="3:79" ht="12">
      <c r="C20" s="217">
        <v>16</v>
      </c>
      <c r="D20" s="35" t="s">
        <v>1282</v>
      </c>
      <c r="E20" s="383"/>
      <c r="F20" s="384"/>
      <c r="G20" s="384"/>
      <c r="H20" s="385"/>
      <c r="I20" s="386"/>
      <c r="J20" s="384"/>
      <c r="K20" s="384"/>
      <c r="L20" s="384"/>
      <c r="M20" s="383"/>
      <c r="N20" s="384"/>
      <c r="O20" s="384"/>
      <c r="P20" s="385"/>
      <c r="Q20" s="383"/>
      <c r="R20" s="384"/>
      <c r="S20" s="384"/>
      <c r="T20" s="385"/>
      <c r="U20" s="383"/>
      <c r="V20" s="384"/>
      <c r="W20" s="384"/>
      <c r="X20" s="385"/>
      <c r="Y20" s="386"/>
      <c r="Z20" s="384"/>
      <c r="AA20" s="384"/>
      <c r="AB20" s="384"/>
      <c r="AC20" s="383"/>
      <c r="AD20" s="384"/>
      <c r="AE20" s="384"/>
      <c r="AF20" s="387"/>
      <c r="AG20" s="383"/>
      <c r="AH20" s="384"/>
      <c r="AI20" s="384"/>
      <c r="AJ20" s="387">
        <v>1</v>
      </c>
      <c r="AK20" s="383"/>
      <c r="AL20" s="384"/>
      <c r="AM20" s="384"/>
      <c r="AN20" s="385"/>
      <c r="AO20" s="386"/>
      <c r="AP20" s="384"/>
      <c r="AQ20" s="384"/>
      <c r="AR20" s="384"/>
      <c r="AS20" s="383"/>
      <c r="AT20" s="384"/>
      <c r="AU20" s="384"/>
      <c r="AV20" s="387"/>
      <c r="AW20" s="388"/>
      <c r="AX20" s="383"/>
      <c r="AY20" s="384"/>
      <c r="AZ20" s="384"/>
      <c r="BA20" s="385"/>
      <c r="BB20" s="383"/>
      <c r="BC20" s="384"/>
      <c r="BD20" s="384"/>
      <c r="BE20" s="385"/>
      <c r="BF20" s="386"/>
      <c r="BG20" s="384"/>
      <c r="BH20" s="384"/>
      <c r="BI20" s="384"/>
      <c r="BJ20" s="383"/>
      <c r="BK20" s="384"/>
      <c r="BL20" s="384"/>
      <c r="BM20" s="387"/>
      <c r="BN20" s="383"/>
      <c r="BO20" s="384"/>
      <c r="BP20" s="384"/>
      <c r="BQ20" s="385"/>
      <c r="BR20" s="383"/>
      <c r="BS20" s="384"/>
      <c r="BT20" s="384"/>
      <c r="BU20" s="387"/>
      <c r="BV20" s="383"/>
      <c r="BW20" s="384"/>
      <c r="BX20" s="384"/>
      <c r="BY20" s="385"/>
      <c r="BZ20" s="216">
        <f t="shared" si="0"/>
        <v>1</v>
      </c>
      <c r="CA20" s="216" t="str">
        <f t="shared" si="1"/>
        <v/>
      </c>
    </row>
    <row r="21" spans="3:79" ht="12">
      <c r="C21" s="217">
        <v>17</v>
      </c>
      <c r="D21" s="35" t="s">
        <v>1283</v>
      </c>
      <c r="E21" s="383"/>
      <c r="F21" s="384"/>
      <c r="G21" s="384"/>
      <c r="H21" s="385"/>
      <c r="I21" s="386"/>
      <c r="J21" s="384"/>
      <c r="K21" s="384"/>
      <c r="L21" s="384"/>
      <c r="M21" s="383"/>
      <c r="N21" s="384"/>
      <c r="O21" s="384"/>
      <c r="P21" s="385"/>
      <c r="Q21" s="383"/>
      <c r="R21" s="384"/>
      <c r="S21" s="384"/>
      <c r="T21" s="385"/>
      <c r="U21" s="383"/>
      <c r="V21" s="384"/>
      <c r="W21" s="384"/>
      <c r="X21" s="385"/>
      <c r="Y21" s="386"/>
      <c r="Z21" s="384"/>
      <c r="AA21" s="384"/>
      <c r="AB21" s="384"/>
      <c r="AC21" s="383"/>
      <c r="AD21" s="384"/>
      <c r="AE21" s="384"/>
      <c r="AF21" s="387"/>
      <c r="AG21" s="383"/>
      <c r="AH21" s="384"/>
      <c r="AI21" s="384"/>
      <c r="AJ21" s="387"/>
      <c r="AK21" s="383"/>
      <c r="AL21" s="384"/>
      <c r="AM21" s="384"/>
      <c r="AN21" s="385"/>
      <c r="AO21" s="386"/>
      <c r="AP21" s="384"/>
      <c r="AQ21" s="384"/>
      <c r="AR21" s="384"/>
      <c r="AS21" s="383"/>
      <c r="AT21" s="384"/>
      <c r="AU21" s="384"/>
      <c r="AV21" s="387"/>
      <c r="AW21" s="388"/>
      <c r="AX21" s="383"/>
      <c r="AY21" s="384"/>
      <c r="AZ21" s="384"/>
      <c r="BA21" s="385"/>
      <c r="BB21" s="383"/>
      <c r="BC21" s="384"/>
      <c r="BD21" s="384"/>
      <c r="BE21" s="385"/>
      <c r="BF21" s="386"/>
      <c r="BG21" s="384"/>
      <c r="BH21" s="384"/>
      <c r="BI21" s="384"/>
      <c r="BJ21" s="383"/>
      <c r="BK21" s="384"/>
      <c r="BL21" s="384"/>
      <c r="BM21" s="387"/>
      <c r="BN21" s="383"/>
      <c r="BO21" s="384"/>
      <c r="BP21" s="384"/>
      <c r="BQ21" s="385"/>
      <c r="BR21" s="383"/>
      <c r="BS21" s="384"/>
      <c r="BT21" s="384"/>
      <c r="BU21" s="387"/>
      <c r="BV21" s="383"/>
      <c r="BW21" s="384"/>
      <c r="BX21" s="384"/>
      <c r="BY21" s="385"/>
      <c r="BZ21" s="216">
        <f t="shared" si="0"/>
        <v>0</v>
      </c>
    </row>
    <row r="22" spans="3:79" ht="12">
      <c r="C22" s="217">
        <v>18</v>
      </c>
      <c r="D22" s="35" t="s">
        <v>1284</v>
      </c>
      <c r="E22" s="383"/>
      <c r="F22" s="384"/>
      <c r="G22" s="384"/>
      <c r="H22" s="385"/>
      <c r="I22" s="386"/>
      <c r="J22" s="384"/>
      <c r="K22" s="384"/>
      <c r="L22" s="384"/>
      <c r="M22" s="383"/>
      <c r="N22" s="384"/>
      <c r="O22" s="384"/>
      <c r="P22" s="385"/>
      <c r="Q22" s="383"/>
      <c r="R22" s="384"/>
      <c r="S22" s="384"/>
      <c r="T22" s="385"/>
      <c r="U22" s="383"/>
      <c r="V22" s="384"/>
      <c r="W22" s="384"/>
      <c r="X22" s="385"/>
      <c r="Y22" s="386"/>
      <c r="Z22" s="384"/>
      <c r="AA22" s="384"/>
      <c r="AB22" s="384"/>
      <c r="AC22" s="383"/>
      <c r="AD22" s="384"/>
      <c r="AE22" s="384"/>
      <c r="AF22" s="387"/>
      <c r="AG22" s="383"/>
      <c r="AH22" s="384"/>
      <c r="AI22" s="384"/>
      <c r="AJ22" s="387">
        <v>1</v>
      </c>
      <c r="AK22" s="383"/>
      <c r="AL22" s="384"/>
      <c r="AM22" s="384"/>
      <c r="AN22" s="385"/>
      <c r="AO22" s="386"/>
      <c r="AP22" s="384"/>
      <c r="AQ22" s="384"/>
      <c r="AR22" s="384"/>
      <c r="AS22" s="383"/>
      <c r="AT22" s="384"/>
      <c r="AU22" s="384"/>
      <c r="AV22" s="387"/>
      <c r="AW22" s="388"/>
      <c r="AX22" s="383"/>
      <c r="AY22" s="384"/>
      <c r="AZ22" s="384"/>
      <c r="BA22" s="385"/>
      <c r="BB22" s="383"/>
      <c r="BC22" s="384"/>
      <c r="BD22" s="384"/>
      <c r="BE22" s="385"/>
      <c r="BF22" s="386"/>
      <c r="BG22" s="384"/>
      <c r="BH22" s="384"/>
      <c r="BI22" s="384"/>
      <c r="BJ22" s="383"/>
      <c r="BK22" s="384"/>
      <c r="BL22" s="384"/>
      <c r="BM22" s="387"/>
      <c r="BN22" s="383"/>
      <c r="BO22" s="384"/>
      <c r="BP22" s="384"/>
      <c r="BQ22" s="385"/>
      <c r="BR22" s="383"/>
      <c r="BS22" s="384"/>
      <c r="BT22" s="384"/>
      <c r="BU22" s="387"/>
      <c r="BV22" s="383"/>
      <c r="BW22" s="384"/>
      <c r="BX22" s="384"/>
      <c r="BY22" s="385"/>
      <c r="BZ22" s="216">
        <f t="shared" si="0"/>
        <v>1</v>
      </c>
    </row>
    <row r="23" spans="3:79" ht="12">
      <c r="C23" s="217">
        <v>19</v>
      </c>
      <c r="D23" s="35" t="s">
        <v>1285</v>
      </c>
      <c r="E23" s="383"/>
      <c r="F23" s="384"/>
      <c r="G23" s="384"/>
      <c r="H23" s="385"/>
      <c r="I23" s="386"/>
      <c r="J23" s="384"/>
      <c r="K23" s="384"/>
      <c r="L23" s="384"/>
      <c r="M23" s="383"/>
      <c r="N23" s="384"/>
      <c r="O23" s="384"/>
      <c r="P23" s="385"/>
      <c r="Q23" s="383"/>
      <c r="R23" s="384"/>
      <c r="S23" s="384"/>
      <c r="T23" s="385"/>
      <c r="U23" s="383"/>
      <c r="V23" s="384"/>
      <c r="W23" s="384"/>
      <c r="X23" s="385"/>
      <c r="Y23" s="386"/>
      <c r="Z23" s="384"/>
      <c r="AA23" s="384"/>
      <c r="AB23" s="384"/>
      <c r="AC23" s="383"/>
      <c r="AD23" s="384"/>
      <c r="AE23" s="384"/>
      <c r="AF23" s="387"/>
      <c r="AG23" s="383"/>
      <c r="AH23" s="384"/>
      <c r="AI23" s="384"/>
      <c r="AJ23" s="387"/>
      <c r="AK23" s="383"/>
      <c r="AL23" s="384"/>
      <c r="AM23" s="384"/>
      <c r="AN23" s="385"/>
      <c r="AO23" s="386"/>
      <c r="AP23" s="384"/>
      <c r="AQ23" s="384"/>
      <c r="AR23" s="384"/>
      <c r="AS23" s="383"/>
      <c r="AT23" s="384"/>
      <c r="AU23" s="384"/>
      <c r="AV23" s="387"/>
      <c r="AW23" s="388"/>
      <c r="AX23" s="383"/>
      <c r="AY23" s="384"/>
      <c r="AZ23" s="384"/>
      <c r="BA23" s="385"/>
      <c r="BB23" s="383"/>
      <c r="BC23" s="384"/>
      <c r="BD23" s="384"/>
      <c r="BE23" s="385"/>
      <c r="BF23" s="386"/>
      <c r="BG23" s="384"/>
      <c r="BH23" s="384"/>
      <c r="BI23" s="384"/>
      <c r="BJ23" s="383"/>
      <c r="BK23" s="384"/>
      <c r="BL23" s="384"/>
      <c r="BM23" s="387"/>
      <c r="BN23" s="383"/>
      <c r="BO23" s="384"/>
      <c r="BP23" s="384"/>
      <c r="BQ23" s="385"/>
      <c r="BR23" s="383"/>
      <c r="BS23" s="384"/>
      <c r="BT23" s="384"/>
      <c r="BU23" s="387"/>
      <c r="BV23" s="383"/>
      <c r="BW23" s="384"/>
      <c r="BX23" s="384"/>
      <c r="BY23" s="385"/>
      <c r="BZ23" s="216">
        <f t="shared" si="0"/>
        <v>0</v>
      </c>
      <c r="CA23" s="216" t="str">
        <f t="shared" si="1"/>
        <v>NO SE ENCONTRO</v>
      </c>
    </row>
    <row r="24" spans="3:79" ht="12">
      <c r="C24" s="217">
        <v>20</v>
      </c>
      <c r="D24" s="35" t="s">
        <v>1286</v>
      </c>
      <c r="E24" s="383"/>
      <c r="F24" s="384"/>
      <c r="G24" s="384"/>
      <c r="H24" s="385"/>
      <c r="I24" s="386"/>
      <c r="J24" s="384"/>
      <c r="K24" s="384"/>
      <c r="L24" s="384"/>
      <c r="M24" s="383"/>
      <c r="N24" s="384"/>
      <c r="O24" s="384"/>
      <c r="P24" s="385"/>
      <c r="Q24" s="383"/>
      <c r="R24" s="384"/>
      <c r="S24" s="384"/>
      <c r="T24" s="385">
        <v>1</v>
      </c>
      <c r="U24" s="383"/>
      <c r="V24" s="384"/>
      <c r="W24" s="384"/>
      <c r="X24" s="385"/>
      <c r="Y24" s="386"/>
      <c r="Z24" s="384"/>
      <c r="AA24" s="384"/>
      <c r="AB24" s="384"/>
      <c r="AC24" s="383"/>
      <c r="AD24" s="384"/>
      <c r="AE24" s="384"/>
      <c r="AF24" s="387"/>
      <c r="AG24" s="383"/>
      <c r="AH24" s="384"/>
      <c r="AI24" s="384"/>
      <c r="AJ24" s="387"/>
      <c r="AK24" s="383"/>
      <c r="AL24" s="384"/>
      <c r="AM24" s="384"/>
      <c r="AN24" s="385"/>
      <c r="AO24" s="386"/>
      <c r="AP24" s="384"/>
      <c r="AQ24" s="384"/>
      <c r="AR24" s="384"/>
      <c r="AS24" s="383"/>
      <c r="AT24" s="384"/>
      <c r="AU24" s="384"/>
      <c r="AV24" s="387"/>
      <c r="AW24" s="388"/>
      <c r="AX24" s="383"/>
      <c r="AY24" s="384"/>
      <c r="AZ24" s="384"/>
      <c r="BA24" s="385"/>
      <c r="BB24" s="383"/>
      <c r="BC24" s="384"/>
      <c r="BD24" s="384"/>
      <c r="BE24" s="385"/>
      <c r="BF24" s="386"/>
      <c r="BG24" s="384"/>
      <c r="BH24" s="384"/>
      <c r="BI24" s="384"/>
      <c r="BJ24" s="383"/>
      <c r="BK24" s="384"/>
      <c r="BL24" s="384"/>
      <c r="BM24" s="387"/>
      <c r="BN24" s="383"/>
      <c r="BO24" s="384"/>
      <c r="BP24" s="384"/>
      <c r="BQ24" s="385"/>
      <c r="BR24" s="383"/>
      <c r="BS24" s="384"/>
      <c r="BT24" s="384"/>
      <c r="BU24" s="387"/>
      <c r="BV24" s="383"/>
      <c r="BW24" s="384"/>
      <c r="BX24" s="384"/>
      <c r="BY24" s="385"/>
      <c r="BZ24" s="216">
        <f t="shared" si="0"/>
        <v>1</v>
      </c>
    </row>
    <row r="25" spans="3:79" ht="12">
      <c r="C25" s="217">
        <v>21</v>
      </c>
      <c r="D25" s="35" t="s">
        <v>1287</v>
      </c>
      <c r="E25" s="383"/>
      <c r="F25" s="384"/>
      <c r="G25" s="384"/>
      <c r="H25" s="385"/>
      <c r="I25" s="386"/>
      <c r="J25" s="384"/>
      <c r="K25" s="384"/>
      <c r="L25" s="384"/>
      <c r="M25" s="383"/>
      <c r="N25" s="384"/>
      <c r="O25" s="384"/>
      <c r="P25" s="385"/>
      <c r="Q25" s="383"/>
      <c r="R25" s="384"/>
      <c r="S25" s="384"/>
      <c r="T25" s="385">
        <v>1</v>
      </c>
      <c r="U25" s="383"/>
      <c r="V25" s="384"/>
      <c r="W25" s="384"/>
      <c r="X25" s="385"/>
      <c r="Y25" s="386"/>
      <c r="Z25" s="384"/>
      <c r="AA25" s="384"/>
      <c r="AB25" s="384"/>
      <c r="AC25" s="383"/>
      <c r="AD25" s="384"/>
      <c r="AE25" s="384"/>
      <c r="AF25" s="387"/>
      <c r="AG25" s="383"/>
      <c r="AH25" s="384"/>
      <c r="AI25" s="384"/>
      <c r="AJ25" s="387"/>
      <c r="AK25" s="383"/>
      <c r="AL25" s="384"/>
      <c r="AM25" s="384"/>
      <c r="AN25" s="385"/>
      <c r="AO25" s="386"/>
      <c r="AP25" s="384"/>
      <c r="AQ25" s="384"/>
      <c r="AR25" s="384"/>
      <c r="AS25" s="383"/>
      <c r="AT25" s="384"/>
      <c r="AU25" s="384"/>
      <c r="AV25" s="387"/>
      <c r="AW25" s="388"/>
      <c r="AX25" s="383"/>
      <c r="AY25" s="384"/>
      <c r="AZ25" s="384"/>
      <c r="BA25" s="385"/>
      <c r="BB25" s="383"/>
      <c r="BC25" s="384"/>
      <c r="BD25" s="384"/>
      <c r="BE25" s="385"/>
      <c r="BF25" s="386"/>
      <c r="BG25" s="384"/>
      <c r="BH25" s="384"/>
      <c r="BI25" s="384"/>
      <c r="BJ25" s="383"/>
      <c r="BK25" s="384"/>
      <c r="BL25" s="384"/>
      <c r="BM25" s="387"/>
      <c r="BN25" s="383"/>
      <c r="BO25" s="384"/>
      <c r="BP25" s="384"/>
      <c r="BQ25" s="385"/>
      <c r="BR25" s="383"/>
      <c r="BS25" s="384"/>
      <c r="BT25" s="384"/>
      <c r="BU25" s="387"/>
      <c r="BV25" s="383"/>
      <c r="BW25" s="384"/>
      <c r="BX25" s="384"/>
      <c r="BY25" s="385"/>
      <c r="BZ25" s="216">
        <f t="shared" si="0"/>
        <v>1</v>
      </c>
      <c r="CA25" s="216" t="str">
        <f t="shared" si="1"/>
        <v/>
      </c>
    </row>
    <row r="26" spans="3:79" ht="12">
      <c r="C26" s="217">
        <v>22</v>
      </c>
      <c r="D26" s="35" t="s">
        <v>1288</v>
      </c>
      <c r="E26" s="383"/>
      <c r="F26" s="384"/>
      <c r="G26" s="384"/>
      <c r="H26" s="385"/>
      <c r="I26" s="386"/>
      <c r="J26" s="384"/>
      <c r="K26" s="384"/>
      <c r="L26" s="384"/>
      <c r="M26" s="383"/>
      <c r="N26" s="384"/>
      <c r="O26" s="384"/>
      <c r="P26" s="385"/>
      <c r="Q26" s="383"/>
      <c r="R26" s="384"/>
      <c r="S26" s="384">
        <v>1</v>
      </c>
      <c r="T26" s="385"/>
      <c r="U26" s="383"/>
      <c r="V26" s="384"/>
      <c r="W26" s="384"/>
      <c r="X26" s="385"/>
      <c r="Y26" s="386"/>
      <c r="Z26" s="384"/>
      <c r="AA26" s="384"/>
      <c r="AB26" s="384"/>
      <c r="AC26" s="383"/>
      <c r="AD26" s="384"/>
      <c r="AE26" s="384"/>
      <c r="AF26" s="387"/>
      <c r="AG26" s="383"/>
      <c r="AH26" s="384"/>
      <c r="AI26" s="384"/>
      <c r="AJ26" s="387"/>
      <c r="AK26" s="383"/>
      <c r="AL26" s="384"/>
      <c r="AM26" s="384"/>
      <c r="AN26" s="385"/>
      <c r="AO26" s="386"/>
      <c r="AP26" s="384"/>
      <c r="AQ26" s="384"/>
      <c r="AR26" s="384"/>
      <c r="AS26" s="383"/>
      <c r="AT26" s="384"/>
      <c r="AU26" s="384"/>
      <c r="AV26" s="387"/>
      <c r="AW26" s="388"/>
      <c r="AX26" s="383"/>
      <c r="AY26" s="384"/>
      <c r="AZ26" s="384"/>
      <c r="BA26" s="385"/>
      <c r="BB26" s="383"/>
      <c r="BC26" s="384"/>
      <c r="BD26" s="384"/>
      <c r="BE26" s="385"/>
      <c r="BF26" s="386"/>
      <c r="BG26" s="384"/>
      <c r="BH26" s="384"/>
      <c r="BI26" s="384"/>
      <c r="BJ26" s="383"/>
      <c r="BK26" s="384"/>
      <c r="BL26" s="384"/>
      <c r="BM26" s="387"/>
      <c r="BN26" s="383"/>
      <c r="BO26" s="384"/>
      <c r="BP26" s="384"/>
      <c r="BQ26" s="385"/>
      <c r="BR26" s="383"/>
      <c r="BS26" s="384"/>
      <c r="BT26" s="384"/>
      <c r="BU26" s="387"/>
      <c r="BV26" s="383"/>
      <c r="BW26" s="384"/>
      <c r="BX26" s="384"/>
      <c r="BY26" s="385"/>
      <c r="BZ26" s="216">
        <f t="shared" si="0"/>
        <v>1</v>
      </c>
    </row>
    <row r="27" spans="3:79" ht="12">
      <c r="C27" s="217">
        <v>23</v>
      </c>
      <c r="D27" s="35" t="s">
        <v>1289</v>
      </c>
      <c r="E27" s="383"/>
      <c r="F27" s="384"/>
      <c r="G27" s="384"/>
      <c r="H27" s="385"/>
      <c r="I27" s="386"/>
      <c r="J27" s="384"/>
      <c r="K27" s="384"/>
      <c r="L27" s="384"/>
      <c r="M27" s="383"/>
      <c r="N27" s="384"/>
      <c r="O27" s="384"/>
      <c r="P27" s="385"/>
      <c r="Q27" s="383"/>
      <c r="R27" s="384"/>
      <c r="S27" s="384"/>
      <c r="T27" s="385">
        <v>1</v>
      </c>
      <c r="U27" s="383"/>
      <c r="V27" s="384"/>
      <c r="W27" s="384"/>
      <c r="X27" s="385"/>
      <c r="Y27" s="386"/>
      <c r="Z27" s="384"/>
      <c r="AA27" s="384"/>
      <c r="AB27" s="384"/>
      <c r="AC27" s="383"/>
      <c r="AD27" s="384"/>
      <c r="AE27" s="384"/>
      <c r="AF27" s="387"/>
      <c r="AG27" s="383"/>
      <c r="AH27" s="384"/>
      <c r="AI27" s="384"/>
      <c r="AJ27" s="387"/>
      <c r="AK27" s="383"/>
      <c r="AL27" s="384"/>
      <c r="AM27" s="384"/>
      <c r="AN27" s="385"/>
      <c r="AO27" s="386"/>
      <c r="AP27" s="384"/>
      <c r="AQ27" s="384"/>
      <c r="AR27" s="384"/>
      <c r="AS27" s="383"/>
      <c r="AT27" s="384"/>
      <c r="AU27" s="384"/>
      <c r="AV27" s="387"/>
      <c r="AW27" s="388"/>
      <c r="AX27" s="383"/>
      <c r="AY27" s="384"/>
      <c r="AZ27" s="384"/>
      <c r="BA27" s="385"/>
      <c r="BB27" s="383"/>
      <c r="BC27" s="384"/>
      <c r="BD27" s="384"/>
      <c r="BE27" s="385"/>
      <c r="BF27" s="386"/>
      <c r="BG27" s="384"/>
      <c r="BH27" s="384"/>
      <c r="BI27" s="384"/>
      <c r="BJ27" s="383"/>
      <c r="BK27" s="384"/>
      <c r="BL27" s="384"/>
      <c r="BM27" s="387"/>
      <c r="BN27" s="383"/>
      <c r="BO27" s="384"/>
      <c r="BP27" s="384"/>
      <c r="BQ27" s="385"/>
      <c r="BR27" s="383"/>
      <c r="BS27" s="384"/>
      <c r="BT27" s="384"/>
      <c r="BU27" s="387"/>
      <c r="BV27" s="383"/>
      <c r="BW27" s="384"/>
      <c r="BX27" s="384"/>
      <c r="BY27" s="385"/>
      <c r="BZ27" s="216">
        <f t="shared" si="0"/>
        <v>1</v>
      </c>
      <c r="CA27" s="216" t="str">
        <f t="shared" si="1"/>
        <v/>
      </c>
    </row>
    <row r="28" spans="3:79" ht="12">
      <c r="C28" s="217">
        <v>24</v>
      </c>
      <c r="D28" s="35" t="s">
        <v>1290</v>
      </c>
      <c r="E28" s="383"/>
      <c r="F28" s="384"/>
      <c r="G28" s="384"/>
      <c r="H28" s="385"/>
      <c r="I28" s="386"/>
      <c r="J28" s="384"/>
      <c r="K28" s="384"/>
      <c r="L28" s="384"/>
      <c r="M28" s="383"/>
      <c r="N28" s="384"/>
      <c r="O28" s="384"/>
      <c r="P28" s="385"/>
      <c r="Q28" s="383"/>
      <c r="R28" s="384"/>
      <c r="S28" s="384">
        <v>1</v>
      </c>
      <c r="T28" s="385"/>
      <c r="U28" s="383"/>
      <c r="V28" s="384"/>
      <c r="W28" s="384"/>
      <c r="X28" s="385"/>
      <c r="Y28" s="386"/>
      <c r="Z28" s="384"/>
      <c r="AA28" s="384"/>
      <c r="AB28" s="384"/>
      <c r="AC28" s="383"/>
      <c r="AD28" s="384"/>
      <c r="AE28" s="384"/>
      <c r="AF28" s="387"/>
      <c r="AG28" s="383"/>
      <c r="AH28" s="384"/>
      <c r="AI28" s="384"/>
      <c r="AJ28" s="387"/>
      <c r="AK28" s="383"/>
      <c r="AL28" s="384"/>
      <c r="AM28" s="384"/>
      <c r="AN28" s="385"/>
      <c r="AO28" s="386"/>
      <c r="AP28" s="384"/>
      <c r="AQ28" s="384"/>
      <c r="AR28" s="384"/>
      <c r="AS28" s="383"/>
      <c r="AT28" s="384"/>
      <c r="AU28" s="384"/>
      <c r="AV28" s="387"/>
      <c r="AW28" s="388"/>
      <c r="AX28" s="383"/>
      <c r="AY28" s="384"/>
      <c r="AZ28" s="384"/>
      <c r="BA28" s="385"/>
      <c r="BB28" s="383"/>
      <c r="BC28" s="384"/>
      <c r="BD28" s="384"/>
      <c r="BE28" s="385"/>
      <c r="BF28" s="386"/>
      <c r="BG28" s="384"/>
      <c r="BH28" s="384"/>
      <c r="BI28" s="384"/>
      <c r="BJ28" s="383"/>
      <c r="BK28" s="384"/>
      <c r="BL28" s="384"/>
      <c r="BM28" s="387"/>
      <c r="BN28" s="383"/>
      <c r="BO28" s="384"/>
      <c r="BP28" s="384"/>
      <c r="BQ28" s="385"/>
      <c r="BR28" s="383"/>
      <c r="BS28" s="384"/>
      <c r="BT28" s="384"/>
      <c r="BU28" s="387"/>
      <c r="BV28" s="383"/>
      <c r="BW28" s="384"/>
      <c r="BX28" s="384"/>
      <c r="BY28" s="385"/>
      <c r="BZ28" s="216">
        <f t="shared" si="0"/>
        <v>1</v>
      </c>
      <c r="CA28" s="216" t="str">
        <f t="shared" si="1"/>
        <v/>
      </c>
    </row>
    <row r="29" spans="3:79" ht="12">
      <c r="C29" s="217">
        <v>25</v>
      </c>
      <c r="D29" s="35" t="s">
        <v>1291</v>
      </c>
      <c r="E29" s="383"/>
      <c r="F29" s="384"/>
      <c r="G29" s="384"/>
      <c r="H29" s="385"/>
      <c r="I29" s="386"/>
      <c r="J29" s="384"/>
      <c r="K29" s="384"/>
      <c r="L29" s="384"/>
      <c r="M29" s="383"/>
      <c r="N29" s="384"/>
      <c r="O29" s="384"/>
      <c r="P29" s="385"/>
      <c r="Q29" s="383"/>
      <c r="R29" s="384"/>
      <c r="S29" s="384"/>
      <c r="T29" s="385"/>
      <c r="U29" s="383"/>
      <c r="V29" s="384"/>
      <c r="W29" s="384"/>
      <c r="X29" s="385"/>
      <c r="Y29" s="386"/>
      <c r="Z29" s="384"/>
      <c r="AA29" s="384"/>
      <c r="AB29" s="384"/>
      <c r="AC29" s="383"/>
      <c r="AD29" s="384"/>
      <c r="AE29" s="384"/>
      <c r="AF29" s="387"/>
      <c r="AG29" s="383"/>
      <c r="AH29" s="384"/>
      <c r="AI29" s="384"/>
      <c r="AJ29" s="387"/>
      <c r="AK29" s="383"/>
      <c r="AL29" s="384"/>
      <c r="AM29" s="384"/>
      <c r="AN29" s="385">
        <v>1</v>
      </c>
      <c r="AO29" s="386"/>
      <c r="AP29" s="384"/>
      <c r="AQ29" s="384"/>
      <c r="AR29" s="384"/>
      <c r="AS29" s="383"/>
      <c r="AT29" s="384"/>
      <c r="AU29" s="384"/>
      <c r="AV29" s="387"/>
      <c r="AW29" s="388"/>
      <c r="AX29" s="383"/>
      <c r="AY29" s="384"/>
      <c r="AZ29" s="384"/>
      <c r="BA29" s="385"/>
      <c r="BB29" s="383"/>
      <c r="BC29" s="384"/>
      <c r="BD29" s="384"/>
      <c r="BE29" s="385"/>
      <c r="BF29" s="386"/>
      <c r="BG29" s="384"/>
      <c r="BH29" s="384"/>
      <c r="BI29" s="384"/>
      <c r="BJ29" s="383"/>
      <c r="BK29" s="384"/>
      <c r="BL29" s="384"/>
      <c r="BM29" s="387"/>
      <c r="BN29" s="383"/>
      <c r="BO29" s="384"/>
      <c r="BP29" s="384"/>
      <c r="BQ29" s="385"/>
      <c r="BR29" s="383"/>
      <c r="BS29" s="384"/>
      <c r="BT29" s="384"/>
      <c r="BU29" s="387"/>
      <c r="BV29" s="383"/>
      <c r="BW29" s="384"/>
      <c r="BX29" s="384"/>
      <c r="BY29" s="385"/>
      <c r="BZ29" s="216">
        <f t="shared" si="0"/>
        <v>1</v>
      </c>
    </row>
    <row r="30" spans="3:79" ht="12">
      <c r="C30" s="217">
        <v>26</v>
      </c>
      <c r="D30" s="35" t="s">
        <v>1292</v>
      </c>
      <c r="E30" s="383"/>
      <c r="F30" s="384"/>
      <c r="G30" s="384"/>
      <c r="H30" s="385"/>
      <c r="I30" s="386"/>
      <c r="J30" s="384"/>
      <c r="K30" s="384"/>
      <c r="L30" s="384"/>
      <c r="M30" s="383"/>
      <c r="N30" s="384"/>
      <c r="O30" s="384"/>
      <c r="P30" s="385"/>
      <c r="Q30" s="383"/>
      <c r="R30" s="384"/>
      <c r="S30" s="384"/>
      <c r="T30" s="385"/>
      <c r="U30" s="383"/>
      <c r="V30" s="384"/>
      <c r="W30" s="384"/>
      <c r="X30" s="385"/>
      <c r="Y30" s="386"/>
      <c r="Z30" s="384"/>
      <c r="AA30" s="384"/>
      <c r="AB30" s="384"/>
      <c r="AC30" s="383"/>
      <c r="AD30" s="384"/>
      <c r="AE30" s="384"/>
      <c r="AF30" s="387"/>
      <c r="AG30" s="383"/>
      <c r="AH30" s="384"/>
      <c r="AI30" s="384"/>
      <c r="AJ30" s="387"/>
      <c r="AK30" s="383"/>
      <c r="AL30" s="384"/>
      <c r="AM30" s="384">
        <v>1</v>
      </c>
      <c r="AN30" s="385"/>
      <c r="AO30" s="386"/>
      <c r="AP30" s="384"/>
      <c r="AQ30" s="384"/>
      <c r="AR30" s="384"/>
      <c r="AS30" s="383"/>
      <c r="AT30" s="384"/>
      <c r="AU30" s="384"/>
      <c r="AV30" s="387"/>
      <c r="AW30" s="388"/>
      <c r="AX30" s="383"/>
      <c r="AY30" s="384"/>
      <c r="AZ30" s="384"/>
      <c r="BA30" s="385"/>
      <c r="BB30" s="383"/>
      <c r="BC30" s="384"/>
      <c r="BD30" s="384"/>
      <c r="BE30" s="385"/>
      <c r="BF30" s="386"/>
      <c r="BG30" s="384"/>
      <c r="BH30" s="384"/>
      <c r="BI30" s="384"/>
      <c r="BJ30" s="383"/>
      <c r="BK30" s="384"/>
      <c r="BL30" s="384"/>
      <c r="BM30" s="387"/>
      <c r="BN30" s="383"/>
      <c r="BO30" s="384"/>
      <c r="BP30" s="384"/>
      <c r="BQ30" s="385"/>
      <c r="BR30" s="383"/>
      <c r="BS30" s="384"/>
      <c r="BT30" s="384"/>
      <c r="BU30" s="387"/>
      <c r="BV30" s="383"/>
      <c r="BW30" s="384"/>
      <c r="BX30" s="384"/>
      <c r="BY30" s="385"/>
      <c r="BZ30" s="216">
        <f t="shared" si="0"/>
        <v>1</v>
      </c>
      <c r="CA30" s="216" t="str">
        <f t="shared" si="1"/>
        <v/>
      </c>
    </row>
    <row r="31" spans="3:79" ht="12">
      <c r="C31" s="217">
        <v>27</v>
      </c>
      <c r="D31" s="35" t="s">
        <v>1293</v>
      </c>
      <c r="E31" s="383"/>
      <c r="F31" s="384"/>
      <c r="G31" s="384"/>
      <c r="H31" s="385"/>
      <c r="I31" s="386"/>
      <c r="J31" s="384"/>
      <c r="K31" s="384"/>
      <c r="L31" s="384"/>
      <c r="M31" s="383"/>
      <c r="N31" s="384"/>
      <c r="O31" s="384"/>
      <c r="P31" s="387"/>
      <c r="Q31" s="383"/>
      <c r="R31" s="384"/>
      <c r="S31" s="384"/>
      <c r="T31" s="385"/>
      <c r="U31" s="383"/>
      <c r="V31" s="384"/>
      <c r="W31" s="384"/>
      <c r="X31" s="385"/>
      <c r="Y31" s="386"/>
      <c r="Z31" s="384"/>
      <c r="AA31" s="384"/>
      <c r="AB31" s="384"/>
      <c r="AC31" s="383"/>
      <c r="AD31" s="384"/>
      <c r="AE31" s="384"/>
      <c r="AF31" s="387"/>
      <c r="AG31" s="383"/>
      <c r="AH31" s="384"/>
      <c r="AI31" s="384"/>
      <c r="AJ31" s="387"/>
      <c r="AK31" s="383"/>
      <c r="AL31" s="384"/>
      <c r="AM31" s="384"/>
      <c r="AN31" s="385">
        <v>1</v>
      </c>
      <c r="AO31" s="386"/>
      <c r="AP31" s="384"/>
      <c r="AQ31" s="384"/>
      <c r="AR31" s="384"/>
      <c r="AS31" s="383"/>
      <c r="AT31" s="384"/>
      <c r="AU31" s="384"/>
      <c r="AV31" s="387"/>
      <c r="AW31" s="388"/>
      <c r="AX31" s="383"/>
      <c r="AY31" s="384"/>
      <c r="AZ31" s="384"/>
      <c r="BA31" s="385"/>
      <c r="BB31" s="383"/>
      <c r="BC31" s="384"/>
      <c r="BD31" s="384"/>
      <c r="BE31" s="385"/>
      <c r="BF31" s="386"/>
      <c r="BG31" s="384"/>
      <c r="BH31" s="384"/>
      <c r="BI31" s="384"/>
      <c r="BJ31" s="383"/>
      <c r="BK31" s="384"/>
      <c r="BL31" s="384"/>
      <c r="BM31" s="387"/>
      <c r="BN31" s="383"/>
      <c r="BO31" s="384"/>
      <c r="BP31" s="384"/>
      <c r="BQ31" s="385"/>
      <c r="BR31" s="383"/>
      <c r="BS31" s="384"/>
      <c r="BT31" s="384"/>
      <c r="BU31" s="387"/>
      <c r="BV31" s="383"/>
      <c r="BW31" s="384"/>
      <c r="BX31" s="384"/>
      <c r="BY31" s="385"/>
      <c r="BZ31" s="216">
        <f t="shared" si="0"/>
        <v>1</v>
      </c>
    </row>
    <row r="32" spans="3:79" ht="12">
      <c r="C32" s="217">
        <v>28</v>
      </c>
      <c r="D32" s="35" t="s">
        <v>1294</v>
      </c>
      <c r="E32" s="383"/>
      <c r="F32" s="384"/>
      <c r="G32" s="384"/>
      <c r="H32" s="385"/>
      <c r="I32" s="386"/>
      <c r="J32" s="384"/>
      <c r="K32" s="384"/>
      <c r="L32" s="384"/>
      <c r="M32" s="383"/>
      <c r="N32" s="384"/>
      <c r="O32" s="384"/>
      <c r="P32" s="387"/>
      <c r="Q32" s="383"/>
      <c r="R32" s="384"/>
      <c r="S32" s="384"/>
      <c r="T32" s="385"/>
      <c r="U32" s="383"/>
      <c r="V32" s="384"/>
      <c r="W32" s="384"/>
      <c r="X32" s="385"/>
      <c r="Y32" s="386"/>
      <c r="Z32" s="384"/>
      <c r="AA32" s="384"/>
      <c r="AB32" s="384"/>
      <c r="AC32" s="383"/>
      <c r="AD32" s="384"/>
      <c r="AE32" s="384"/>
      <c r="AF32" s="387"/>
      <c r="AG32" s="383"/>
      <c r="AH32" s="384"/>
      <c r="AI32" s="384">
        <v>1</v>
      </c>
      <c r="AJ32" s="387"/>
      <c r="AK32" s="383"/>
      <c r="AL32" s="384"/>
      <c r="AM32" s="384"/>
      <c r="AN32" s="385"/>
      <c r="AO32" s="386"/>
      <c r="AP32" s="384"/>
      <c r="AQ32" s="384"/>
      <c r="AR32" s="384"/>
      <c r="AS32" s="383"/>
      <c r="AT32" s="384"/>
      <c r="AU32" s="384"/>
      <c r="AV32" s="387"/>
      <c r="AW32" s="388"/>
      <c r="AX32" s="383"/>
      <c r="AY32" s="384"/>
      <c r="AZ32" s="384"/>
      <c r="BA32" s="385"/>
      <c r="BB32" s="383"/>
      <c r="BC32" s="384"/>
      <c r="BD32" s="384"/>
      <c r="BE32" s="385"/>
      <c r="BF32" s="386"/>
      <c r="BG32" s="384"/>
      <c r="BH32" s="384"/>
      <c r="BI32" s="384"/>
      <c r="BJ32" s="383"/>
      <c r="BK32" s="384"/>
      <c r="BL32" s="384"/>
      <c r="BM32" s="387"/>
      <c r="BN32" s="383"/>
      <c r="BO32" s="384"/>
      <c r="BP32" s="384"/>
      <c r="BQ32" s="385"/>
      <c r="BR32" s="383"/>
      <c r="BS32" s="384"/>
      <c r="BT32" s="384"/>
      <c r="BU32" s="387"/>
      <c r="BV32" s="383"/>
      <c r="BW32" s="384"/>
      <c r="BX32" s="384"/>
      <c r="BY32" s="385"/>
      <c r="BZ32" s="216">
        <f t="shared" si="0"/>
        <v>1</v>
      </c>
      <c r="CA32" s="216" t="str">
        <f t="shared" si="1"/>
        <v/>
      </c>
    </row>
    <row r="33" spans="3:79" ht="12">
      <c r="C33" s="217">
        <v>29</v>
      </c>
      <c r="D33" s="35" t="s">
        <v>1295</v>
      </c>
      <c r="E33" s="383"/>
      <c r="F33" s="384"/>
      <c r="G33" s="384"/>
      <c r="H33" s="385"/>
      <c r="I33" s="386"/>
      <c r="J33" s="384"/>
      <c r="K33" s="384"/>
      <c r="L33" s="384"/>
      <c r="M33" s="383"/>
      <c r="N33" s="384"/>
      <c r="O33" s="384"/>
      <c r="P33" s="387"/>
      <c r="Q33" s="383"/>
      <c r="R33" s="384"/>
      <c r="S33" s="384"/>
      <c r="T33" s="385"/>
      <c r="U33" s="383"/>
      <c r="V33" s="384"/>
      <c r="W33" s="384"/>
      <c r="X33" s="385"/>
      <c r="Y33" s="386"/>
      <c r="Z33" s="384"/>
      <c r="AA33" s="384"/>
      <c r="AB33" s="384"/>
      <c r="AC33" s="383"/>
      <c r="AD33" s="384"/>
      <c r="AE33" s="384"/>
      <c r="AF33" s="387">
        <v>1</v>
      </c>
      <c r="AG33" s="383"/>
      <c r="AH33" s="384"/>
      <c r="AI33" s="384"/>
      <c r="AJ33" s="387"/>
      <c r="AK33" s="383"/>
      <c r="AL33" s="384"/>
      <c r="AM33" s="384"/>
      <c r="AN33" s="385"/>
      <c r="AO33" s="386"/>
      <c r="AP33" s="384"/>
      <c r="AQ33" s="384"/>
      <c r="AR33" s="384"/>
      <c r="AS33" s="383"/>
      <c r="AT33" s="384"/>
      <c r="AU33" s="384"/>
      <c r="AV33" s="387"/>
      <c r="AW33" s="388"/>
      <c r="AX33" s="383"/>
      <c r="AY33" s="384"/>
      <c r="AZ33" s="384"/>
      <c r="BA33" s="385"/>
      <c r="BB33" s="383"/>
      <c r="BC33" s="384"/>
      <c r="BD33" s="384"/>
      <c r="BE33" s="385"/>
      <c r="BF33" s="386"/>
      <c r="BG33" s="384"/>
      <c r="BH33" s="384"/>
      <c r="BI33" s="384"/>
      <c r="BJ33" s="383"/>
      <c r="BK33" s="384"/>
      <c r="BL33" s="384"/>
      <c r="BM33" s="387"/>
      <c r="BN33" s="383"/>
      <c r="BO33" s="384"/>
      <c r="BP33" s="384"/>
      <c r="BQ33" s="385"/>
      <c r="BR33" s="383"/>
      <c r="BS33" s="384"/>
      <c r="BT33" s="384"/>
      <c r="BU33" s="387"/>
      <c r="BV33" s="383"/>
      <c r="BW33" s="384"/>
      <c r="BX33" s="384"/>
      <c r="BY33" s="385"/>
      <c r="BZ33" s="216">
        <f t="shared" si="0"/>
        <v>1</v>
      </c>
    </row>
    <row r="34" spans="3:79" ht="12">
      <c r="C34" s="217">
        <v>30</v>
      </c>
      <c r="D34" s="35" t="s">
        <v>1296</v>
      </c>
      <c r="E34" s="383"/>
      <c r="F34" s="384"/>
      <c r="G34" s="384"/>
      <c r="H34" s="385"/>
      <c r="I34" s="386"/>
      <c r="J34" s="384"/>
      <c r="K34" s="384"/>
      <c r="L34" s="384"/>
      <c r="M34" s="383"/>
      <c r="N34" s="384"/>
      <c r="O34" s="384"/>
      <c r="P34" s="387"/>
      <c r="Q34" s="383"/>
      <c r="R34" s="384"/>
      <c r="S34" s="384"/>
      <c r="T34" s="385"/>
      <c r="U34" s="383"/>
      <c r="V34" s="384"/>
      <c r="W34" s="384"/>
      <c r="X34" s="385"/>
      <c r="Y34" s="386"/>
      <c r="Z34" s="384"/>
      <c r="AA34" s="384"/>
      <c r="AB34" s="384"/>
      <c r="AC34" s="383"/>
      <c r="AD34" s="384"/>
      <c r="AE34" s="384"/>
      <c r="AF34" s="387">
        <v>1</v>
      </c>
      <c r="AG34" s="383"/>
      <c r="AH34" s="384"/>
      <c r="AI34" s="384"/>
      <c r="AJ34" s="387"/>
      <c r="AK34" s="383"/>
      <c r="AL34" s="384"/>
      <c r="AM34" s="384"/>
      <c r="AN34" s="385"/>
      <c r="AO34" s="386"/>
      <c r="AP34" s="384"/>
      <c r="AQ34" s="384"/>
      <c r="AR34" s="384"/>
      <c r="AS34" s="383"/>
      <c r="AT34" s="384"/>
      <c r="AU34" s="384"/>
      <c r="AV34" s="387"/>
      <c r="AW34" s="388"/>
      <c r="AX34" s="383"/>
      <c r="AY34" s="384"/>
      <c r="AZ34" s="384"/>
      <c r="BA34" s="385"/>
      <c r="BB34" s="383"/>
      <c r="BC34" s="384"/>
      <c r="BD34" s="384"/>
      <c r="BE34" s="385"/>
      <c r="BF34" s="386"/>
      <c r="BG34" s="384"/>
      <c r="BH34" s="384"/>
      <c r="BI34" s="384"/>
      <c r="BJ34" s="383"/>
      <c r="BK34" s="384"/>
      <c r="BL34" s="384"/>
      <c r="BM34" s="387"/>
      <c r="BN34" s="383"/>
      <c r="BO34" s="384"/>
      <c r="BP34" s="384"/>
      <c r="BQ34" s="385"/>
      <c r="BR34" s="383"/>
      <c r="BS34" s="384"/>
      <c r="BT34" s="384"/>
      <c r="BU34" s="387"/>
      <c r="BV34" s="383"/>
      <c r="BW34" s="384"/>
      <c r="BX34" s="384"/>
      <c r="BY34" s="385"/>
      <c r="BZ34" s="216">
        <f t="shared" si="0"/>
        <v>1</v>
      </c>
      <c r="CA34" s="216" t="str">
        <f t="shared" si="1"/>
        <v/>
      </c>
    </row>
    <row r="35" spans="3:79" ht="12">
      <c r="C35" s="217">
        <v>31</v>
      </c>
      <c r="D35" s="35" t="s">
        <v>1297</v>
      </c>
      <c r="E35" s="383"/>
      <c r="F35" s="384"/>
      <c r="G35" s="384"/>
      <c r="H35" s="385"/>
      <c r="I35" s="386"/>
      <c r="J35" s="384"/>
      <c r="K35" s="384"/>
      <c r="L35" s="384"/>
      <c r="M35" s="383"/>
      <c r="N35" s="384"/>
      <c r="O35" s="384"/>
      <c r="P35" s="387"/>
      <c r="Q35" s="383"/>
      <c r="R35" s="384"/>
      <c r="S35" s="384"/>
      <c r="T35" s="385"/>
      <c r="U35" s="383"/>
      <c r="V35" s="384"/>
      <c r="W35" s="384"/>
      <c r="X35" s="385"/>
      <c r="Y35" s="386"/>
      <c r="Z35" s="384"/>
      <c r="AA35" s="384"/>
      <c r="AB35" s="384"/>
      <c r="AC35" s="383"/>
      <c r="AD35" s="384"/>
      <c r="AE35" s="384"/>
      <c r="AF35" s="387"/>
      <c r="AG35" s="383"/>
      <c r="AH35" s="384"/>
      <c r="AI35" s="384"/>
      <c r="AJ35" s="387"/>
      <c r="AK35" s="383"/>
      <c r="AL35" s="384"/>
      <c r="AM35" s="384"/>
      <c r="AN35" s="385"/>
      <c r="AO35" s="386"/>
      <c r="AP35" s="384"/>
      <c r="AQ35" s="384"/>
      <c r="AR35" s="384"/>
      <c r="AS35" s="383"/>
      <c r="AT35" s="384"/>
      <c r="AU35" s="384"/>
      <c r="AV35" s="387"/>
      <c r="AW35" s="388">
        <v>1</v>
      </c>
      <c r="AX35" s="383"/>
      <c r="AY35" s="384"/>
      <c r="AZ35" s="384"/>
      <c r="BA35" s="385"/>
      <c r="BB35" s="383"/>
      <c r="BC35" s="384"/>
      <c r="BD35" s="384"/>
      <c r="BE35" s="385"/>
      <c r="BF35" s="386"/>
      <c r="BG35" s="384"/>
      <c r="BH35" s="384"/>
      <c r="BI35" s="384"/>
      <c r="BJ35" s="383"/>
      <c r="BK35" s="384"/>
      <c r="BL35" s="384"/>
      <c r="BM35" s="387"/>
      <c r="BN35" s="383"/>
      <c r="BO35" s="384"/>
      <c r="BP35" s="384"/>
      <c r="BQ35" s="385"/>
      <c r="BR35" s="383"/>
      <c r="BS35" s="384"/>
      <c r="BT35" s="384"/>
      <c r="BU35" s="387"/>
      <c r="BV35" s="383"/>
      <c r="BW35" s="384"/>
      <c r="BX35" s="384"/>
      <c r="BY35" s="385"/>
      <c r="BZ35" s="216">
        <f t="shared" si="0"/>
        <v>1</v>
      </c>
    </row>
    <row r="36" spans="3:79" ht="12">
      <c r="C36" s="217">
        <v>32</v>
      </c>
      <c r="D36" s="35" t="s">
        <v>1298</v>
      </c>
      <c r="E36" s="383"/>
      <c r="F36" s="384"/>
      <c r="G36" s="384"/>
      <c r="H36" s="385"/>
      <c r="I36" s="386"/>
      <c r="J36" s="384"/>
      <c r="K36" s="384"/>
      <c r="L36" s="384"/>
      <c r="M36" s="383"/>
      <c r="N36" s="384"/>
      <c r="O36" s="384"/>
      <c r="P36" s="387"/>
      <c r="Q36" s="383"/>
      <c r="R36" s="384"/>
      <c r="S36" s="384"/>
      <c r="T36" s="385"/>
      <c r="U36" s="383"/>
      <c r="V36" s="384"/>
      <c r="W36" s="384"/>
      <c r="X36" s="385"/>
      <c r="Y36" s="386"/>
      <c r="Z36" s="384"/>
      <c r="AA36" s="384"/>
      <c r="AB36" s="384"/>
      <c r="AC36" s="383"/>
      <c r="AD36" s="384"/>
      <c r="AE36" s="384"/>
      <c r="AF36" s="387"/>
      <c r="AG36" s="383"/>
      <c r="AH36" s="384"/>
      <c r="AI36" s="384"/>
      <c r="AJ36" s="387"/>
      <c r="AK36" s="383"/>
      <c r="AL36" s="384"/>
      <c r="AM36" s="384"/>
      <c r="AN36" s="385"/>
      <c r="AO36" s="386"/>
      <c r="AP36" s="384"/>
      <c r="AQ36" s="384"/>
      <c r="AR36" s="384"/>
      <c r="AS36" s="383"/>
      <c r="AT36" s="384"/>
      <c r="AU36" s="384">
        <v>1</v>
      </c>
      <c r="AV36" s="387"/>
      <c r="AW36" s="388"/>
      <c r="AX36" s="383"/>
      <c r="AY36" s="384"/>
      <c r="AZ36" s="384"/>
      <c r="BA36" s="385"/>
      <c r="BB36" s="383"/>
      <c r="BC36" s="384"/>
      <c r="BD36" s="384"/>
      <c r="BE36" s="385"/>
      <c r="BF36" s="386"/>
      <c r="BG36" s="384"/>
      <c r="BH36" s="384"/>
      <c r="BI36" s="384"/>
      <c r="BJ36" s="383"/>
      <c r="BK36" s="384"/>
      <c r="BL36" s="384"/>
      <c r="BM36" s="387"/>
      <c r="BN36" s="383"/>
      <c r="BO36" s="384"/>
      <c r="BP36" s="384"/>
      <c r="BQ36" s="385"/>
      <c r="BR36" s="383"/>
      <c r="BS36" s="384"/>
      <c r="BT36" s="384"/>
      <c r="BU36" s="387"/>
      <c r="BV36" s="383"/>
      <c r="BW36" s="384"/>
      <c r="BX36" s="384"/>
      <c r="BY36" s="385"/>
      <c r="BZ36" s="216">
        <f t="shared" si="0"/>
        <v>1</v>
      </c>
      <c r="CA36" s="216" t="str">
        <f t="shared" si="1"/>
        <v/>
      </c>
    </row>
    <row r="37" spans="3:79" ht="12">
      <c r="C37" s="217">
        <v>33</v>
      </c>
      <c r="D37" s="35" t="s">
        <v>1299</v>
      </c>
      <c r="E37" s="383"/>
      <c r="F37" s="384"/>
      <c r="G37" s="384"/>
      <c r="H37" s="385"/>
      <c r="I37" s="386"/>
      <c r="J37" s="384"/>
      <c r="K37" s="384"/>
      <c r="L37" s="384"/>
      <c r="M37" s="383"/>
      <c r="N37" s="384"/>
      <c r="O37" s="384"/>
      <c r="P37" s="387"/>
      <c r="Q37" s="383"/>
      <c r="R37" s="384"/>
      <c r="S37" s="384"/>
      <c r="T37" s="385"/>
      <c r="U37" s="383"/>
      <c r="V37" s="384"/>
      <c r="W37" s="384"/>
      <c r="X37" s="385"/>
      <c r="Y37" s="386"/>
      <c r="Z37" s="384"/>
      <c r="AA37" s="384"/>
      <c r="AB37" s="384"/>
      <c r="AC37" s="383"/>
      <c r="AD37" s="384"/>
      <c r="AE37" s="384"/>
      <c r="AF37" s="387"/>
      <c r="AG37" s="383"/>
      <c r="AH37" s="384"/>
      <c r="AI37" s="384"/>
      <c r="AJ37" s="387"/>
      <c r="AK37" s="383"/>
      <c r="AL37" s="384"/>
      <c r="AM37" s="384"/>
      <c r="AN37" s="385"/>
      <c r="AO37" s="386"/>
      <c r="AP37" s="384"/>
      <c r="AQ37" s="384"/>
      <c r="AR37" s="384"/>
      <c r="AS37" s="383"/>
      <c r="AT37" s="384"/>
      <c r="AU37" s="384">
        <v>1</v>
      </c>
      <c r="AV37" s="387"/>
      <c r="AW37" s="388"/>
      <c r="AX37" s="383"/>
      <c r="AY37" s="384"/>
      <c r="AZ37" s="384"/>
      <c r="BA37" s="385"/>
      <c r="BB37" s="383"/>
      <c r="BC37" s="384"/>
      <c r="BD37" s="384"/>
      <c r="BE37" s="385"/>
      <c r="BF37" s="386"/>
      <c r="BG37" s="384"/>
      <c r="BH37" s="384"/>
      <c r="BI37" s="384"/>
      <c r="BJ37" s="383"/>
      <c r="BK37" s="384"/>
      <c r="BL37" s="384"/>
      <c r="BM37" s="387"/>
      <c r="BN37" s="383"/>
      <c r="BO37" s="384"/>
      <c r="BP37" s="384"/>
      <c r="BQ37" s="385"/>
      <c r="BR37" s="383"/>
      <c r="BS37" s="384"/>
      <c r="BT37" s="384"/>
      <c r="BU37" s="387"/>
      <c r="BV37" s="383"/>
      <c r="BW37" s="384"/>
      <c r="BX37" s="384"/>
      <c r="BY37" s="385"/>
      <c r="BZ37" s="216">
        <f t="shared" ref="BZ37:BZ68" si="2">SUM(E37:BY37)</f>
        <v>1</v>
      </c>
      <c r="CA37" s="216" t="str">
        <f t="shared" si="1"/>
        <v/>
      </c>
    </row>
    <row r="38" spans="3:79" ht="12">
      <c r="C38" s="217">
        <v>34</v>
      </c>
      <c r="D38" s="35" t="s">
        <v>1300</v>
      </c>
      <c r="E38" s="383"/>
      <c r="F38" s="384"/>
      <c r="G38" s="384"/>
      <c r="H38" s="385"/>
      <c r="I38" s="386"/>
      <c r="J38" s="384"/>
      <c r="K38" s="384"/>
      <c r="L38" s="384"/>
      <c r="M38" s="383"/>
      <c r="N38" s="384"/>
      <c r="O38" s="384"/>
      <c r="P38" s="387"/>
      <c r="Q38" s="383"/>
      <c r="R38" s="384"/>
      <c r="S38" s="384"/>
      <c r="T38" s="385"/>
      <c r="U38" s="383"/>
      <c r="V38" s="384"/>
      <c r="W38" s="384"/>
      <c r="X38" s="385"/>
      <c r="Y38" s="386"/>
      <c r="Z38" s="384"/>
      <c r="AA38" s="384"/>
      <c r="AB38" s="384"/>
      <c r="AC38" s="383"/>
      <c r="AD38" s="384"/>
      <c r="AE38" s="384"/>
      <c r="AF38" s="387"/>
      <c r="AG38" s="383"/>
      <c r="AH38" s="384"/>
      <c r="AI38" s="384"/>
      <c r="AJ38" s="387"/>
      <c r="AK38" s="383"/>
      <c r="AL38" s="384"/>
      <c r="AM38" s="384"/>
      <c r="AN38" s="385"/>
      <c r="AO38" s="386"/>
      <c r="AP38" s="384"/>
      <c r="AQ38" s="384"/>
      <c r="AR38" s="384"/>
      <c r="AS38" s="383"/>
      <c r="AT38" s="384"/>
      <c r="AU38" s="384"/>
      <c r="AV38" s="387">
        <v>1</v>
      </c>
      <c r="AW38" s="388"/>
      <c r="AX38" s="383"/>
      <c r="AY38" s="384"/>
      <c r="AZ38" s="384"/>
      <c r="BA38" s="385"/>
      <c r="BB38" s="383"/>
      <c r="BC38" s="384"/>
      <c r="BD38" s="384"/>
      <c r="BE38" s="385"/>
      <c r="BF38" s="386"/>
      <c r="BG38" s="384"/>
      <c r="BH38" s="384"/>
      <c r="BI38" s="384"/>
      <c r="BJ38" s="383"/>
      <c r="BK38" s="384"/>
      <c r="BL38" s="384"/>
      <c r="BM38" s="387"/>
      <c r="BN38" s="383"/>
      <c r="BO38" s="384"/>
      <c r="BP38" s="384"/>
      <c r="BQ38" s="385"/>
      <c r="BR38" s="383"/>
      <c r="BS38" s="384"/>
      <c r="BT38" s="384"/>
      <c r="BU38" s="387"/>
      <c r="BV38" s="383"/>
      <c r="BW38" s="384"/>
      <c r="BX38" s="384"/>
      <c r="BY38" s="385"/>
      <c r="BZ38" s="216">
        <f t="shared" si="2"/>
        <v>1</v>
      </c>
      <c r="CA38" s="216" t="str">
        <f t="shared" si="1"/>
        <v/>
      </c>
    </row>
    <row r="39" spans="3:79" ht="12">
      <c r="C39" s="217">
        <v>35</v>
      </c>
      <c r="D39" s="35" t="s">
        <v>1301</v>
      </c>
      <c r="E39" s="383"/>
      <c r="F39" s="384"/>
      <c r="G39" s="384"/>
      <c r="H39" s="385"/>
      <c r="I39" s="386"/>
      <c r="J39" s="384"/>
      <c r="K39" s="384"/>
      <c r="L39" s="384"/>
      <c r="M39" s="383"/>
      <c r="N39" s="384"/>
      <c r="O39" s="384"/>
      <c r="P39" s="387"/>
      <c r="Q39" s="383"/>
      <c r="R39" s="384"/>
      <c r="S39" s="384"/>
      <c r="T39" s="385"/>
      <c r="U39" s="383"/>
      <c r="V39" s="384"/>
      <c r="W39" s="384"/>
      <c r="X39" s="385"/>
      <c r="Y39" s="386"/>
      <c r="Z39" s="384"/>
      <c r="AA39" s="384"/>
      <c r="AB39" s="384"/>
      <c r="AC39" s="383"/>
      <c r="AD39" s="384"/>
      <c r="AE39" s="384"/>
      <c r="AF39" s="387"/>
      <c r="AG39" s="383"/>
      <c r="AH39" s="384"/>
      <c r="AI39" s="384"/>
      <c r="AJ39" s="387"/>
      <c r="AK39" s="383"/>
      <c r="AL39" s="384"/>
      <c r="AM39" s="384"/>
      <c r="AN39" s="385"/>
      <c r="AO39" s="386"/>
      <c r="AP39" s="384"/>
      <c r="AQ39" s="384"/>
      <c r="AR39" s="384"/>
      <c r="AS39" s="383"/>
      <c r="AT39" s="384"/>
      <c r="AU39" s="384"/>
      <c r="AV39" s="387">
        <v>1</v>
      </c>
      <c r="AW39" s="388"/>
      <c r="AX39" s="383"/>
      <c r="AY39" s="384"/>
      <c r="AZ39" s="384"/>
      <c r="BA39" s="385"/>
      <c r="BB39" s="383"/>
      <c r="BC39" s="384"/>
      <c r="BD39" s="384"/>
      <c r="BE39" s="385"/>
      <c r="BF39" s="386"/>
      <c r="BG39" s="384"/>
      <c r="BH39" s="384"/>
      <c r="BI39" s="384"/>
      <c r="BJ39" s="383"/>
      <c r="BK39" s="384"/>
      <c r="BL39" s="384"/>
      <c r="BM39" s="387"/>
      <c r="BN39" s="383"/>
      <c r="BO39" s="384"/>
      <c r="BP39" s="384"/>
      <c r="BQ39" s="385"/>
      <c r="BR39" s="383"/>
      <c r="BS39" s="384"/>
      <c r="BT39" s="384"/>
      <c r="BU39" s="387"/>
      <c r="BV39" s="383"/>
      <c r="BW39" s="384"/>
      <c r="BX39" s="384"/>
      <c r="BY39" s="385"/>
      <c r="BZ39" s="216">
        <f t="shared" si="2"/>
        <v>1</v>
      </c>
      <c r="CA39" s="216" t="str">
        <f t="shared" si="1"/>
        <v/>
      </c>
    </row>
    <row r="40" spans="3:79" ht="12">
      <c r="C40" s="217">
        <v>36</v>
      </c>
      <c r="D40" s="35" t="s">
        <v>1302</v>
      </c>
      <c r="E40" s="383"/>
      <c r="F40" s="384"/>
      <c r="G40" s="384"/>
      <c r="H40" s="385"/>
      <c r="I40" s="386"/>
      <c r="J40" s="384"/>
      <c r="K40" s="384"/>
      <c r="L40" s="384"/>
      <c r="M40" s="383"/>
      <c r="N40" s="384"/>
      <c r="O40" s="384"/>
      <c r="P40" s="387"/>
      <c r="Q40" s="383"/>
      <c r="R40" s="384"/>
      <c r="S40" s="384"/>
      <c r="T40" s="385"/>
      <c r="U40" s="383"/>
      <c r="V40" s="384"/>
      <c r="W40" s="384"/>
      <c r="X40" s="385"/>
      <c r="Y40" s="386"/>
      <c r="Z40" s="384"/>
      <c r="AA40" s="384"/>
      <c r="AB40" s="384"/>
      <c r="AC40" s="383"/>
      <c r="AD40" s="384"/>
      <c r="AE40" s="384"/>
      <c r="AF40" s="387"/>
      <c r="AG40" s="383"/>
      <c r="AH40" s="384"/>
      <c r="AI40" s="384"/>
      <c r="AJ40" s="387"/>
      <c r="AK40" s="383"/>
      <c r="AL40" s="384"/>
      <c r="AM40" s="384"/>
      <c r="AN40" s="385"/>
      <c r="AO40" s="386"/>
      <c r="AP40" s="384"/>
      <c r="AQ40" s="384"/>
      <c r="AR40" s="384"/>
      <c r="AS40" s="383"/>
      <c r="AT40" s="384"/>
      <c r="AU40" s="384">
        <v>1</v>
      </c>
      <c r="AV40" s="387"/>
      <c r="AW40" s="388"/>
      <c r="AX40" s="383"/>
      <c r="AY40" s="384"/>
      <c r="AZ40" s="384"/>
      <c r="BA40" s="385"/>
      <c r="BB40" s="383"/>
      <c r="BC40" s="384"/>
      <c r="BD40" s="384"/>
      <c r="BE40" s="385"/>
      <c r="BF40" s="386"/>
      <c r="BG40" s="384"/>
      <c r="BH40" s="384"/>
      <c r="BI40" s="384"/>
      <c r="BJ40" s="383"/>
      <c r="BK40" s="384"/>
      <c r="BL40" s="384"/>
      <c r="BM40" s="387"/>
      <c r="BN40" s="383"/>
      <c r="BO40" s="384"/>
      <c r="BP40" s="384"/>
      <c r="BQ40" s="385"/>
      <c r="BR40" s="383"/>
      <c r="BS40" s="384"/>
      <c r="BT40" s="384"/>
      <c r="BU40" s="387"/>
      <c r="BV40" s="383"/>
      <c r="BW40" s="384"/>
      <c r="BX40" s="384"/>
      <c r="BY40" s="385"/>
      <c r="BZ40" s="216">
        <f t="shared" si="2"/>
        <v>1</v>
      </c>
    </row>
    <row r="41" spans="3:79" ht="12">
      <c r="C41" s="217">
        <v>37</v>
      </c>
      <c r="D41" s="35" t="s">
        <v>1303</v>
      </c>
      <c r="E41" s="383"/>
      <c r="F41" s="384"/>
      <c r="G41" s="384"/>
      <c r="H41" s="385"/>
      <c r="I41" s="386"/>
      <c r="J41" s="384"/>
      <c r="K41" s="384"/>
      <c r="L41" s="384"/>
      <c r="M41" s="383"/>
      <c r="N41" s="384"/>
      <c r="O41" s="384"/>
      <c r="P41" s="387"/>
      <c r="Q41" s="383"/>
      <c r="R41" s="384"/>
      <c r="S41" s="384"/>
      <c r="T41" s="385"/>
      <c r="U41" s="383"/>
      <c r="V41" s="384"/>
      <c r="W41" s="384"/>
      <c r="X41" s="385"/>
      <c r="Y41" s="386"/>
      <c r="Z41" s="384"/>
      <c r="AA41" s="384"/>
      <c r="AB41" s="384"/>
      <c r="AC41" s="383"/>
      <c r="AD41" s="384"/>
      <c r="AE41" s="384"/>
      <c r="AF41" s="387"/>
      <c r="AG41" s="383"/>
      <c r="AH41" s="384"/>
      <c r="AI41" s="384"/>
      <c r="AJ41" s="387"/>
      <c r="AK41" s="383"/>
      <c r="AL41" s="384"/>
      <c r="AM41" s="384"/>
      <c r="AN41" s="385"/>
      <c r="AO41" s="386"/>
      <c r="AP41" s="384"/>
      <c r="AQ41" s="384"/>
      <c r="AR41" s="384"/>
      <c r="AS41" s="383"/>
      <c r="AT41" s="384"/>
      <c r="AU41" s="384">
        <v>1</v>
      </c>
      <c r="AV41" s="387"/>
      <c r="AW41" s="388"/>
      <c r="AX41" s="383"/>
      <c r="AY41" s="384"/>
      <c r="AZ41" s="384"/>
      <c r="BA41" s="385"/>
      <c r="BB41" s="383"/>
      <c r="BC41" s="384"/>
      <c r="BD41" s="384"/>
      <c r="BE41" s="385"/>
      <c r="BF41" s="386"/>
      <c r="BG41" s="384"/>
      <c r="BH41" s="384"/>
      <c r="BI41" s="384"/>
      <c r="BJ41" s="383"/>
      <c r="BK41" s="384"/>
      <c r="BL41" s="384"/>
      <c r="BM41" s="387"/>
      <c r="BN41" s="383"/>
      <c r="BO41" s="384"/>
      <c r="BP41" s="384"/>
      <c r="BQ41" s="385"/>
      <c r="BR41" s="383"/>
      <c r="BS41" s="384"/>
      <c r="BT41" s="384"/>
      <c r="BU41" s="387"/>
      <c r="BV41" s="383"/>
      <c r="BW41" s="384"/>
      <c r="BX41" s="384"/>
      <c r="BY41" s="385"/>
      <c r="BZ41" s="216">
        <f t="shared" si="2"/>
        <v>1</v>
      </c>
      <c r="CA41" s="216" t="str">
        <f t="shared" si="1"/>
        <v/>
      </c>
    </row>
    <row r="42" spans="3:79" ht="12">
      <c r="C42" s="217">
        <v>38</v>
      </c>
      <c r="D42" s="35" t="s">
        <v>1304</v>
      </c>
      <c r="E42" s="383"/>
      <c r="F42" s="384"/>
      <c r="G42" s="384"/>
      <c r="H42" s="385"/>
      <c r="I42" s="386"/>
      <c r="J42" s="384"/>
      <c r="K42" s="384"/>
      <c r="L42" s="384"/>
      <c r="M42" s="383"/>
      <c r="N42" s="384"/>
      <c r="O42" s="384"/>
      <c r="P42" s="387"/>
      <c r="Q42" s="383"/>
      <c r="R42" s="384"/>
      <c r="S42" s="384"/>
      <c r="T42" s="385"/>
      <c r="U42" s="383"/>
      <c r="V42" s="384"/>
      <c r="W42" s="384"/>
      <c r="X42" s="385"/>
      <c r="Y42" s="386"/>
      <c r="Z42" s="384"/>
      <c r="AA42" s="384"/>
      <c r="AB42" s="384"/>
      <c r="AC42" s="383"/>
      <c r="AD42" s="384"/>
      <c r="AE42" s="384"/>
      <c r="AF42" s="387"/>
      <c r="AG42" s="383"/>
      <c r="AH42" s="384"/>
      <c r="AI42" s="384"/>
      <c r="AJ42" s="387"/>
      <c r="AK42" s="383"/>
      <c r="AL42" s="384"/>
      <c r="AM42" s="384"/>
      <c r="AN42" s="385"/>
      <c r="AO42" s="386"/>
      <c r="AP42" s="384"/>
      <c r="AQ42" s="384"/>
      <c r="AR42" s="384"/>
      <c r="AS42" s="383"/>
      <c r="AT42" s="384"/>
      <c r="AU42" s="384">
        <v>1</v>
      </c>
      <c r="AV42" s="387"/>
      <c r="AW42" s="388"/>
      <c r="AX42" s="383"/>
      <c r="AY42" s="384"/>
      <c r="AZ42" s="384"/>
      <c r="BA42" s="385"/>
      <c r="BB42" s="383"/>
      <c r="BC42" s="384"/>
      <c r="BD42" s="384"/>
      <c r="BE42" s="385"/>
      <c r="BF42" s="386"/>
      <c r="BG42" s="384"/>
      <c r="BH42" s="384"/>
      <c r="BI42" s="384"/>
      <c r="BJ42" s="383"/>
      <c r="BK42" s="384"/>
      <c r="BL42" s="384"/>
      <c r="BM42" s="387"/>
      <c r="BN42" s="383"/>
      <c r="BO42" s="384"/>
      <c r="BP42" s="384"/>
      <c r="BQ42" s="385"/>
      <c r="BR42" s="383"/>
      <c r="BS42" s="384"/>
      <c r="BT42" s="384"/>
      <c r="BU42" s="387"/>
      <c r="BV42" s="383"/>
      <c r="BW42" s="384"/>
      <c r="BX42" s="384"/>
      <c r="BY42" s="385"/>
      <c r="BZ42" s="216">
        <f t="shared" si="2"/>
        <v>1</v>
      </c>
      <c r="CA42" s="216" t="str">
        <f t="shared" si="1"/>
        <v/>
      </c>
    </row>
    <row r="43" spans="3:79" ht="12">
      <c r="C43" s="217">
        <v>39</v>
      </c>
      <c r="D43" s="35" t="s">
        <v>1305</v>
      </c>
      <c r="E43" s="383"/>
      <c r="F43" s="384"/>
      <c r="G43" s="384"/>
      <c r="H43" s="385"/>
      <c r="I43" s="386"/>
      <c r="J43" s="384"/>
      <c r="K43" s="384"/>
      <c r="L43" s="384"/>
      <c r="M43" s="383"/>
      <c r="N43" s="384"/>
      <c r="O43" s="384"/>
      <c r="P43" s="387"/>
      <c r="Q43" s="383"/>
      <c r="R43" s="384"/>
      <c r="S43" s="384"/>
      <c r="T43" s="385"/>
      <c r="U43" s="383"/>
      <c r="V43" s="384"/>
      <c r="W43" s="384"/>
      <c r="X43" s="385"/>
      <c r="Y43" s="386"/>
      <c r="Z43" s="384"/>
      <c r="AA43" s="384"/>
      <c r="AB43" s="384"/>
      <c r="AC43" s="383"/>
      <c r="AD43" s="384"/>
      <c r="AE43" s="384"/>
      <c r="AF43" s="387"/>
      <c r="AG43" s="383"/>
      <c r="AH43" s="384"/>
      <c r="AI43" s="384"/>
      <c r="AJ43" s="387"/>
      <c r="AK43" s="383"/>
      <c r="AL43" s="384"/>
      <c r="AM43" s="384"/>
      <c r="AN43" s="385"/>
      <c r="AO43" s="386"/>
      <c r="AP43" s="384"/>
      <c r="AQ43" s="384"/>
      <c r="AR43" s="384"/>
      <c r="AS43" s="383"/>
      <c r="AT43" s="384"/>
      <c r="AU43" s="384"/>
      <c r="AV43" s="387"/>
      <c r="AW43" s="388"/>
      <c r="AX43" s="383"/>
      <c r="AY43" s="384"/>
      <c r="AZ43" s="384"/>
      <c r="BA43" s="385">
        <v>1</v>
      </c>
      <c r="BB43" s="383"/>
      <c r="BC43" s="384"/>
      <c r="BD43" s="384"/>
      <c r="BE43" s="385"/>
      <c r="BF43" s="386"/>
      <c r="BG43" s="384"/>
      <c r="BH43" s="384"/>
      <c r="BI43" s="384"/>
      <c r="BJ43" s="383"/>
      <c r="BK43" s="384"/>
      <c r="BL43" s="384"/>
      <c r="BM43" s="387"/>
      <c r="BN43" s="383"/>
      <c r="BO43" s="384"/>
      <c r="BP43" s="384"/>
      <c r="BQ43" s="385"/>
      <c r="BR43" s="383"/>
      <c r="BS43" s="384"/>
      <c r="BT43" s="384"/>
      <c r="BU43" s="387"/>
      <c r="BV43" s="383"/>
      <c r="BW43" s="384"/>
      <c r="BX43" s="384"/>
      <c r="BY43" s="385"/>
      <c r="BZ43" s="216">
        <f t="shared" si="2"/>
        <v>1</v>
      </c>
      <c r="CA43" s="216" t="str">
        <f t="shared" si="1"/>
        <v/>
      </c>
    </row>
    <row r="44" spans="3:79" ht="12">
      <c r="C44" s="217">
        <v>40</v>
      </c>
      <c r="D44" s="35" t="s">
        <v>1306</v>
      </c>
      <c r="E44" s="383"/>
      <c r="F44" s="384"/>
      <c r="G44" s="384"/>
      <c r="H44" s="385"/>
      <c r="I44" s="386"/>
      <c r="J44" s="384"/>
      <c r="K44" s="384"/>
      <c r="L44" s="384"/>
      <c r="M44" s="383"/>
      <c r="N44" s="384"/>
      <c r="O44" s="384"/>
      <c r="P44" s="387"/>
      <c r="Q44" s="383"/>
      <c r="R44" s="384"/>
      <c r="S44" s="384"/>
      <c r="T44" s="385"/>
      <c r="U44" s="383"/>
      <c r="V44" s="384"/>
      <c r="W44" s="384"/>
      <c r="X44" s="385"/>
      <c r="Y44" s="386"/>
      <c r="Z44" s="384"/>
      <c r="AA44" s="384"/>
      <c r="AB44" s="384"/>
      <c r="AC44" s="383"/>
      <c r="AD44" s="384"/>
      <c r="AE44" s="384"/>
      <c r="AF44" s="387"/>
      <c r="AG44" s="383"/>
      <c r="AH44" s="384"/>
      <c r="AI44" s="384"/>
      <c r="AJ44" s="387"/>
      <c r="AK44" s="383"/>
      <c r="AL44" s="384"/>
      <c r="AM44" s="384"/>
      <c r="AN44" s="385"/>
      <c r="AO44" s="386"/>
      <c r="AP44" s="384"/>
      <c r="AQ44" s="384"/>
      <c r="AR44" s="384"/>
      <c r="AS44" s="383"/>
      <c r="AT44" s="384"/>
      <c r="AU44" s="384"/>
      <c r="AV44" s="387"/>
      <c r="AW44" s="388"/>
      <c r="AX44" s="383"/>
      <c r="AY44" s="384"/>
      <c r="AZ44" s="384">
        <v>1</v>
      </c>
      <c r="BA44" s="385"/>
      <c r="BB44" s="383"/>
      <c r="BC44" s="384"/>
      <c r="BD44" s="384"/>
      <c r="BE44" s="385"/>
      <c r="BF44" s="386"/>
      <c r="BG44" s="384"/>
      <c r="BH44" s="384"/>
      <c r="BI44" s="384"/>
      <c r="BJ44" s="383"/>
      <c r="BK44" s="384"/>
      <c r="BL44" s="384"/>
      <c r="BM44" s="387"/>
      <c r="BN44" s="383"/>
      <c r="BO44" s="384"/>
      <c r="BP44" s="384"/>
      <c r="BQ44" s="385"/>
      <c r="BR44" s="383"/>
      <c r="BS44" s="384"/>
      <c r="BT44" s="384"/>
      <c r="BU44" s="387"/>
      <c r="BV44" s="383"/>
      <c r="BW44" s="384"/>
      <c r="BX44" s="384"/>
      <c r="BY44" s="385"/>
      <c r="BZ44" s="216">
        <f t="shared" si="2"/>
        <v>1</v>
      </c>
      <c r="CA44" s="216" t="str">
        <f t="shared" si="1"/>
        <v/>
      </c>
    </row>
    <row r="45" spans="3:79" ht="12">
      <c r="C45" s="217">
        <v>41</v>
      </c>
      <c r="D45" s="35" t="s">
        <v>1307</v>
      </c>
      <c r="E45" s="383"/>
      <c r="F45" s="384"/>
      <c r="G45" s="384"/>
      <c r="H45" s="385"/>
      <c r="I45" s="386"/>
      <c r="J45" s="384"/>
      <c r="K45" s="384"/>
      <c r="L45" s="384"/>
      <c r="M45" s="383"/>
      <c r="N45" s="384"/>
      <c r="O45" s="384"/>
      <c r="P45" s="387"/>
      <c r="Q45" s="383"/>
      <c r="R45" s="384"/>
      <c r="S45" s="384"/>
      <c r="T45" s="385"/>
      <c r="U45" s="383"/>
      <c r="V45" s="384"/>
      <c r="W45" s="384"/>
      <c r="X45" s="385"/>
      <c r="Y45" s="386"/>
      <c r="Z45" s="384"/>
      <c r="AA45" s="384"/>
      <c r="AB45" s="384"/>
      <c r="AC45" s="383"/>
      <c r="AD45" s="384"/>
      <c r="AE45" s="384"/>
      <c r="AF45" s="387"/>
      <c r="AG45" s="383"/>
      <c r="AH45" s="384"/>
      <c r="AI45" s="384"/>
      <c r="AJ45" s="387"/>
      <c r="AK45" s="383"/>
      <c r="AL45" s="384"/>
      <c r="AM45" s="384"/>
      <c r="AN45" s="385"/>
      <c r="AO45" s="386"/>
      <c r="AP45" s="384"/>
      <c r="AQ45" s="384"/>
      <c r="AR45" s="384"/>
      <c r="AS45" s="383"/>
      <c r="AT45" s="384"/>
      <c r="AU45" s="384"/>
      <c r="AV45" s="387"/>
      <c r="AW45" s="388"/>
      <c r="AX45" s="383"/>
      <c r="AY45" s="384"/>
      <c r="AZ45" s="384"/>
      <c r="BA45" s="385">
        <v>1</v>
      </c>
      <c r="BB45" s="383"/>
      <c r="BC45" s="384"/>
      <c r="BD45" s="384"/>
      <c r="BE45" s="385"/>
      <c r="BF45" s="386"/>
      <c r="BG45" s="384"/>
      <c r="BH45" s="384"/>
      <c r="BI45" s="384"/>
      <c r="BJ45" s="383"/>
      <c r="BK45" s="384"/>
      <c r="BL45" s="384"/>
      <c r="BM45" s="387"/>
      <c r="BN45" s="383"/>
      <c r="BO45" s="384"/>
      <c r="BP45" s="384"/>
      <c r="BQ45" s="385"/>
      <c r="BR45" s="383"/>
      <c r="BS45" s="384"/>
      <c r="BT45" s="384"/>
      <c r="BU45" s="387"/>
      <c r="BV45" s="383"/>
      <c r="BW45" s="384"/>
      <c r="BX45" s="384"/>
      <c r="BY45" s="385"/>
      <c r="BZ45" s="216">
        <f t="shared" si="2"/>
        <v>1</v>
      </c>
      <c r="CA45" s="216" t="str">
        <f t="shared" si="1"/>
        <v/>
      </c>
    </row>
    <row r="46" spans="3:79" ht="12">
      <c r="C46" s="217">
        <v>42</v>
      </c>
      <c r="D46" s="35" t="s">
        <v>1308</v>
      </c>
      <c r="E46" s="383"/>
      <c r="F46" s="384"/>
      <c r="G46" s="384"/>
      <c r="H46" s="385"/>
      <c r="I46" s="386"/>
      <c r="J46" s="384"/>
      <c r="K46" s="384"/>
      <c r="L46" s="384"/>
      <c r="M46" s="383"/>
      <c r="N46" s="384"/>
      <c r="O46" s="384"/>
      <c r="P46" s="387"/>
      <c r="Q46" s="383"/>
      <c r="R46" s="384"/>
      <c r="S46" s="384"/>
      <c r="T46" s="385"/>
      <c r="U46" s="383"/>
      <c r="V46" s="384"/>
      <c r="W46" s="384"/>
      <c r="X46" s="385"/>
      <c r="Y46" s="386"/>
      <c r="Z46" s="384"/>
      <c r="AA46" s="384"/>
      <c r="AB46" s="384"/>
      <c r="AC46" s="383"/>
      <c r="AD46" s="384"/>
      <c r="AE46" s="384"/>
      <c r="AF46" s="387"/>
      <c r="AG46" s="383"/>
      <c r="AH46" s="384"/>
      <c r="AI46" s="384"/>
      <c r="AJ46" s="387"/>
      <c r="AK46" s="383"/>
      <c r="AL46" s="384"/>
      <c r="AM46" s="384"/>
      <c r="AN46" s="385"/>
      <c r="AO46" s="386"/>
      <c r="AP46" s="384"/>
      <c r="AQ46" s="384"/>
      <c r="AR46" s="384"/>
      <c r="AS46" s="383"/>
      <c r="AT46" s="384"/>
      <c r="AU46" s="384"/>
      <c r="AV46" s="387"/>
      <c r="AW46" s="388"/>
      <c r="AX46" s="383"/>
      <c r="AY46" s="384"/>
      <c r="AZ46" s="384">
        <v>1</v>
      </c>
      <c r="BA46" s="385"/>
      <c r="BB46" s="383"/>
      <c r="BC46" s="384"/>
      <c r="BD46" s="384"/>
      <c r="BE46" s="385"/>
      <c r="BF46" s="386"/>
      <c r="BG46" s="384"/>
      <c r="BH46" s="384"/>
      <c r="BI46" s="384"/>
      <c r="BJ46" s="383"/>
      <c r="BK46" s="384"/>
      <c r="BL46" s="384"/>
      <c r="BM46" s="387"/>
      <c r="BN46" s="383"/>
      <c r="BO46" s="384"/>
      <c r="BP46" s="384"/>
      <c r="BQ46" s="385"/>
      <c r="BR46" s="383"/>
      <c r="BS46" s="384"/>
      <c r="BT46" s="384"/>
      <c r="BU46" s="387"/>
      <c r="BV46" s="383"/>
      <c r="BW46" s="384"/>
      <c r="BX46" s="384"/>
      <c r="BY46" s="385"/>
      <c r="BZ46" s="216">
        <f t="shared" si="2"/>
        <v>1</v>
      </c>
    </row>
    <row r="47" spans="3:79" ht="12">
      <c r="C47" s="217">
        <v>43</v>
      </c>
      <c r="D47" s="35" t="s">
        <v>1309</v>
      </c>
      <c r="E47" s="383"/>
      <c r="F47" s="384"/>
      <c r="G47" s="384"/>
      <c r="H47" s="385"/>
      <c r="I47" s="386"/>
      <c r="J47" s="384"/>
      <c r="K47" s="384"/>
      <c r="L47" s="384"/>
      <c r="M47" s="383"/>
      <c r="N47" s="384"/>
      <c r="O47" s="384"/>
      <c r="P47" s="387"/>
      <c r="Q47" s="383"/>
      <c r="R47" s="384"/>
      <c r="S47" s="384"/>
      <c r="T47" s="385"/>
      <c r="U47" s="383"/>
      <c r="V47" s="384"/>
      <c r="W47" s="384"/>
      <c r="X47" s="385"/>
      <c r="Y47" s="386"/>
      <c r="Z47" s="384"/>
      <c r="AA47" s="384"/>
      <c r="AB47" s="384"/>
      <c r="AC47" s="383"/>
      <c r="AD47" s="384"/>
      <c r="AE47" s="384"/>
      <c r="AF47" s="387"/>
      <c r="AG47" s="383"/>
      <c r="AH47" s="384"/>
      <c r="AI47" s="384"/>
      <c r="AJ47" s="387"/>
      <c r="AK47" s="383"/>
      <c r="AL47" s="384"/>
      <c r="AM47" s="384"/>
      <c r="AN47" s="385"/>
      <c r="AO47" s="386"/>
      <c r="AP47" s="384"/>
      <c r="AQ47" s="384"/>
      <c r="AR47" s="384"/>
      <c r="AS47" s="383"/>
      <c r="AT47" s="384"/>
      <c r="AU47" s="384"/>
      <c r="AV47" s="387"/>
      <c r="AW47" s="388"/>
      <c r="AX47" s="383"/>
      <c r="AY47" s="384"/>
      <c r="AZ47" s="384">
        <v>1</v>
      </c>
      <c r="BA47" s="385"/>
      <c r="BB47" s="383"/>
      <c r="BC47" s="384"/>
      <c r="BD47" s="384"/>
      <c r="BE47" s="385"/>
      <c r="BF47" s="386"/>
      <c r="BG47" s="384"/>
      <c r="BH47" s="384"/>
      <c r="BI47" s="384"/>
      <c r="BJ47" s="383"/>
      <c r="BK47" s="384"/>
      <c r="BL47" s="384"/>
      <c r="BM47" s="387"/>
      <c r="BN47" s="383"/>
      <c r="BO47" s="384"/>
      <c r="BP47" s="384"/>
      <c r="BQ47" s="385"/>
      <c r="BR47" s="383"/>
      <c r="BS47" s="384"/>
      <c r="BT47" s="384"/>
      <c r="BU47" s="387"/>
      <c r="BV47" s="383"/>
      <c r="BW47" s="384"/>
      <c r="BX47" s="384"/>
      <c r="BY47" s="385"/>
      <c r="BZ47" s="216">
        <f t="shared" si="2"/>
        <v>1</v>
      </c>
      <c r="CA47" s="216" t="str">
        <f t="shared" si="1"/>
        <v/>
      </c>
    </row>
    <row r="48" spans="3:79" ht="12">
      <c r="C48" s="217">
        <v>44</v>
      </c>
      <c r="D48" s="35" t="s">
        <v>1310</v>
      </c>
      <c r="E48" s="383"/>
      <c r="F48" s="384"/>
      <c r="G48" s="384"/>
      <c r="H48" s="385"/>
      <c r="I48" s="386"/>
      <c r="J48" s="384"/>
      <c r="K48" s="384"/>
      <c r="L48" s="384"/>
      <c r="M48" s="383"/>
      <c r="N48" s="384"/>
      <c r="O48" s="384"/>
      <c r="P48" s="387"/>
      <c r="Q48" s="383"/>
      <c r="R48" s="384"/>
      <c r="S48" s="384"/>
      <c r="T48" s="385"/>
      <c r="U48" s="383"/>
      <c r="V48" s="384"/>
      <c r="W48" s="384"/>
      <c r="X48" s="385"/>
      <c r="Y48" s="386"/>
      <c r="Z48" s="384"/>
      <c r="AA48" s="384"/>
      <c r="AB48" s="384"/>
      <c r="AC48" s="383"/>
      <c r="AD48" s="384"/>
      <c r="AE48" s="384"/>
      <c r="AF48" s="387"/>
      <c r="AG48" s="383"/>
      <c r="AH48" s="384"/>
      <c r="AI48" s="384"/>
      <c r="AJ48" s="387"/>
      <c r="AK48" s="383"/>
      <c r="AL48" s="384"/>
      <c r="AM48" s="384"/>
      <c r="AN48" s="385"/>
      <c r="AO48" s="386"/>
      <c r="AP48" s="384"/>
      <c r="AQ48" s="384"/>
      <c r="AR48" s="384"/>
      <c r="AS48" s="383"/>
      <c r="AT48" s="384"/>
      <c r="AU48" s="384"/>
      <c r="AV48" s="387"/>
      <c r="AW48" s="388"/>
      <c r="AX48" s="383"/>
      <c r="AY48" s="384"/>
      <c r="AZ48" s="384">
        <v>1</v>
      </c>
      <c r="BA48" s="385"/>
      <c r="BB48" s="383"/>
      <c r="BC48" s="384"/>
      <c r="BD48" s="384"/>
      <c r="BE48" s="385"/>
      <c r="BF48" s="386"/>
      <c r="BG48" s="384"/>
      <c r="BH48" s="384"/>
      <c r="BI48" s="384"/>
      <c r="BJ48" s="383"/>
      <c r="BK48" s="384"/>
      <c r="BL48" s="384"/>
      <c r="BM48" s="387"/>
      <c r="BN48" s="383"/>
      <c r="BO48" s="384"/>
      <c r="BP48" s="384"/>
      <c r="BQ48" s="385"/>
      <c r="BR48" s="383"/>
      <c r="BS48" s="384"/>
      <c r="BT48" s="384"/>
      <c r="BU48" s="387"/>
      <c r="BV48" s="383"/>
      <c r="BW48" s="384"/>
      <c r="BX48" s="384"/>
      <c r="BY48" s="385"/>
      <c r="BZ48" s="216">
        <f t="shared" si="2"/>
        <v>1</v>
      </c>
    </row>
    <row r="49" spans="3:79" ht="12">
      <c r="C49" s="217">
        <v>45</v>
      </c>
      <c r="D49" s="35" t="s">
        <v>1311</v>
      </c>
      <c r="E49" s="383"/>
      <c r="F49" s="384"/>
      <c r="G49" s="384"/>
      <c r="H49" s="385"/>
      <c r="I49" s="386"/>
      <c r="J49" s="384"/>
      <c r="K49" s="384"/>
      <c r="L49" s="384"/>
      <c r="M49" s="383"/>
      <c r="N49" s="384"/>
      <c r="O49" s="384"/>
      <c r="P49" s="387"/>
      <c r="Q49" s="383"/>
      <c r="R49" s="384"/>
      <c r="S49" s="384"/>
      <c r="T49" s="385"/>
      <c r="U49" s="383"/>
      <c r="V49" s="384"/>
      <c r="W49" s="384"/>
      <c r="X49" s="385"/>
      <c r="Y49" s="386"/>
      <c r="Z49" s="384"/>
      <c r="AA49" s="384"/>
      <c r="AB49" s="384"/>
      <c r="AC49" s="383"/>
      <c r="AD49" s="384"/>
      <c r="AE49" s="384"/>
      <c r="AF49" s="387"/>
      <c r="AG49" s="383"/>
      <c r="AH49" s="384"/>
      <c r="AI49" s="384"/>
      <c r="AJ49" s="387"/>
      <c r="AK49" s="383"/>
      <c r="AL49" s="384"/>
      <c r="AM49" s="384"/>
      <c r="AN49" s="385"/>
      <c r="AO49" s="386"/>
      <c r="AP49" s="384"/>
      <c r="AQ49" s="384"/>
      <c r="AR49" s="384"/>
      <c r="AS49" s="383"/>
      <c r="AT49" s="384"/>
      <c r="AU49" s="384"/>
      <c r="AV49" s="387"/>
      <c r="AW49" s="388"/>
      <c r="AX49" s="383"/>
      <c r="AY49" s="384"/>
      <c r="AZ49" s="384">
        <v>1</v>
      </c>
      <c r="BA49" s="385"/>
      <c r="BB49" s="383"/>
      <c r="BC49" s="384"/>
      <c r="BD49" s="384"/>
      <c r="BE49" s="385"/>
      <c r="BF49" s="386"/>
      <c r="BG49" s="384"/>
      <c r="BH49" s="384"/>
      <c r="BI49" s="384"/>
      <c r="BJ49" s="383"/>
      <c r="BK49" s="384"/>
      <c r="BL49" s="384"/>
      <c r="BM49" s="387"/>
      <c r="BN49" s="383"/>
      <c r="BO49" s="384"/>
      <c r="BP49" s="384"/>
      <c r="BQ49" s="385"/>
      <c r="BR49" s="383"/>
      <c r="BS49" s="384"/>
      <c r="BT49" s="384"/>
      <c r="BU49" s="387"/>
      <c r="BV49" s="383"/>
      <c r="BW49" s="384"/>
      <c r="BX49" s="384"/>
      <c r="BY49" s="385"/>
      <c r="BZ49" s="216">
        <f t="shared" si="2"/>
        <v>1</v>
      </c>
    </row>
    <row r="50" spans="3:79" ht="12">
      <c r="C50" s="217">
        <v>46</v>
      </c>
      <c r="D50" s="35" t="s">
        <v>1312</v>
      </c>
      <c r="E50" s="383"/>
      <c r="F50" s="384"/>
      <c r="G50" s="384"/>
      <c r="H50" s="385"/>
      <c r="I50" s="386"/>
      <c r="J50" s="384"/>
      <c r="K50" s="384"/>
      <c r="L50" s="384"/>
      <c r="M50" s="383"/>
      <c r="N50" s="384"/>
      <c r="O50" s="384"/>
      <c r="P50" s="387"/>
      <c r="Q50" s="383"/>
      <c r="R50" s="384"/>
      <c r="S50" s="384"/>
      <c r="T50" s="385"/>
      <c r="U50" s="383"/>
      <c r="V50" s="384"/>
      <c r="W50" s="384"/>
      <c r="X50" s="385"/>
      <c r="Y50" s="386"/>
      <c r="Z50" s="384"/>
      <c r="AA50" s="384"/>
      <c r="AB50" s="384"/>
      <c r="AC50" s="383"/>
      <c r="AD50" s="384"/>
      <c r="AE50" s="384"/>
      <c r="AF50" s="387"/>
      <c r="AG50" s="383"/>
      <c r="AH50" s="384"/>
      <c r="AI50" s="384"/>
      <c r="AJ50" s="387"/>
      <c r="AK50" s="383"/>
      <c r="AL50" s="384"/>
      <c r="AM50" s="384"/>
      <c r="AN50" s="385"/>
      <c r="AO50" s="386"/>
      <c r="AP50" s="384"/>
      <c r="AQ50" s="384"/>
      <c r="AR50" s="384"/>
      <c r="AS50" s="383"/>
      <c r="AT50" s="384"/>
      <c r="AU50" s="384"/>
      <c r="AV50" s="387"/>
      <c r="AW50" s="388"/>
      <c r="AX50" s="383"/>
      <c r="AY50" s="384"/>
      <c r="AZ50" s="384">
        <v>1</v>
      </c>
      <c r="BA50" s="385"/>
      <c r="BB50" s="383"/>
      <c r="BC50" s="384"/>
      <c r="BD50" s="384"/>
      <c r="BE50" s="385"/>
      <c r="BF50" s="386"/>
      <c r="BG50" s="384"/>
      <c r="BH50" s="384"/>
      <c r="BI50" s="384"/>
      <c r="BJ50" s="383"/>
      <c r="BK50" s="384"/>
      <c r="BL50" s="384"/>
      <c r="BM50" s="387"/>
      <c r="BN50" s="383"/>
      <c r="BO50" s="384"/>
      <c r="BP50" s="384"/>
      <c r="BQ50" s="385"/>
      <c r="BR50" s="383"/>
      <c r="BS50" s="384"/>
      <c r="BT50" s="384"/>
      <c r="BU50" s="387"/>
      <c r="BV50" s="383"/>
      <c r="BW50" s="384"/>
      <c r="BX50" s="384"/>
      <c r="BY50" s="385"/>
      <c r="BZ50" s="216">
        <f t="shared" si="2"/>
        <v>1</v>
      </c>
      <c r="CA50" s="216" t="str">
        <f t="shared" si="1"/>
        <v/>
      </c>
    </row>
    <row r="51" spans="3:79" ht="12">
      <c r="C51" s="217">
        <v>47</v>
      </c>
      <c r="D51" s="35" t="s">
        <v>1313</v>
      </c>
      <c r="E51" s="383"/>
      <c r="F51" s="384"/>
      <c r="G51" s="384"/>
      <c r="H51" s="385"/>
      <c r="I51" s="386"/>
      <c r="J51" s="384"/>
      <c r="K51" s="384"/>
      <c r="L51" s="384"/>
      <c r="M51" s="383"/>
      <c r="N51" s="384"/>
      <c r="O51" s="384"/>
      <c r="P51" s="387"/>
      <c r="Q51" s="383"/>
      <c r="R51" s="384"/>
      <c r="S51" s="384"/>
      <c r="T51" s="385"/>
      <c r="U51" s="383"/>
      <c r="V51" s="384"/>
      <c r="W51" s="384"/>
      <c r="X51" s="385"/>
      <c r="Y51" s="386"/>
      <c r="Z51" s="384"/>
      <c r="AA51" s="384"/>
      <c r="AB51" s="384"/>
      <c r="AC51" s="383"/>
      <c r="AD51" s="384"/>
      <c r="AE51" s="384"/>
      <c r="AF51" s="387"/>
      <c r="AG51" s="383"/>
      <c r="AH51" s="384"/>
      <c r="AI51" s="384"/>
      <c r="AJ51" s="387"/>
      <c r="AK51" s="383"/>
      <c r="AL51" s="384"/>
      <c r="AM51" s="384"/>
      <c r="AN51" s="385"/>
      <c r="AO51" s="386"/>
      <c r="AP51" s="384"/>
      <c r="AQ51" s="384"/>
      <c r="AR51" s="384"/>
      <c r="AS51" s="383"/>
      <c r="AT51" s="384"/>
      <c r="AU51" s="384"/>
      <c r="AV51" s="387"/>
      <c r="AW51" s="388"/>
      <c r="AX51" s="383"/>
      <c r="AY51" s="384"/>
      <c r="AZ51" s="384"/>
      <c r="BA51" s="385"/>
      <c r="BB51" s="383"/>
      <c r="BC51" s="384"/>
      <c r="BD51" s="384">
        <v>1</v>
      </c>
      <c r="BE51" s="385"/>
      <c r="BF51" s="386"/>
      <c r="BG51" s="384"/>
      <c r="BH51" s="384"/>
      <c r="BI51" s="384"/>
      <c r="BJ51" s="383"/>
      <c r="BK51" s="384"/>
      <c r="BL51" s="384"/>
      <c r="BM51" s="387"/>
      <c r="BN51" s="383"/>
      <c r="BO51" s="384"/>
      <c r="BP51" s="384"/>
      <c r="BQ51" s="385"/>
      <c r="BR51" s="383"/>
      <c r="BS51" s="384"/>
      <c r="BT51" s="384"/>
      <c r="BU51" s="387"/>
      <c r="BV51" s="383"/>
      <c r="BW51" s="384"/>
      <c r="BX51" s="384"/>
      <c r="BY51" s="385"/>
      <c r="BZ51" s="216">
        <f t="shared" si="2"/>
        <v>1</v>
      </c>
    </row>
    <row r="52" spans="3:79" ht="12">
      <c r="C52" s="217">
        <v>48</v>
      </c>
      <c r="D52" s="35" t="s">
        <v>1314</v>
      </c>
      <c r="E52" s="383"/>
      <c r="F52" s="384"/>
      <c r="G52" s="384"/>
      <c r="H52" s="385"/>
      <c r="I52" s="386"/>
      <c r="J52" s="384"/>
      <c r="K52" s="384"/>
      <c r="L52" s="384"/>
      <c r="M52" s="383"/>
      <c r="N52" s="384"/>
      <c r="O52" s="384"/>
      <c r="P52" s="387"/>
      <c r="Q52" s="383"/>
      <c r="R52" s="384"/>
      <c r="S52" s="384"/>
      <c r="T52" s="385"/>
      <c r="U52" s="383"/>
      <c r="V52" s="384"/>
      <c r="W52" s="384"/>
      <c r="X52" s="385"/>
      <c r="Y52" s="386"/>
      <c r="Z52" s="384"/>
      <c r="AA52" s="384"/>
      <c r="AB52" s="384"/>
      <c r="AC52" s="383"/>
      <c r="AD52" s="384"/>
      <c r="AE52" s="384"/>
      <c r="AF52" s="387"/>
      <c r="AG52" s="383"/>
      <c r="AH52" s="384"/>
      <c r="AI52" s="384"/>
      <c r="AJ52" s="387"/>
      <c r="AK52" s="383"/>
      <c r="AL52" s="384"/>
      <c r="AM52" s="384"/>
      <c r="AN52" s="385"/>
      <c r="AO52" s="386"/>
      <c r="AP52" s="384"/>
      <c r="AQ52" s="384"/>
      <c r="AR52" s="384"/>
      <c r="AS52" s="383"/>
      <c r="AT52" s="384"/>
      <c r="AU52" s="384"/>
      <c r="AV52" s="387"/>
      <c r="AW52" s="388"/>
      <c r="AX52" s="383"/>
      <c r="AY52" s="384"/>
      <c r="AZ52" s="384"/>
      <c r="BA52" s="385"/>
      <c r="BB52" s="383"/>
      <c r="BC52" s="384"/>
      <c r="BD52" s="384">
        <v>1</v>
      </c>
      <c r="BE52" s="385"/>
      <c r="BF52" s="386"/>
      <c r="BG52" s="384"/>
      <c r="BH52" s="384"/>
      <c r="BI52" s="384"/>
      <c r="BJ52" s="383"/>
      <c r="BK52" s="384"/>
      <c r="BL52" s="384"/>
      <c r="BM52" s="387"/>
      <c r="BN52" s="383"/>
      <c r="BO52" s="384"/>
      <c r="BP52" s="384"/>
      <c r="BQ52" s="385"/>
      <c r="BR52" s="383"/>
      <c r="BS52" s="384"/>
      <c r="BT52" s="384"/>
      <c r="BU52" s="387"/>
      <c r="BV52" s="383"/>
      <c r="BW52" s="384"/>
      <c r="BX52" s="384"/>
      <c r="BY52" s="385"/>
      <c r="BZ52" s="216">
        <f t="shared" si="2"/>
        <v>1</v>
      </c>
      <c r="CA52" s="216" t="str">
        <f t="shared" si="1"/>
        <v/>
      </c>
    </row>
    <row r="53" spans="3:79" ht="12">
      <c r="C53" s="217">
        <v>49</v>
      </c>
      <c r="D53" s="35" t="s">
        <v>1315</v>
      </c>
      <c r="E53" s="383"/>
      <c r="F53" s="384"/>
      <c r="G53" s="384"/>
      <c r="H53" s="385"/>
      <c r="I53" s="386"/>
      <c r="J53" s="384"/>
      <c r="K53" s="384"/>
      <c r="L53" s="384"/>
      <c r="M53" s="383"/>
      <c r="N53" s="384"/>
      <c r="O53" s="384"/>
      <c r="P53" s="387"/>
      <c r="Q53" s="383"/>
      <c r="R53" s="384"/>
      <c r="S53" s="384"/>
      <c r="T53" s="385"/>
      <c r="U53" s="383"/>
      <c r="V53" s="384"/>
      <c r="W53" s="384"/>
      <c r="X53" s="385"/>
      <c r="Y53" s="386"/>
      <c r="Z53" s="384"/>
      <c r="AA53" s="384"/>
      <c r="AB53" s="384"/>
      <c r="AC53" s="383"/>
      <c r="AD53" s="384"/>
      <c r="AE53" s="384"/>
      <c r="AF53" s="387"/>
      <c r="AG53" s="383"/>
      <c r="AH53" s="384"/>
      <c r="AI53" s="384"/>
      <c r="AJ53" s="387"/>
      <c r="AK53" s="383"/>
      <c r="AL53" s="384"/>
      <c r="AM53" s="384"/>
      <c r="AN53" s="385"/>
      <c r="AO53" s="386"/>
      <c r="AP53" s="384"/>
      <c r="AQ53" s="384"/>
      <c r="AR53" s="384"/>
      <c r="AS53" s="383"/>
      <c r="AT53" s="384"/>
      <c r="AU53" s="384"/>
      <c r="AV53" s="387"/>
      <c r="AW53" s="388"/>
      <c r="AX53" s="383"/>
      <c r="AY53" s="384"/>
      <c r="AZ53" s="384"/>
      <c r="BA53" s="385"/>
      <c r="BB53" s="383"/>
      <c r="BC53" s="384"/>
      <c r="BD53" s="384">
        <v>1</v>
      </c>
      <c r="BE53" s="385"/>
      <c r="BF53" s="386"/>
      <c r="BG53" s="384"/>
      <c r="BH53" s="384"/>
      <c r="BI53" s="384"/>
      <c r="BJ53" s="383"/>
      <c r="BK53" s="384"/>
      <c r="BL53" s="384"/>
      <c r="BM53" s="387"/>
      <c r="BN53" s="383"/>
      <c r="BO53" s="384"/>
      <c r="BP53" s="384"/>
      <c r="BQ53" s="385"/>
      <c r="BR53" s="383"/>
      <c r="BS53" s="384"/>
      <c r="BT53" s="384"/>
      <c r="BU53" s="387"/>
      <c r="BV53" s="383"/>
      <c r="BW53" s="384"/>
      <c r="BX53" s="384"/>
      <c r="BY53" s="385"/>
      <c r="BZ53" s="216">
        <f t="shared" si="2"/>
        <v>1</v>
      </c>
    </row>
    <row r="54" spans="3:79" ht="12">
      <c r="C54" s="217">
        <v>50</v>
      </c>
      <c r="D54" s="35" t="s">
        <v>1316</v>
      </c>
      <c r="E54" s="383"/>
      <c r="F54" s="384"/>
      <c r="G54" s="384"/>
      <c r="H54" s="385"/>
      <c r="I54" s="386"/>
      <c r="J54" s="384"/>
      <c r="K54" s="384"/>
      <c r="L54" s="384"/>
      <c r="M54" s="383"/>
      <c r="N54" s="384"/>
      <c r="O54" s="384"/>
      <c r="P54" s="387"/>
      <c r="Q54" s="383"/>
      <c r="R54" s="384"/>
      <c r="S54" s="384"/>
      <c r="T54" s="385"/>
      <c r="U54" s="383"/>
      <c r="V54" s="384"/>
      <c r="W54" s="384"/>
      <c r="X54" s="385"/>
      <c r="Y54" s="386"/>
      <c r="Z54" s="384"/>
      <c r="AA54" s="384"/>
      <c r="AB54" s="384"/>
      <c r="AC54" s="383"/>
      <c r="AD54" s="384"/>
      <c r="AE54" s="384"/>
      <c r="AF54" s="387"/>
      <c r="AG54" s="383"/>
      <c r="AH54" s="384"/>
      <c r="AI54" s="384"/>
      <c r="AJ54" s="387"/>
      <c r="AK54" s="383"/>
      <c r="AL54" s="384"/>
      <c r="AM54" s="384"/>
      <c r="AN54" s="385"/>
      <c r="AO54" s="386"/>
      <c r="AP54" s="384"/>
      <c r="AQ54" s="384"/>
      <c r="AR54" s="384"/>
      <c r="AS54" s="383"/>
      <c r="AT54" s="384"/>
      <c r="AU54" s="384"/>
      <c r="AV54" s="387"/>
      <c r="AW54" s="388"/>
      <c r="AX54" s="383"/>
      <c r="AY54" s="384"/>
      <c r="AZ54" s="384"/>
      <c r="BA54" s="385"/>
      <c r="BB54" s="383"/>
      <c r="BC54" s="384"/>
      <c r="BD54" s="384">
        <v>1</v>
      </c>
      <c r="BE54" s="385"/>
      <c r="BF54" s="386"/>
      <c r="BG54" s="384"/>
      <c r="BH54" s="384"/>
      <c r="BI54" s="384"/>
      <c r="BJ54" s="383"/>
      <c r="BK54" s="384"/>
      <c r="BL54" s="384"/>
      <c r="BM54" s="387"/>
      <c r="BN54" s="383"/>
      <c r="BO54" s="384"/>
      <c r="BP54" s="384"/>
      <c r="BQ54" s="385"/>
      <c r="BR54" s="383"/>
      <c r="BS54" s="384"/>
      <c r="BT54" s="384"/>
      <c r="BU54" s="387"/>
      <c r="BV54" s="383"/>
      <c r="BW54" s="384"/>
      <c r="BX54" s="384"/>
      <c r="BY54" s="385"/>
      <c r="BZ54" s="216">
        <f t="shared" si="2"/>
        <v>1</v>
      </c>
      <c r="CA54" s="216" t="str">
        <f t="shared" si="1"/>
        <v/>
      </c>
    </row>
    <row r="55" spans="3:79" ht="12">
      <c r="C55" s="217">
        <v>51</v>
      </c>
      <c r="D55" s="35" t="s">
        <v>1317</v>
      </c>
      <c r="E55" s="383"/>
      <c r="F55" s="384"/>
      <c r="G55" s="384"/>
      <c r="H55" s="385"/>
      <c r="I55" s="386"/>
      <c r="J55" s="384"/>
      <c r="K55" s="384"/>
      <c r="L55" s="384"/>
      <c r="M55" s="383"/>
      <c r="N55" s="384"/>
      <c r="O55" s="384"/>
      <c r="P55" s="387"/>
      <c r="Q55" s="383"/>
      <c r="R55" s="384"/>
      <c r="S55" s="384"/>
      <c r="T55" s="385"/>
      <c r="U55" s="383"/>
      <c r="V55" s="384"/>
      <c r="W55" s="384"/>
      <c r="X55" s="385"/>
      <c r="Y55" s="386"/>
      <c r="Z55" s="384"/>
      <c r="AA55" s="384"/>
      <c r="AB55" s="384"/>
      <c r="AC55" s="383"/>
      <c r="AD55" s="384"/>
      <c r="AE55" s="384"/>
      <c r="AF55" s="387"/>
      <c r="AG55" s="383"/>
      <c r="AH55" s="384"/>
      <c r="AI55" s="384"/>
      <c r="AJ55" s="387"/>
      <c r="AK55" s="383"/>
      <c r="AL55" s="384"/>
      <c r="AM55" s="384"/>
      <c r="AN55" s="385"/>
      <c r="AO55" s="386"/>
      <c r="AP55" s="384"/>
      <c r="AQ55" s="384"/>
      <c r="AR55" s="384"/>
      <c r="AS55" s="383"/>
      <c r="AT55" s="384"/>
      <c r="AU55" s="384"/>
      <c r="AV55" s="387"/>
      <c r="AW55" s="388"/>
      <c r="AX55" s="383"/>
      <c r="AY55" s="384"/>
      <c r="AZ55" s="384"/>
      <c r="BA55" s="385"/>
      <c r="BB55" s="383"/>
      <c r="BC55" s="384"/>
      <c r="BD55" s="384">
        <v>1</v>
      </c>
      <c r="BE55" s="385"/>
      <c r="BF55" s="386"/>
      <c r="BG55" s="384"/>
      <c r="BH55" s="384"/>
      <c r="BI55" s="384"/>
      <c r="BJ55" s="383"/>
      <c r="BK55" s="384"/>
      <c r="BL55" s="384"/>
      <c r="BM55" s="387"/>
      <c r="BN55" s="383"/>
      <c r="BO55" s="384"/>
      <c r="BP55" s="384"/>
      <c r="BQ55" s="385"/>
      <c r="BR55" s="383"/>
      <c r="BS55" s="384"/>
      <c r="BT55" s="384"/>
      <c r="BU55" s="387"/>
      <c r="BV55" s="383"/>
      <c r="BW55" s="384"/>
      <c r="BX55" s="384"/>
      <c r="BY55" s="385"/>
      <c r="BZ55" s="216">
        <f t="shared" si="2"/>
        <v>1</v>
      </c>
    </row>
    <row r="56" spans="3:79" ht="12">
      <c r="C56" s="217">
        <v>52</v>
      </c>
      <c r="D56" s="35" t="s">
        <v>1318</v>
      </c>
      <c r="E56" s="383"/>
      <c r="F56" s="384"/>
      <c r="G56" s="384"/>
      <c r="H56" s="385"/>
      <c r="I56" s="386"/>
      <c r="J56" s="384"/>
      <c r="K56" s="384"/>
      <c r="L56" s="384"/>
      <c r="M56" s="383"/>
      <c r="N56" s="384"/>
      <c r="O56" s="384"/>
      <c r="P56" s="387"/>
      <c r="Q56" s="383"/>
      <c r="R56" s="384"/>
      <c r="S56" s="384"/>
      <c r="T56" s="385"/>
      <c r="U56" s="383"/>
      <c r="V56" s="384"/>
      <c r="W56" s="384"/>
      <c r="X56" s="385"/>
      <c r="Y56" s="386"/>
      <c r="Z56" s="384"/>
      <c r="AA56" s="384"/>
      <c r="AB56" s="384"/>
      <c r="AC56" s="383"/>
      <c r="AD56" s="384"/>
      <c r="AE56" s="384"/>
      <c r="AF56" s="387"/>
      <c r="AG56" s="383"/>
      <c r="AH56" s="384"/>
      <c r="AI56" s="384"/>
      <c r="AJ56" s="387"/>
      <c r="AK56" s="383"/>
      <c r="AL56" s="384"/>
      <c r="AM56" s="384"/>
      <c r="AN56" s="385"/>
      <c r="AO56" s="386"/>
      <c r="AP56" s="384"/>
      <c r="AQ56" s="384"/>
      <c r="AR56" s="384"/>
      <c r="AS56" s="383"/>
      <c r="AT56" s="384"/>
      <c r="AU56" s="384"/>
      <c r="AV56" s="387"/>
      <c r="AW56" s="388"/>
      <c r="AX56" s="383"/>
      <c r="AY56" s="384"/>
      <c r="AZ56" s="384"/>
      <c r="BA56" s="385"/>
      <c r="BB56" s="383"/>
      <c r="BC56" s="384"/>
      <c r="BD56" s="384">
        <v>1</v>
      </c>
      <c r="BE56" s="385"/>
      <c r="BF56" s="386"/>
      <c r="BG56" s="384"/>
      <c r="BH56" s="384"/>
      <c r="BI56" s="384"/>
      <c r="BJ56" s="383"/>
      <c r="BK56" s="384"/>
      <c r="BL56" s="384"/>
      <c r="BM56" s="387"/>
      <c r="BN56" s="383"/>
      <c r="BO56" s="384"/>
      <c r="BP56" s="384"/>
      <c r="BQ56" s="385"/>
      <c r="BR56" s="383"/>
      <c r="BS56" s="384"/>
      <c r="BT56" s="384"/>
      <c r="BU56" s="387"/>
      <c r="BV56" s="383"/>
      <c r="BW56" s="384"/>
      <c r="BX56" s="384"/>
      <c r="BY56" s="385"/>
      <c r="BZ56" s="216">
        <f t="shared" si="2"/>
        <v>1</v>
      </c>
      <c r="CA56" s="216" t="str">
        <f t="shared" si="1"/>
        <v/>
      </c>
    </row>
    <row r="57" spans="3:79" ht="12">
      <c r="C57" s="217">
        <v>53</v>
      </c>
      <c r="D57" s="35" t="s">
        <v>1319</v>
      </c>
      <c r="E57" s="383"/>
      <c r="F57" s="384"/>
      <c r="G57" s="384"/>
      <c r="H57" s="385"/>
      <c r="I57" s="386"/>
      <c r="J57" s="384"/>
      <c r="K57" s="384"/>
      <c r="L57" s="384"/>
      <c r="M57" s="383"/>
      <c r="N57" s="384"/>
      <c r="O57" s="384"/>
      <c r="P57" s="387"/>
      <c r="Q57" s="383"/>
      <c r="R57" s="384"/>
      <c r="S57" s="384"/>
      <c r="T57" s="385"/>
      <c r="U57" s="383"/>
      <c r="V57" s="384"/>
      <c r="W57" s="384"/>
      <c r="X57" s="385"/>
      <c r="Y57" s="386"/>
      <c r="Z57" s="384"/>
      <c r="AA57" s="384"/>
      <c r="AB57" s="384"/>
      <c r="AC57" s="383"/>
      <c r="AD57" s="384"/>
      <c r="AE57" s="384"/>
      <c r="AF57" s="387"/>
      <c r="AG57" s="383"/>
      <c r="AH57" s="384"/>
      <c r="AI57" s="384"/>
      <c r="AJ57" s="387"/>
      <c r="AK57" s="383"/>
      <c r="AL57" s="384"/>
      <c r="AM57" s="384"/>
      <c r="AN57" s="385"/>
      <c r="AO57" s="386"/>
      <c r="AP57" s="384"/>
      <c r="AQ57" s="384"/>
      <c r="AR57" s="384"/>
      <c r="AS57" s="383"/>
      <c r="AT57" s="384"/>
      <c r="AU57" s="384"/>
      <c r="AV57" s="387"/>
      <c r="AW57" s="388"/>
      <c r="AX57" s="383"/>
      <c r="AY57" s="384"/>
      <c r="AZ57" s="384"/>
      <c r="BA57" s="385"/>
      <c r="BB57" s="383"/>
      <c r="BC57" s="384"/>
      <c r="BD57" s="384"/>
      <c r="BE57" s="385">
        <v>1</v>
      </c>
      <c r="BF57" s="386"/>
      <c r="BG57" s="384"/>
      <c r="BH57" s="384"/>
      <c r="BI57" s="384"/>
      <c r="BJ57" s="383"/>
      <c r="BK57" s="384"/>
      <c r="BL57" s="384"/>
      <c r="BM57" s="387"/>
      <c r="BN57" s="383"/>
      <c r="BO57" s="384"/>
      <c r="BP57" s="384"/>
      <c r="BQ57" s="385"/>
      <c r="BR57" s="383"/>
      <c r="BS57" s="384"/>
      <c r="BT57" s="384"/>
      <c r="BU57" s="387"/>
      <c r="BV57" s="383"/>
      <c r="BW57" s="384"/>
      <c r="BX57" s="384"/>
      <c r="BY57" s="385"/>
      <c r="BZ57" s="216">
        <f t="shared" si="2"/>
        <v>1</v>
      </c>
    </row>
    <row r="58" spans="3:79" ht="12">
      <c r="C58" s="217">
        <v>54</v>
      </c>
      <c r="D58" s="35" t="s">
        <v>1320</v>
      </c>
      <c r="E58" s="383"/>
      <c r="F58" s="384"/>
      <c r="G58" s="384"/>
      <c r="H58" s="385"/>
      <c r="I58" s="386"/>
      <c r="J58" s="384"/>
      <c r="K58" s="384"/>
      <c r="L58" s="384"/>
      <c r="M58" s="383"/>
      <c r="N58" s="384"/>
      <c r="O58" s="384"/>
      <c r="P58" s="387"/>
      <c r="Q58" s="383"/>
      <c r="R58" s="384"/>
      <c r="S58" s="384"/>
      <c r="T58" s="385"/>
      <c r="U58" s="383"/>
      <c r="V58" s="384"/>
      <c r="W58" s="384"/>
      <c r="X58" s="385"/>
      <c r="Y58" s="386"/>
      <c r="Z58" s="384"/>
      <c r="AA58" s="384"/>
      <c r="AB58" s="384"/>
      <c r="AC58" s="383"/>
      <c r="AD58" s="384"/>
      <c r="AE58" s="384"/>
      <c r="AF58" s="387"/>
      <c r="AG58" s="383"/>
      <c r="AH58" s="384"/>
      <c r="AI58" s="384"/>
      <c r="AJ58" s="387"/>
      <c r="AK58" s="383"/>
      <c r="AL58" s="384"/>
      <c r="AM58" s="384"/>
      <c r="AN58" s="385"/>
      <c r="AO58" s="386"/>
      <c r="AP58" s="384"/>
      <c r="AQ58" s="384"/>
      <c r="AR58" s="384"/>
      <c r="AS58" s="383"/>
      <c r="AT58" s="384"/>
      <c r="AU58" s="384"/>
      <c r="AV58" s="387"/>
      <c r="AW58" s="388"/>
      <c r="AX58" s="383"/>
      <c r="AY58" s="384"/>
      <c r="AZ58" s="384"/>
      <c r="BA58" s="385"/>
      <c r="BB58" s="383"/>
      <c r="BC58" s="384"/>
      <c r="BD58" s="384"/>
      <c r="BE58" s="385"/>
      <c r="BF58" s="386"/>
      <c r="BG58" s="384"/>
      <c r="BH58" s="384">
        <v>1</v>
      </c>
      <c r="BI58" s="384"/>
      <c r="BJ58" s="383"/>
      <c r="BK58" s="384"/>
      <c r="BL58" s="384"/>
      <c r="BM58" s="387"/>
      <c r="BN58" s="383"/>
      <c r="BO58" s="384"/>
      <c r="BP58" s="384"/>
      <c r="BQ58" s="385"/>
      <c r="BR58" s="383"/>
      <c r="BS58" s="384"/>
      <c r="BT58" s="384"/>
      <c r="BU58" s="387"/>
      <c r="BV58" s="383"/>
      <c r="BW58" s="384"/>
      <c r="BX58" s="384"/>
      <c r="BY58" s="385"/>
      <c r="BZ58" s="216">
        <f t="shared" si="2"/>
        <v>1</v>
      </c>
      <c r="CA58" s="216" t="str">
        <f t="shared" si="1"/>
        <v/>
      </c>
    </row>
    <row r="59" spans="3:79" ht="12">
      <c r="C59" s="217">
        <v>55</v>
      </c>
      <c r="D59" s="35" t="s">
        <v>1321</v>
      </c>
      <c r="E59" s="383"/>
      <c r="F59" s="384"/>
      <c r="G59" s="384"/>
      <c r="H59" s="385"/>
      <c r="I59" s="386"/>
      <c r="J59" s="384"/>
      <c r="K59" s="384"/>
      <c r="L59" s="384"/>
      <c r="M59" s="383"/>
      <c r="N59" s="384"/>
      <c r="O59" s="384"/>
      <c r="P59" s="387"/>
      <c r="Q59" s="383"/>
      <c r="R59" s="384"/>
      <c r="S59" s="384"/>
      <c r="T59" s="385"/>
      <c r="U59" s="383"/>
      <c r="V59" s="384"/>
      <c r="W59" s="384"/>
      <c r="X59" s="385"/>
      <c r="Y59" s="386"/>
      <c r="Z59" s="384"/>
      <c r="AA59" s="384"/>
      <c r="AB59" s="384"/>
      <c r="AC59" s="383"/>
      <c r="AD59" s="384"/>
      <c r="AE59" s="384"/>
      <c r="AF59" s="387"/>
      <c r="AG59" s="383"/>
      <c r="AH59" s="384"/>
      <c r="AI59" s="384"/>
      <c r="AJ59" s="387"/>
      <c r="AK59" s="383"/>
      <c r="AL59" s="384"/>
      <c r="AM59" s="384"/>
      <c r="AN59" s="385"/>
      <c r="AO59" s="386"/>
      <c r="AP59" s="384"/>
      <c r="AQ59" s="384"/>
      <c r="AR59" s="384"/>
      <c r="AS59" s="383"/>
      <c r="AT59" s="384"/>
      <c r="AU59" s="384"/>
      <c r="AV59" s="387"/>
      <c r="AW59" s="388"/>
      <c r="AX59" s="383"/>
      <c r="AY59" s="384"/>
      <c r="AZ59" s="384"/>
      <c r="BA59" s="385"/>
      <c r="BB59" s="383"/>
      <c r="BC59" s="384"/>
      <c r="BD59" s="384"/>
      <c r="BE59" s="385"/>
      <c r="BF59" s="386"/>
      <c r="BG59" s="384"/>
      <c r="BH59" s="384"/>
      <c r="BI59" s="384">
        <v>1</v>
      </c>
      <c r="BJ59" s="383"/>
      <c r="BK59" s="384"/>
      <c r="BL59" s="384"/>
      <c r="BM59" s="387"/>
      <c r="BN59" s="383"/>
      <c r="BO59" s="384"/>
      <c r="BP59" s="384"/>
      <c r="BQ59" s="385"/>
      <c r="BR59" s="383"/>
      <c r="BS59" s="384"/>
      <c r="BT59" s="384"/>
      <c r="BU59" s="387"/>
      <c r="BV59" s="383"/>
      <c r="BW59" s="384"/>
      <c r="BX59" s="384"/>
      <c r="BY59" s="385"/>
      <c r="BZ59" s="216">
        <f t="shared" si="2"/>
        <v>1</v>
      </c>
    </row>
    <row r="60" spans="3:79" ht="12">
      <c r="C60" s="217">
        <v>56</v>
      </c>
      <c r="D60" s="35" t="s">
        <v>1322</v>
      </c>
      <c r="E60" s="383"/>
      <c r="F60" s="384"/>
      <c r="G60" s="384"/>
      <c r="H60" s="385"/>
      <c r="I60" s="386"/>
      <c r="J60" s="384"/>
      <c r="K60" s="384"/>
      <c r="L60" s="384"/>
      <c r="M60" s="383"/>
      <c r="N60" s="384"/>
      <c r="O60" s="384"/>
      <c r="P60" s="387"/>
      <c r="Q60" s="383"/>
      <c r="R60" s="384"/>
      <c r="S60" s="384"/>
      <c r="T60" s="385"/>
      <c r="U60" s="383"/>
      <c r="V60" s="384"/>
      <c r="W60" s="384"/>
      <c r="X60" s="385"/>
      <c r="Y60" s="386"/>
      <c r="Z60" s="384"/>
      <c r="AA60" s="384"/>
      <c r="AB60" s="384"/>
      <c r="AC60" s="383"/>
      <c r="AD60" s="384"/>
      <c r="AE60" s="384"/>
      <c r="AF60" s="387"/>
      <c r="AG60" s="383"/>
      <c r="AH60" s="384"/>
      <c r="AI60" s="384"/>
      <c r="AJ60" s="387"/>
      <c r="AK60" s="383"/>
      <c r="AL60" s="384"/>
      <c r="AM60" s="384"/>
      <c r="AN60" s="385"/>
      <c r="AO60" s="386"/>
      <c r="AP60" s="384"/>
      <c r="AQ60" s="384"/>
      <c r="AR60" s="384"/>
      <c r="AS60" s="383"/>
      <c r="AT60" s="384"/>
      <c r="AU60" s="384"/>
      <c r="AV60" s="387"/>
      <c r="AW60" s="388"/>
      <c r="AX60" s="383"/>
      <c r="AY60" s="384"/>
      <c r="AZ60" s="384"/>
      <c r="BA60" s="385"/>
      <c r="BB60" s="383"/>
      <c r="BC60" s="384"/>
      <c r="BD60" s="384"/>
      <c r="BE60" s="385"/>
      <c r="BF60" s="386"/>
      <c r="BG60" s="384"/>
      <c r="BH60" s="384">
        <v>1</v>
      </c>
      <c r="BI60" s="384"/>
      <c r="BJ60" s="383"/>
      <c r="BK60" s="384"/>
      <c r="BL60" s="384"/>
      <c r="BM60" s="387"/>
      <c r="BN60" s="383"/>
      <c r="BO60" s="384"/>
      <c r="BP60" s="384"/>
      <c r="BQ60" s="385"/>
      <c r="BR60" s="383"/>
      <c r="BS60" s="384"/>
      <c r="BT60" s="384"/>
      <c r="BU60" s="387"/>
      <c r="BV60" s="383"/>
      <c r="BW60" s="384"/>
      <c r="BX60" s="384"/>
      <c r="BY60" s="385"/>
      <c r="BZ60" s="216">
        <f t="shared" si="2"/>
        <v>1</v>
      </c>
      <c r="CA60" s="216" t="str">
        <f t="shared" si="1"/>
        <v/>
      </c>
    </row>
    <row r="61" spans="3:79" ht="12">
      <c r="C61" s="217">
        <v>57</v>
      </c>
      <c r="D61" s="35" t="s">
        <v>1323</v>
      </c>
      <c r="E61" s="383"/>
      <c r="F61" s="384"/>
      <c r="G61" s="384"/>
      <c r="H61" s="385"/>
      <c r="I61" s="386"/>
      <c r="J61" s="384"/>
      <c r="K61" s="384"/>
      <c r="L61" s="384"/>
      <c r="M61" s="383"/>
      <c r="N61" s="384"/>
      <c r="O61" s="384"/>
      <c r="P61" s="387"/>
      <c r="Q61" s="383"/>
      <c r="R61" s="384"/>
      <c r="S61" s="384"/>
      <c r="T61" s="385"/>
      <c r="U61" s="383"/>
      <c r="V61" s="384"/>
      <c r="W61" s="384"/>
      <c r="X61" s="385"/>
      <c r="Y61" s="386"/>
      <c r="Z61" s="384"/>
      <c r="AA61" s="384"/>
      <c r="AB61" s="384"/>
      <c r="AC61" s="383"/>
      <c r="AD61" s="384"/>
      <c r="AE61" s="384"/>
      <c r="AF61" s="387"/>
      <c r="AG61" s="383"/>
      <c r="AH61" s="384"/>
      <c r="AI61" s="384"/>
      <c r="AJ61" s="387"/>
      <c r="AK61" s="383"/>
      <c r="AL61" s="384"/>
      <c r="AM61" s="384"/>
      <c r="AN61" s="385"/>
      <c r="AO61" s="386"/>
      <c r="AP61" s="384"/>
      <c r="AQ61" s="384"/>
      <c r="AR61" s="384"/>
      <c r="AS61" s="383"/>
      <c r="AT61" s="384"/>
      <c r="AU61" s="384"/>
      <c r="AV61" s="387"/>
      <c r="AW61" s="388"/>
      <c r="AX61" s="383"/>
      <c r="AY61" s="384"/>
      <c r="AZ61" s="384"/>
      <c r="BA61" s="385"/>
      <c r="BB61" s="383"/>
      <c r="BC61" s="384"/>
      <c r="BD61" s="384"/>
      <c r="BE61" s="385"/>
      <c r="BF61" s="386"/>
      <c r="BG61" s="384"/>
      <c r="BH61" s="384"/>
      <c r="BI61" s="384"/>
      <c r="BJ61" s="383"/>
      <c r="BK61" s="384"/>
      <c r="BL61" s="384"/>
      <c r="BM61" s="387">
        <v>1</v>
      </c>
      <c r="BN61" s="383"/>
      <c r="BO61" s="384"/>
      <c r="BP61" s="384"/>
      <c r="BQ61" s="385"/>
      <c r="BR61" s="383"/>
      <c r="BS61" s="384"/>
      <c r="BT61" s="384"/>
      <c r="BU61" s="387"/>
      <c r="BV61" s="383"/>
      <c r="BW61" s="384"/>
      <c r="BX61" s="384"/>
      <c r="BY61" s="385"/>
      <c r="BZ61" s="216">
        <f t="shared" si="2"/>
        <v>1</v>
      </c>
    </row>
    <row r="62" spans="3:79" ht="12">
      <c r="C62" s="217">
        <v>58</v>
      </c>
      <c r="D62" s="35" t="s">
        <v>1324</v>
      </c>
      <c r="E62" s="383"/>
      <c r="F62" s="384"/>
      <c r="G62" s="384"/>
      <c r="H62" s="385"/>
      <c r="I62" s="386"/>
      <c r="J62" s="384"/>
      <c r="K62" s="384"/>
      <c r="L62" s="384"/>
      <c r="M62" s="383"/>
      <c r="N62" s="384"/>
      <c r="O62" s="384"/>
      <c r="P62" s="387"/>
      <c r="Q62" s="383"/>
      <c r="R62" s="384"/>
      <c r="S62" s="384"/>
      <c r="T62" s="385"/>
      <c r="U62" s="383"/>
      <c r="V62" s="384"/>
      <c r="W62" s="384"/>
      <c r="X62" s="385"/>
      <c r="Y62" s="386"/>
      <c r="Z62" s="384"/>
      <c r="AA62" s="384"/>
      <c r="AB62" s="384"/>
      <c r="AC62" s="383"/>
      <c r="AD62" s="384"/>
      <c r="AE62" s="384"/>
      <c r="AF62" s="387"/>
      <c r="AG62" s="383"/>
      <c r="AH62" s="384"/>
      <c r="AI62" s="384"/>
      <c r="AJ62" s="387"/>
      <c r="AK62" s="383"/>
      <c r="AL62" s="384"/>
      <c r="AM62" s="384"/>
      <c r="AN62" s="385"/>
      <c r="AO62" s="386"/>
      <c r="AP62" s="384"/>
      <c r="AQ62" s="384"/>
      <c r="AR62" s="384"/>
      <c r="AS62" s="383"/>
      <c r="AT62" s="384"/>
      <c r="AU62" s="384"/>
      <c r="AV62" s="387"/>
      <c r="AW62" s="388"/>
      <c r="AX62" s="383"/>
      <c r="AY62" s="384"/>
      <c r="AZ62" s="384"/>
      <c r="BA62" s="385"/>
      <c r="BB62" s="383"/>
      <c r="BC62" s="384"/>
      <c r="BD62" s="384"/>
      <c r="BE62" s="385"/>
      <c r="BF62" s="386"/>
      <c r="BG62" s="384"/>
      <c r="BH62" s="384"/>
      <c r="BI62" s="384"/>
      <c r="BJ62" s="383"/>
      <c r="BK62" s="384"/>
      <c r="BL62" s="384">
        <v>1</v>
      </c>
      <c r="BM62" s="387"/>
      <c r="BN62" s="383"/>
      <c r="BO62" s="384"/>
      <c r="BP62" s="384"/>
      <c r="BQ62" s="385"/>
      <c r="BR62" s="383"/>
      <c r="BS62" s="384"/>
      <c r="BT62" s="384"/>
      <c r="BU62" s="387"/>
      <c r="BV62" s="383"/>
      <c r="BW62" s="384"/>
      <c r="BX62" s="384"/>
      <c r="BY62" s="385"/>
      <c r="BZ62" s="216">
        <f t="shared" si="2"/>
        <v>1</v>
      </c>
      <c r="CA62" s="216" t="str">
        <f t="shared" si="1"/>
        <v/>
      </c>
    </row>
    <row r="63" spans="3:79" ht="12">
      <c r="C63" s="217">
        <v>59</v>
      </c>
      <c r="D63" s="35" t="s">
        <v>1325</v>
      </c>
      <c r="E63" s="383"/>
      <c r="F63" s="384"/>
      <c r="G63" s="384"/>
      <c r="H63" s="385"/>
      <c r="I63" s="386"/>
      <c r="J63" s="384"/>
      <c r="K63" s="384"/>
      <c r="L63" s="384"/>
      <c r="M63" s="383"/>
      <c r="N63" s="384"/>
      <c r="O63" s="384"/>
      <c r="P63" s="387"/>
      <c r="Q63" s="383"/>
      <c r="R63" s="384"/>
      <c r="S63" s="384"/>
      <c r="T63" s="385"/>
      <c r="U63" s="383"/>
      <c r="V63" s="384"/>
      <c r="W63" s="384"/>
      <c r="X63" s="385"/>
      <c r="Y63" s="386"/>
      <c r="Z63" s="384"/>
      <c r="AA63" s="384"/>
      <c r="AB63" s="384"/>
      <c r="AC63" s="383"/>
      <c r="AD63" s="384"/>
      <c r="AE63" s="384"/>
      <c r="AF63" s="387"/>
      <c r="AG63" s="383"/>
      <c r="AH63" s="384"/>
      <c r="AI63" s="384"/>
      <c r="AJ63" s="387"/>
      <c r="AK63" s="383"/>
      <c r="AL63" s="384"/>
      <c r="AM63" s="384"/>
      <c r="AN63" s="385"/>
      <c r="AO63" s="386"/>
      <c r="AP63" s="384"/>
      <c r="AQ63" s="384"/>
      <c r="AR63" s="384"/>
      <c r="AS63" s="383"/>
      <c r="AT63" s="384"/>
      <c r="AU63" s="384"/>
      <c r="AV63" s="387"/>
      <c r="AW63" s="388"/>
      <c r="AX63" s="383"/>
      <c r="AY63" s="384"/>
      <c r="AZ63" s="384"/>
      <c r="BA63" s="385"/>
      <c r="BB63" s="383"/>
      <c r="BC63" s="384"/>
      <c r="BD63" s="384"/>
      <c r="BE63" s="385"/>
      <c r="BF63" s="386"/>
      <c r="BG63" s="384"/>
      <c r="BH63" s="384"/>
      <c r="BI63" s="384"/>
      <c r="BJ63" s="383"/>
      <c r="BK63" s="384"/>
      <c r="BL63" s="384">
        <v>1</v>
      </c>
      <c r="BM63" s="387"/>
      <c r="BN63" s="383"/>
      <c r="BO63" s="384"/>
      <c r="BP63" s="384"/>
      <c r="BQ63" s="385"/>
      <c r="BR63" s="383"/>
      <c r="BS63" s="384"/>
      <c r="BT63" s="384"/>
      <c r="BU63" s="387"/>
      <c r="BV63" s="383"/>
      <c r="BW63" s="384"/>
      <c r="BX63" s="384"/>
      <c r="BY63" s="385"/>
      <c r="BZ63" s="216">
        <f t="shared" si="2"/>
        <v>1</v>
      </c>
    </row>
    <row r="64" spans="3:79" ht="12">
      <c r="C64" s="217">
        <v>60</v>
      </c>
      <c r="D64" s="35" t="s">
        <v>1326</v>
      </c>
      <c r="E64" s="383"/>
      <c r="F64" s="384"/>
      <c r="G64" s="384"/>
      <c r="H64" s="385"/>
      <c r="I64" s="386"/>
      <c r="J64" s="384"/>
      <c r="K64" s="384"/>
      <c r="L64" s="384"/>
      <c r="M64" s="383"/>
      <c r="N64" s="384"/>
      <c r="O64" s="384"/>
      <c r="P64" s="387"/>
      <c r="Q64" s="383"/>
      <c r="R64" s="384"/>
      <c r="S64" s="384"/>
      <c r="T64" s="385"/>
      <c r="U64" s="383"/>
      <c r="V64" s="384"/>
      <c r="W64" s="384"/>
      <c r="X64" s="385"/>
      <c r="Y64" s="386"/>
      <c r="Z64" s="384"/>
      <c r="AA64" s="384"/>
      <c r="AB64" s="384"/>
      <c r="AC64" s="383"/>
      <c r="AD64" s="384"/>
      <c r="AE64" s="384"/>
      <c r="AF64" s="387"/>
      <c r="AG64" s="383"/>
      <c r="AH64" s="384"/>
      <c r="AI64" s="384"/>
      <c r="AJ64" s="387"/>
      <c r="AK64" s="383"/>
      <c r="AL64" s="384"/>
      <c r="AM64" s="384"/>
      <c r="AN64" s="385"/>
      <c r="AO64" s="386"/>
      <c r="AP64" s="384"/>
      <c r="AQ64" s="384"/>
      <c r="AR64" s="384"/>
      <c r="AS64" s="383"/>
      <c r="AT64" s="384"/>
      <c r="AU64" s="384"/>
      <c r="AV64" s="387"/>
      <c r="AW64" s="388"/>
      <c r="AX64" s="383"/>
      <c r="AY64" s="384"/>
      <c r="AZ64" s="384"/>
      <c r="BA64" s="385"/>
      <c r="BB64" s="383"/>
      <c r="BC64" s="384"/>
      <c r="BD64" s="384"/>
      <c r="BE64" s="385"/>
      <c r="BF64" s="386"/>
      <c r="BG64" s="384"/>
      <c r="BH64" s="384"/>
      <c r="BI64" s="384"/>
      <c r="BJ64" s="383"/>
      <c r="BK64" s="384"/>
      <c r="BL64" s="384"/>
      <c r="BM64" s="387"/>
      <c r="BN64" s="383"/>
      <c r="BO64" s="384"/>
      <c r="BP64" s="384"/>
      <c r="BQ64" s="385">
        <v>1</v>
      </c>
      <c r="BR64" s="383"/>
      <c r="BS64" s="384"/>
      <c r="BT64" s="384"/>
      <c r="BU64" s="387"/>
      <c r="BV64" s="383"/>
      <c r="BW64" s="384"/>
      <c r="BX64" s="384"/>
      <c r="BY64" s="385"/>
      <c r="BZ64" s="216">
        <f t="shared" si="2"/>
        <v>1</v>
      </c>
    </row>
    <row r="65" spans="3:79" ht="12">
      <c r="C65" s="217">
        <v>61</v>
      </c>
      <c r="D65" s="35" t="s">
        <v>1327</v>
      </c>
      <c r="E65" s="383"/>
      <c r="F65" s="384"/>
      <c r="G65" s="384"/>
      <c r="H65" s="385"/>
      <c r="I65" s="386"/>
      <c r="J65" s="384"/>
      <c r="K65" s="384"/>
      <c r="L65" s="384"/>
      <c r="M65" s="383"/>
      <c r="N65" s="384"/>
      <c r="O65" s="384"/>
      <c r="P65" s="387"/>
      <c r="Q65" s="383"/>
      <c r="R65" s="384"/>
      <c r="S65" s="384"/>
      <c r="T65" s="385"/>
      <c r="U65" s="383"/>
      <c r="V65" s="384"/>
      <c r="W65" s="384"/>
      <c r="X65" s="385"/>
      <c r="Y65" s="386"/>
      <c r="Z65" s="384"/>
      <c r="AA65" s="384"/>
      <c r="AB65" s="384"/>
      <c r="AC65" s="383"/>
      <c r="AD65" s="384"/>
      <c r="AE65" s="384"/>
      <c r="AF65" s="387"/>
      <c r="AG65" s="383"/>
      <c r="AH65" s="384"/>
      <c r="AI65" s="384"/>
      <c r="AJ65" s="387"/>
      <c r="AK65" s="383"/>
      <c r="AL65" s="384"/>
      <c r="AM65" s="384"/>
      <c r="AN65" s="385"/>
      <c r="AO65" s="386"/>
      <c r="AP65" s="384"/>
      <c r="AQ65" s="384"/>
      <c r="AR65" s="384"/>
      <c r="AS65" s="383"/>
      <c r="AT65" s="384"/>
      <c r="AU65" s="384"/>
      <c r="AV65" s="387"/>
      <c r="AW65" s="388"/>
      <c r="AX65" s="383"/>
      <c r="AY65" s="384"/>
      <c r="AZ65" s="384"/>
      <c r="BA65" s="385"/>
      <c r="BB65" s="383"/>
      <c r="BC65" s="384"/>
      <c r="BD65" s="384"/>
      <c r="BE65" s="385"/>
      <c r="BF65" s="386"/>
      <c r="BG65" s="384"/>
      <c r="BH65" s="384"/>
      <c r="BI65" s="384"/>
      <c r="BJ65" s="383"/>
      <c r="BK65" s="384"/>
      <c r="BL65" s="384"/>
      <c r="BM65" s="387"/>
      <c r="BN65" s="383"/>
      <c r="BO65" s="384"/>
      <c r="BP65" s="384"/>
      <c r="BQ65" s="385">
        <v>1</v>
      </c>
      <c r="BR65" s="383"/>
      <c r="BS65" s="384"/>
      <c r="BT65" s="384"/>
      <c r="BU65" s="387"/>
      <c r="BV65" s="383"/>
      <c r="BW65" s="384"/>
      <c r="BX65" s="384"/>
      <c r="BY65" s="385"/>
      <c r="BZ65" s="216">
        <f t="shared" si="2"/>
        <v>1</v>
      </c>
      <c r="CA65" s="216" t="str">
        <f t="shared" si="1"/>
        <v/>
      </c>
    </row>
    <row r="66" spans="3:79" ht="12">
      <c r="C66" s="217">
        <v>62</v>
      </c>
      <c r="D66" s="35" t="s">
        <v>1328</v>
      </c>
      <c r="E66" s="383"/>
      <c r="F66" s="384"/>
      <c r="G66" s="384"/>
      <c r="H66" s="385"/>
      <c r="I66" s="386"/>
      <c r="J66" s="384"/>
      <c r="K66" s="384"/>
      <c r="L66" s="384"/>
      <c r="M66" s="383"/>
      <c r="N66" s="384"/>
      <c r="O66" s="384"/>
      <c r="P66" s="387"/>
      <c r="Q66" s="383"/>
      <c r="R66" s="384"/>
      <c r="S66" s="384"/>
      <c r="T66" s="385"/>
      <c r="U66" s="383"/>
      <c r="V66" s="384"/>
      <c r="W66" s="384"/>
      <c r="X66" s="385"/>
      <c r="Y66" s="386"/>
      <c r="Z66" s="384"/>
      <c r="AA66" s="384"/>
      <c r="AB66" s="384"/>
      <c r="AC66" s="383"/>
      <c r="AD66" s="384"/>
      <c r="AE66" s="384"/>
      <c r="AF66" s="387"/>
      <c r="AG66" s="383"/>
      <c r="AH66" s="384"/>
      <c r="AI66" s="384"/>
      <c r="AJ66" s="387"/>
      <c r="AK66" s="383"/>
      <c r="AL66" s="384"/>
      <c r="AM66" s="384"/>
      <c r="AN66" s="385"/>
      <c r="AO66" s="386"/>
      <c r="AP66" s="384"/>
      <c r="AQ66" s="384"/>
      <c r="AR66" s="384"/>
      <c r="AS66" s="383"/>
      <c r="AT66" s="384"/>
      <c r="AU66" s="384"/>
      <c r="AV66" s="387"/>
      <c r="AW66" s="388"/>
      <c r="AX66" s="383"/>
      <c r="AY66" s="384"/>
      <c r="AZ66" s="384"/>
      <c r="BA66" s="385"/>
      <c r="BB66" s="383"/>
      <c r="BC66" s="384"/>
      <c r="BD66" s="384"/>
      <c r="BE66" s="385"/>
      <c r="BF66" s="386"/>
      <c r="BG66" s="384"/>
      <c r="BH66" s="384"/>
      <c r="BI66" s="384"/>
      <c r="BJ66" s="383"/>
      <c r="BK66" s="384"/>
      <c r="BL66" s="384"/>
      <c r="BM66" s="387"/>
      <c r="BN66" s="383"/>
      <c r="BO66" s="384"/>
      <c r="BP66" s="384">
        <v>1</v>
      </c>
      <c r="BQ66" s="385"/>
      <c r="BR66" s="383"/>
      <c r="BS66" s="384"/>
      <c r="BT66" s="384"/>
      <c r="BU66" s="387"/>
      <c r="BV66" s="383"/>
      <c r="BW66" s="384"/>
      <c r="BX66" s="384"/>
      <c r="BY66" s="385"/>
      <c r="BZ66" s="216">
        <f t="shared" si="2"/>
        <v>1</v>
      </c>
    </row>
    <row r="67" spans="3:79" ht="12">
      <c r="C67" s="217">
        <v>63</v>
      </c>
      <c r="D67" s="35" t="s">
        <v>1329</v>
      </c>
      <c r="E67" s="383"/>
      <c r="F67" s="384"/>
      <c r="G67" s="384"/>
      <c r="H67" s="385"/>
      <c r="I67" s="386"/>
      <c r="J67" s="384"/>
      <c r="K67" s="384"/>
      <c r="L67" s="384"/>
      <c r="M67" s="383"/>
      <c r="N67" s="384"/>
      <c r="O67" s="384"/>
      <c r="P67" s="387"/>
      <c r="Q67" s="383"/>
      <c r="R67" s="384"/>
      <c r="S67" s="384"/>
      <c r="T67" s="385"/>
      <c r="U67" s="383"/>
      <c r="V67" s="384"/>
      <c r="W67" s="384"/>
      <c r="X67" s="385"/>
      <c r="Y67" s="386"/>
      <c r="Z67" s="384"/>
      <c r="AA67" s="384"/>
      <c r="AB67" s="384"/>
      <c r="AC67" s="383"/>
      <c r="AD67" s="384"/>
      <c r="AE67" s="384"/>
      <c r="AF67" s="387"/>
      <c r="AG67" s="383"/>
      <c r="AH67" s="384"/>
      <c r="AI67" s="384"/>
      <c r="AJ67" s="387"/>
      <c r="AK67" s="383"/>
      <c r="AL67" s="384"/>
      <c r="AM67" s="384"/>
      <c r="AN67" s="385"/>
      <c r="AO67" s="386"/>
      <c r="AP67" s="384"/>
      <c r="AQ67" s="384"/>
      <c r="AR67" s="384"/>
      <c r="AS67" s="383"/>
      <c r="AT67" s="384"/>
      <c r="AU67" s="384"/>
      <c r="AV67" s="387"/>
      <c r="AW67" s="388"/>
      <c r="AX67" s="383"/>
      <c r="AY67" s="384"/>
      <c r="AZ67" s="384"/>
      <c r="BA67" s="385"/>
      <c r="BB67" s="383"/>
      <c r="BC67" s="384"/>
      <c r="BD67" s="384"/>
      <c r="BE67" s="385"/>
      <c r="BF67" s="386"/>
      <c r="BG67" s="384"/>
      <c r="BH67" s="384"/>
      <c r="BI67" s="384"/>
      <c r="BJ67" s="383"/>
      <c r="BK67" s="384"/>
      <c r="BL67" s="384"/>
      <c r="BM67" s="387"/>
      <c r="BN67" s="383"/>
      <c r="BO67" s="384"/>
      <c r="BP67" s="384">
        <v>1</v>
      </c>
      <c r="BQ67" s="385"/>
      <c r="BR67" s="383"/>
      <c r="BS67" s="384"/>
      <c r="BT67" s="384"/>
      <c r="BU67" s="387"/>
      <c r="BV67" s="383"/>
      <c r="BW67" s="384"/>
      <c r="BX67" s="384"/>
      <c r="BY67" s="385"/>
      <c r="BZ67" s="216">
        <f t="shared" si="2"/>
        <v>1</v>
      </c>
      <c r="CA67" s="216" t="str">
        <f t="shared" si="1"/>
        <v/>
      </c>
    </row>
    <row r="68" spans="3:79" ht="12">
      <c r="C68" s="217">
        <v>64</v>
      </c>
      <c r="D68" s="35" t="s">
        <v>1330</v>
      </c>
      <c r="E68" s="383"/>
      <c r="F68" s="384"/>
      <c r="G68" s="384"/>
      <c r="H68" s="385"/>
      <c r="I68" s="386"/>
      <c r="J68" s="384"/>
      <c r="K68" s="384"/>
      <c r="L68" s="384"/>
      <c r="M68" s="383"/>
      <c r="N68" s="384"/>
      <c r="O68" s="384"/>
      <c r="P68" s="387"/>
      <c r="Q68" s="383"/>
      <c r="R68" s="384"/>
      <c r="S68" s="384"/>
      <c r="T68" s="385"/>
      <c r="U68" s="383"/>
      <c r="V68" s="384"/>
      <c r="W68" s="384"/>
      <c r="X68" s="385"/>
      <c r="Y68" s="386"/>
      <c r="Z68" s="384"/>
      <c r="AA68" s="384"/>
      <c r="AB68" s="384"/>
      <c r="AC68" s="383"/>
      <c r="AD68" s="384"/>
      <c r="AE68" s="384"/>
      <c r="AF68" s="387"/>
      <c r="AG68" s="383"/>
      <c r="AH68" s="384"/>
      <c r="AI68" s="384"/>
      <c r="AJ68" s="387"/>
      <c r="AK68" s="383"/>
      <c r="AL68" s="384"/>
      <c r="AM68" s="384"/>
      <c r="AN68" s="385"/>
      <c r="AO68" s="386"/>
      <c r="AP68" s="384"/>
      <c r="AQ68" s="384"/>
      <c r="AR68" s="384"/>
      <c r="AS68" s="383"/>
      <c r="AT68" s="384"/>
      <c r="AU68" s="384"/>
      <c r="AV68" s="387"/>
      <c r="AW68" s="388"/>
      <c r="AX68" s="383"/>
      <c r="AY68" s="384"/>
      <c r="AZ68" s="384"/>
      <c r="BA68" s="385"/>
      <c r="BB68" s="383"/>
      <c r="BC68" s="384"/>
      <c r="BD68" s="384"/>
      <c r="BE68" s="385"/>
      <c r="BF68" s="386"/>
      <c r="BG68" s="384"/>
      <c r="BH68" s="384"/>
      <c r="BI68" s="384"/>
      <c r="BJ68" s="383"/>
      <c r="BK68" s="384"/>
      <c r="BL68" s="384"/>
      <c r="BM68" s="387"/>
      <c r="BN68" s="383"/>
      <c r="BO68" s="384"/>
      <c r="BP68" s="384"/>
      <c r="BQ68" s="385"/>
      <c r="BR68" s="383"/>
      <c r="BS68" s="384"/>
      <c r="BT68" s="384">
        <v>1</v>
      </c>
      <c r="BU68" s="387"/>
      <c r="BV68" s="383"/>
      <c r="BW68" s="384"/>
      <c r="BX68" s="384"/>
      <c r="BY68" s="385"/>
      <c r="BZ68" s="216">
        <f t="shared" si="2"/>
        <v>1</v>
      </c>
    </row>
    <row r="69" spans="3:79" ht="12">
      <c r="C69" s="217">
        <v>65</v>
      </c>
      <c r="D69" s="35" t="s">
        <v>1331</v>
      </c>
      <c r="E69" s="383"/>
      <c r="F69" s="384"/>
      <c r="G69" s="384"/>
      <c r="H69" s="385"/>
      <c r="I69" s="386"/>
      <c r="J69" s="384"/>
      <c r="K69" s="384"/>
      <c r="L69" s="384"/>
      <c r="M69" s="383"/>
      <c r="N69" s="384"/>
      <c r="O69" s="384"/>
      <c r="P69" s="387"/>
      <c r="Q69" s="383"/>
      <c r="R69" s="384"/>
      <c r="S69" s="384"/>
      <c r="T69" s="385"/>
      <c r="U69" s="383"/>
      <c r="V69" s="384"/>
      <c r="W69" s="384"/>
      <c r="X69" s="385"/>
      <c r="Y69" s="386"/>
      <c r="Z69" s="384"/>
      <c r="AA69" s="384"/>
      <c r="AB69" s="384"/>
      <c r="AC69" s="383"/>
      <c r="AD69" s="384"/>
      <c r="AE69" s="384"/>
      <c r="AF69" s="387"/>
      <c r="AG69" s="383"/>
      <c r="AH69" s="384"/>
      <c r="AI69" s="384"/>
      <c r="AJ69" s="387"/>
      <c r="AK69" s="383"/>
      <c r="AL69" s="384"/>
      <c r="AM69" s="384"/>
      <c r="AN69" s="385"/>
      <c r="AO69" s="386"/>
      <c r="AP69" s="384"/>
      <c r="AQ69" s="384"/>
      <c r="AR69" s="384"/>
      <c r="AS69" s="383"/>
      <c r="AT69" s="384"/>
      <c r="AU69" s="384"/>
      <c r="AV69" s="387"/>
      <c r="AW69" s="388"/>
      <c r="AX69" s="383"/>
      <c r="AY69" s="384"/>
      <c r="AZ69" s="384"/>
      <c r="BA69" s="385"/>
      <c r="BB69" s="383"/>
      <c r="BC69" s="384"/>
      <c r="BD69" s="384"/>
      <c r="BE69" s="385"/>
      <c r="BF69" s="386"/>
      <c r="BG69" s="384"/>
      <c r="BH69" s="384"/>
      <c r="BI69" s="384"/>
      <c r="BJ69" s="383"/>
      <c r="BK69" s="384"/>
      <c r="BL69" s="384"/>
      <c r="BM69" s="387"/>
      <c r="BN69" s="383"/>
      <c r="BO69" s="384"/>
      <c r="BP69" s="384"/>
      <c r="BQ69" s="385"/>
      <c r="BR69" s="383"/>
      <c r="BS69" s="384"/>
      <c r="BT69" s="384"/>
      <c r="BU69" s="387">
        <v>1</v>
      </c>
      <c r="BV69" s="383"/>
      <c r="BW69" s="384"/>
      <c r="BX69" s="384"/>
      <c r="BY69" s="385"/>
      <c r="BZ69" s="216">
        <f t="shared" ref="BZ69:BZ100" si="3">SUM(E69:BY69)</f>
        <v>1</v>
      </c>
      <c r="CA69" s="216" t="str">
        <f t="shared" si="1"/>
        <v/>
      </c>
    </row>
    <row r="70" spans="3:79" ht="12">
      <c r="C70" s="217">
        <v>66</v>
      </c>
      <c r="D70" s="35" t="s">
        <v>1332</v>
      </c>
      <c r="E70" s="383"/>
      <c r="F70" s="384"/>
      <c r="G70" s="384"/>
      <c r="H70" s="385"/>
      <c r="I70" s="386"/>
      <c r="J70" s="384"/>
      <c r="K70" s="384"/>
      <c r="L70" s="384"/>
      <c r="M70" s="383"/>
      <c r="N70" s="384"/>
      <c r="O70" s="384"/>
      <c r="P70" s="387"/>
      <c r="Q70" s="383"/>
      <c r="R70" s="384"/>
      <c r="S70" s="384"/>
      <c r="T70" s="385"/>
      <c r="U70" s="383"/>
      <c r="V70" s="384"/>
      <c r="W70" s="384"/>
      <c r="X70" s="385"/>
      <c r="Y70" s="386"/>
      <c r="Z70" s="384"/>
      <c r="AA70" s="384"/>
      <c r="AB70" s="384"/>
      <c r="AC70" s="383"/>
      <c r="AD70" s="384"/>
      <c r="AE70" s="384"/>
      <c r="AF70" s="387"/>
      <c r="AG70" s="383"/>
      <c r="AH70" s="384"/>
      <c r="AI70" s="384"/>
      <c r="AJ70" s="387"/>
      <c r="AK70" s="383"/>
      <c r="AL70" s="384"/>
      <c r="AM70" s="384"/>
      <c r="AN70" s="385"/>
      <c r="AO70" s="386"/>
      <c r="AP70" s="384"/>
      <c r="AQ70" s="384"/>
      <c r="AR70" s="384"/>
      <c r="AS70" s="383"/>
      <c r="AT70" s="384"/>
      <c r="AU70" s="384"/>
      <c r="AV70" s="387"/>
      <c r="AW70" s="388"/>
      <c r="AX70" s="383"/>
      <c r="AY70" s="384"/>
      <c r="AZ70" s="384"/>
      <c r="BA70" s="385"/>
      <c r="BB70" s="383"/>
      <c r="BC70" s="384"/>
      <c r="BD70" s="384"/>
      <c r="BE70" s="385"/>
      <c r="BF70" s="386"/>
      <c r="BG70" s="384"/>
      <c r="BH70" s="384"/>
      <c r="BI70" s="384"/>
      <c r="BJ70" s="383"/>
      <c r="BK70" s="384"/>
      <c r="BL70" s="384"/>
      <c r="BM70" s="387"/>
      <c r="BN70" s="383"/>
      <c r="BO70" s="384"/>
      <c r="BP70" s="384"/>
      <c r="BQ70" s="385"/>
      <c r="BR70" s="383"/>
      <c r="BS70" s="384"/>
      <c r="BT70" s="384"/>
      <c r="BU70" s="387">
        <v>1</v>
      </c>
      <c r="BV70" s="383"/>
      <c r="BW70" s="384"/>
      <c r="BX70" s="384"/>
      <c r="BY70" s="385"/>
      <c r="BZ70" s="216">
        <f t="shared" si="3"/>
        <v>1</v>
      </c>
    </row>
    <row r="71" spans="3:79" ht="12">
      <c r="C71" s="217">
        <v>67</v>
      </c>
      <c r="D71" s="35" t="s">
        <v>1333</v>
      </c>
      <c r="E71" s="383"/>
      <c r="F71" s="384"/>
      <c r="G71" s="384"/>
      <c r="H71" s="385"/>
      <c r="I71" s="386"/>
      <c r="J71" s="384"/>
      <c r="K71" s="384"/>
      <c r="L71" s="384"/>
      <c r="M71" s="383"/>
      <c r="N71" s="384"/>
      <c r="O71" s="384"/>
      <c r="P71" s="387"/>
      <c r="Q71" s="383"/>
      <c r="R71" s="384"/>
      <c r="S71" s="384"/>
      <c r="T71" s="385"/>
      <c r="U71" s="383"/>
      <c r="V71" s="384"/>
      <c r="W71" s="384"/>
      <c r="X71" s="385"/>
      <c r="Y71" s="386"/>
      <c r="Z71" s="384"/>
      <c r="AA71" s="384"/>
      <c r="AB71" s="384"/>
      <c r="AC71" s="383"/>
      <c r="AD71" s="384"/>
      <c r="AE71" s="384"/>
      <c r="AF71" s="387"/>
      <c r="AG71" s="383"/>
      <c r="AH71" s="384"/>
      <c r="AI71" s="384"/>
      <c r="AJ71" s="387"/>
      <c r="AK71" s="383"/>
      <c r="AL71" s="384"/>
      <c r="AM71" s="384"/>
      <c r="AN71" s="385"/>
      <c r="AO71" s="386"/>
      <c r="AP71" s="384"/>
      <c r="AQ71" s="384"/>
      <c r="AR71" s="384"/>
      <c r="AS71" s="383"/>
      <c r="AT71" s="384"/>
      <c r="AU71" s="384"/>
      <c r="AV71" s="387"/>
      <c r="AW71" s="388"/>
      <c r="AX71" s="383"/>
      <c r="AY71" s="384"/>
      <c r="AZ71" s="384"/>
      <c r="BA71" s="385"/>
      <c r="BB71" s="383"/>
      <c r="BC71" s="384"/>
      <c r="BD71" s="384"/>
      <c r="BE71" s="385"/>
      <c r="BF71" s="386"/>
      <c r="BG71" s="384"/>
      <c r="BH71" s="384"/>
      <c r="BI71" s="384"/>
      <c r="BJ71" s="383"/>
      <c r="BK71" s="384"/>
      <c r="BL71" s="384">
        <v>1</v>
      </c>
      <c r="BM71" s="387"/>
      <c r="BN71" s="383"/>
      <c r="BO71" s="384"/>
      <c r="BP71" s="384"/>
      <c r="BQ71" s="385"/>
      <c r="BR71" s="383"/>
      <c r="BS71" s="384"/>
      <c r="BT71" s="384"/>
      <c r="BU71" s="387"/>
      <c r="BV71" s="383"/>
      <c r="BW71" s="384"/>
      <c r="BX71" s="384"/>
      <c r="BY71" s="385"/>
      <c r="BZ71" s="216">
        <f t="shared" si="3"/>
        <v>1</v>
      </c>
      <c r="CA71" s="216" t="str">
        <f t="shared" si="1"/>
        <v/>
      </c>
    </row>
    <row r="72" spans="3:79" ht="12">
      <c r="C72" s="217">
        <v>68</v>
      </c>
      <c r="D72" s="35" t="s">
        <v>1334</v>
      </c>
      <c r="E72" s="383"/>
      <c r="F72" s="384"/>
      <c r="G72" s="384"/>
      <c r="H72" s="385"/>
      <c r="I72" s="386"/>
      <c r="J72" s="384"/>
      <c r="K72" s="384"/>
      <c r="L72" s="384"/>
      <c r="M72" s="383"/>
      <c r="N72" s="384"/>
      <c r="O72" s="384"/>
      <c r="P72" s="387"/>
      <c r="Q72" s="383"/>
      <c r="R72" s="384"/>
      <c r="S72" s="384"/>
      <c r="T72" s="385"/>
      <c r="U72" s="383"/>
      <c r="V72" s="384"/>
      <c r="W72" s="384"/>
      <c r="X72" s="385"/>
      <c r="Y72" s="386"/>
      <c r="Z72" s="384"/>
      <c r="AA72" s="384"/>
      <c r="AB72" s="384"/>
      <c r="AC72" s="383"/>
      <c r="AD72" s="384"/>
      <c r="AE72" s="384"/>
      <c r="AF72" s="387"/>
      <c r="AG72" s="383"/>
      <c r="AH72" s="384"/>
      <c r="AI72" s="384"/>
      <c r="AJ72" s="387"/>
      <c r="AK72" s="383"/>
      <c r="AL72" s="384"/>
      <c r="AM72" s="384"/>
      <c r="AN72" s="385"/>
      <c r="AO72" s="386"/>
      <c r="AP72" s="384"/>
      <c r="AQ72" s="384"/>
      <c r="AR72" s="384"/>
      <c r="AS72" s="383"/>
      <c r="AT72" s="384"/>
      <c r="AU72" s="384"/>
      <c r="AV72" s="387"/>
      <c r="AW72" s="388"/>
      <c r="AX72" s="383"/>
      <c r="AY72" s="384"/>
      <c r="AZ72" s="384"/>
      <c r="BA72" s="385"/>
      <c r="BB72" s="383"/>
      <c r="BC72" s="384"/>
      <c r="BD72" s="384"/>
      <c r="BE72" s="385"/>
      <c r="BF72" s="386"/>
      <c r="BG72" s="384"/>
      <c r="BH72" s="384"/>
      <c r="BI72" s="384"/>
      <c r="BJ72" s="383"/>
      <c r="BK72" s="384"/>
      <c r="BL72" s="384"/>
      <c r="BM72" s="387"/>
      <c r="BN72" s="383"/>
      <c r="BO72" s="384"/>
      <c r="BP72" s="384"/>
      <c r="BQ72" s="385"/>
      <c r="BR72" s="383"/>
      <c r="BS72" s="384"/>
      <c r="BT72" s="384"/>
      <c r="BU72" s="387">
        <v>1</v>
      </c>
      <c r="BV72" s="383"/>
      <c r="BW72" s="384"/>
      <c r="BX72" s="384"/>
      <c r="BY72" s="385"/>
      <c r="BZ72" s="216">
        <f t="shared" si="3"/>
        <v>1</v>
      </c>
    </row>
    <row r="73" spans="3:79" ht="12">
      <c r="C73" s="217">
        <v>69</v>
      </c>
      <c r="D73" s="35" t="s">
        <v>1335</v>
      </c>
      <c r="E73" s="383"/>
      <c r="F73" s="384"/>
      <c r="G73" s="384"/>
      <c r="H73" s="385"/>
      <c r="I73" s="386"/>
      <c r="J73" s="384"/>
      <c r="K73" s="384"/>
      <c r="L73" s="384"/>
      <c r="M73" s="383"/>
      <c r="N73" s="384"/>
      <c r="O73" s="384"/>
      <c r="P73" s="387"/>
      <c r="Q73" s="383"/>
      <c r="R73" s="384"/>
      <c r="S73" s="384"/>
      <c r="T73" s="385"/>
      <c r="U73" s="383"/>
      <c r="V73" s="384"/>
      <c r="W73" s="384"/>
      <c r="X73" s="385"/>
      <c r="Y73" s="386"/>
      <c r="Z73" s="384"/>
      <c r="AA73" s="384"/>
      <c r="AB73" s="384"/>
      <c r="AC73" s="383"/>
      <c r="AD73" s="384"/>
      <c r="AE73" s="384"/>
      <c r="AF73" s="387"/>
      <c r="AG73" s="383"/>
      <c r="AH73" s="384"/>
      <c r="AI73" s="384"/>
      <c r="AJ73" s="387"/>
      <c r="AK73" s="383"/>
      <c r="AL73" s="384"/>
      <c r="AM73" s="384"/>
      <c r="AN73" s="385"/>
      <c r="AO73" s="386"/>
      <c r="AP73" s="384"/>
      <c r="AQ73" s="384"/>
      <c r="AR73" s="384"/>
      <c r="AS73" s="383"/>
      <c r="AT73" s="384"/>
      <c r="AU73" s="384"/>
      <c r="AV73" s="387"/>
      <c r="AW73" s="388"/>
      <c r="AX73" s="383"/>
      <c r="AY73" s="384"/>
      <c r="AZ73" s="384"/>
      <c r="BA73" s="385"/>
      <c r="BB73" s="383"/>
      <c r="BC73" s="384"/>
      <c r="BD73" s="384"/>
      <c r="BE73" s="385"/>
      <c r="BF73" s="386"/>
      <c r="BG73" s="384"/>
      <c r="BH73" s="384"/>
      <c r="BI73" s="384"/>
      <c r="BJ73" s="383"/>
      <c r="BK73" s="384"/>
      <c r="BL73" s="384"/>
      <c r="BM73" s="387"/>
      <c r="BN73" s="383"/>
      <c r="BO73" s="384"/>
      <c r="BP73" s="384"/>
      <c r="BQ73" s="385"/>
      <c r="BR73" s="383"/>
      <c r="BS73" s="384"/>
      <c r="BT73" s="384"/>
      <c r="BU73" s="387">
        <v>1</v>
      </c>
      <c r="BV73" s="383"/>
      <c r="BW73" s="384"/>
      <c r="BX73" s="384"/>
      <c r="BY73" s="385"/>
      <c r="BZ73" s="216">
        <f t="shared" si="3"/>
        <v>1</v>
      </c>
      <c r="CA73" s="216" t="str">
        <f t="shared" si="1"/>
        <v/>
      </c>
    </row>
    <row r="74" spans="3:79" ht="12">
      <c r="C74" s="217">
        <v>70</v>
      </c>
      <c r="D74" s="35" t="s">
        <v>1336</v>
      </c>
      <c r="E74" s="383"/>
      <c r="F74" s="384"/>
      <c r="G74" s="384"/>
      <c r="H74" s="385"/>
      <c r="I74" s="386"/>
      <c r="J74" s="384"/>
      <c r="K74" s="384"/>
      <c r="L74" s="384"/>
      <c r="M74" s="383"/>
      <c r="N74" s="384"/>
      <c r="O74" s="384"/>
      <c r="P74" s="387"/>
      <c r="Q74" s="383"/>
      <c r="R74" s="384"/>
      <c r="S74" s="384"/>
      <c r="T74" s="385"/>
      <c r="U74" s="383"/>
      <c r="V74" s="384"/>
      <c r="W74" s="384"/>
      <c r="X74" s="385"/>
      <c r="Y74" s="386"/>
      <c r="Z74" s="384"/>
      <c r="AA74" s="384"/>
      <c r="AB74" s="384"/>
      <c r="AC74" s="383"/>
      <c r="AD74" s="384"/>
      <c r="AE74" s="384"/>
      <c r="AF74" s="387"/>
      <c r="AG74" s="383"/>
      <c r="AH74" s="384"/>
      <c r="AI74" s="384"/>
      <c r="AJ74" s="387"/>
      <c r="AK74" s="383"/>
      <c r="AL74" s="384"/>
      <c r="AM74" s="384"/>
      <c r="AN74" s="385"/>
      <c r="AO74" s="386"/>
      <c r="AP74" s="384"/>
      <c r="AQ74" s="384"/>
      <c r="AR74" s="384"/>
      <c r="AS74" s="383"/>
      <c r="AT74" s="384"/>
      <c r="AU74" s="384"/>
      <c r="AV74" s="387"/>
      <c r="AW74" s="388"/>
      <c r="AX74" s="383"/>
      <c r="AY74" s="384"/>
      <c r="AZ74" s="384"/>
      <c r="BA74" s="385"/>
      <c r="BB74" s="383"/>
      <c r="BC74" s="384"/>
      <c r="BD74" s="384"/>
      <c r="BE74" s="385"/>
      <c r="BF74" s="386"/>
      <c r="BG74" s="384"/>
      <c r="BH74" s="384"/>
      <c r="BI74" s="384"/>
      <c r="BJ74" s="383"/>
      <c r="BK74" s="384"/>
      <c r="BL74" s="384"/>
      <c r="BM74" s="387"/>
      <c r="BN74" s="383"/>
      <c r="BO74" s="384"/>
      <c r="BP74" s="384"/>
      <c r="BQ74" s="385"/>
      <c r="BR74" s="383"/>
      <c r="BS74" s="384"/>
      <c r="BT74" s="384">
        <v>1</v>
      </c>
      <c r="BU74" s="387"/>
      <c r="BV74" s="383"/>
      <c r="BW74" s="384"/>
      <c r="BX74" s="384"/>
      <c r="BY74" s="385"/>
      <c r="BZ74" s="216">
        <f t="shared" si="3"/>
        <v>1</v>
      </c>
    </row>
    <row r="75" spans="3:79" ht="12">
      <c r="C75" s="217">
        <v>71</v>
      </c>
      <c r="D75" s="35" t="s">
        <v>1337</v>
      </c>
      <c r="E75" s="383"/>
      <c r="F75" s="384"/>
      <c r="G75" s="384"/>
      <c r="H75" s="385"/>
      <c r="I75" s="386"/>
      <c r="J75" s="384"/>
      <c r="K75" s="384"/>
      <c r="L75" s="384"/>
      <c r="M75" s="383"/>
      <c r="N75" s="384"/>
      <c r="O75" s="384"/>
      <c r="P75" s="387"/>
      <c r="Q75" s="383"/>
      <c r="R75" s="384"/>
      <c r="S75" s="384"/>
      <c r="T75" s="385"/>
      <c r="U75" s="383"/>
      <c r="V75" s="384"/>
      <c r="W75" s="384"/>
      <c r="X75" s="385"/>
      <c r="Y75" s="386"/>
      <c r="Z75" s="384"/>
      <c r="AA75" s="384"/>
      <c r="AB75" s="384"/>
      <c r="AC75" s="383"/>
      <c r="AD75" s="384"/>
      <c r="AE75" s="384"/>
      <c r="AF75" s="387"/>
      <c r="AG75" s="383"/>
      <c r="AH75" s="384"/>
      <c r="AI75" s="384"/>
      <c r="AJ75" s="387"/>
      <c r="AK75" s="383"/>
      <c r="AL75" s="384"/>
      <c r="AM75" s="384"/>
      <c r="AN75" s="385"/>
      <c r="AO75" s="386"/>
      <c r="AP75" s="384"/>
      <c r="AQ75" s="384"/>
      <c r="AR75" s="384"/>
      <c r="AS75" s="383"/>
      <c r="AT75" s="384"/>
      <c r="AU75" s="384"/>
      <c r="AV75" s="387"/>
      <c r="AW75" s="388"/>
      <c r="AX75" s="383"/>
      <c r="AY75" s="384"/>
      <c r="AZ75" s="384"/>
      <c r="BA75" s="385"/>
      <c r="BB75" s="383"/>
      <c r="BC75" s="384"/>
      <c r="BD75" s="384"/>
      <c r="BE75" s="385"/>
      <c r="BF75" s="386"/>
      <c r="BG75" s="384"/>
      <c r="BH75" s="384"/>
      <c r="BI75" s="384"/>
      <c r="BJ75" s="383"/>
      <c r="BK75" s="384"/>
      <c r="BL75" s="384"/>
      <c r="BM75" s="387"/>
      <c r="BN75" s="383"/>
      <c r="BO75" s="384"/>
      <c r="BP75" s="384"/>
      <c r="BQ75" s="385"/>
      <c r="BR75" s="383"/>
      <c r="BS75" s="384"/>
      <c r="BT75" s="384"/>
      <c r="BU75" s="387"/>
      <c r="BV75" s="383"/>
      <c r="BW75" s="384"/>
      <c r="BX75" s="384">
        <v>1</v>
      </c>
      <c r="BY75" s="385"/>
      <c r="BZ75" s="216">
        <f t="shared" si="3"/>
        <v>1</v>
      </c>
      <c r="CA75" s="216" t="str">
        <f t="shared" si="1"/>
        <v/>
      </c>
    </row>
    <row r="76" spans="3:79" ht="12">
      <c r="C76" s="217">
        <v>72</v>
      </c>
      <c r="D76" s="35" t="s">
        <v>1338</v>
      </c>
      <c r="E76" s="383"/>
      <c r="F76" s="384"/>
      <c r="G76" s="384"/>
      <c r="H76" s="385"/>
      <c r="I76" s="386"/>
      <c r="J76" s="384"/>
      <c r="K76" s="384"/>
      <c r="L76" s="384"/>
      <c r="M76" s="383"/>
      <c r="N76" s="384"/>
      <c r="O76" s="384"/>
      <c r="P76" s="387"/>
      <c r="Q76" s="383"/>
      <c r="R76" s="384"/>
      <c r="S76" s="384"/>
      <c r="T76" s="385"/>
      <c r="U76" s="383"/>
      <c r="V76" s="384"/>
      <c r="W76" s="384"/>
      <c r="X76" s="385"/>
      <c r="Y76" s="386"/>
      <c r="Z76" s="384"/>
      <c r="AA76" s="384"/>
      <c r="AB76" s="384"/>
      <c r="AC76" s="383"/>
      <c r="AD76" s="384"/>
      <c r="AE76" s="384"/>
      <c r="AF76" s="387"/>
      <c r="AG76" s="383"/>
      <c r="AH76" s="384"/>
      <c r="AI76" s="384"/>
      <c r="AJ76" s="387"/>
      <c r="AK76" s="383"/>
      <c r="AL76" s="384"/>
      <c r="AM76" s="384"/>
      <c r="AN76" s="385"/>
      <c r="AO76" s="386"/>
      <c r="AP76" s="384"/>
      <c r="AQ76" s="384"/>
      <c r="AR76" s="384"/>
      <c r="AS76" s="383"/>
      <c r="AT76" s="384"/>
      <c r="AU76" s="384"/>
      <c r="AV76" s="387"/>
      <c r="AW76" s="388"/>
      <c r="AX76" s="383"/>
      <c r="AY76" s="384"/>
      <c r="AZ76" s="384"/>
      <c r="BA76" s="385"/>
      <c r="BB76" s="383"/>
      <c r="BC76" s="384"/>
      <c r="BD76" s="384"/>
      <c r="BE76" s="385"/>
      <c r="BF76" s="386"/>
      <c r="BG76" s="384"/>
      <c r="BH76" s="384"/>
      <c r="BI76" s="384"/>
      <c r="BJ76" s="383"/>
      <c r="BK76" s="384"/>
      <c r="BL76" s="384"/>
      <c r="BM76" s="387"/>
      <c r="BN76" s="383"/>
      <c r="BO76" s="384"/>
      <c r="BP76" s="384"/>
      <c r="BQ76" s="385"/>
      <c r="BR76" s="383"/>
      <c r="BS76" s="384"/>
      <c r="BT76" s="384"/>
      <c r="BU76" s="387"/>
      <c r="BV76" s="383"/>
      <c r="BW76" s="384"/>
      <c r="BX76" s="384"/>
      <c r="BY76" s="385">
        <v>1</v>
      </c>
      <c r="BZ76" s="216">
        <f t="shared" si="3"/>
        <v>1</v>
      </c>
    </row>
    <row r="77" spans="3:79" ht="12">
      <c r="C77" s="217">
        <v>73</v>
      </c>
      <c r="D77" s="35" t="s">
        <v>1339</v>
      </c>
      <c r="E77" s="383"/>
      <c r="F77" s="384"/>
      <c r="G77" s="384"/>
      <c r="H77" s="385"/>
      <c r="I77" s="386"/>
      <c r="J77" s="384"/>
      <c r="K77" s="384"/>
      <c r="L77" s="384"/>
      <c r="M77" s="383"/>
      <c r="N77" s="384"/>
      <c r="O77" s="384"/>
      <c r="P77" s="387"/>
      <c r="Q77" s="383"/>
      <c r="R77" s="384"/>
      <c r="S77" s="384"/>
      <c r="T77" s="385"/>
      <c r="U77" s="383"/>
      <c r="V77" s="384"/>
      <c r="W77" s="384"/>
      <c r="X77" s="385"/>
      <c r="Y77" s="386"/>
      <c r="Z77" s="384"/>
      <c r="AA77" s="384"/>
      <c r="AB77" s="384"/>
      <c r="AC77" s="383"/>
      <c r="AD77" s="384"/>
      <c r="AE77" s="384"/>
      <c r="AF77" s="387"/>
      <c r="AG77" s="383"/>
      <c r="AH77" s="384"/>
      <c r="AI77" s="384"/>
      <c r="AJ77" s="387"/>
      <c r="AK77" s="383"/>
      <c r="AL77" s="384"/>
      <c r="AM77" s="384"/>
      <c r="AN77" s="385"/>
      <c r="AO77" s="386"/>
      <c r="AP77" s="384"/>
      <c r="AQ77" s="384"/>
      <c r="AR77" s="384"/>
      <c r="AS77" s="383"/>
      <c r="AT77" s="384"/>
      <c r="AU77" s="384"/>
      <c r="AV77" s="387"/>
      <c r="AW77" s="388"/>
      <c r="AX77" s="383"/>
      <c r="AY77" s="384"/>
      <c r="AZ77" s="384"/>
      <c r="BA77" s="385"/>
      <c r="BB77" s="383"/>
      <c r="BC77" s="384"/>
      <c r="BD77" s="384"/>
      <c r="BE77" s="385"/>
      <c r="BF77" s="386"/>
      <c r="BG77" s="384"/>
      <c r="BH77" s="384"/>
      <c r="BI77" s="384"/>
      <c r="BJ77" s="383"/>
      <c r="BK77" s="384"/>
      <c r="BL77" s="384"/>
      <c r="BM77" s="387"/>
      <c r="BN77" s="383"/>
      <c r="BO77" s="384"/>
      <c r="BP77" s="384"/>
      <c r="BQ77" s="385"/>
      <c r="BR77" s="383"/>
      <c r="BS77" s="384"/>
      <c r="BT77" s="384"/>
      <c r="BU77" s="387"/>
      <c r="BV77" s="383"/>
      <c r="BW77" s="384"/>
      <c r="BX77" s="384"/>
      <c r="BY77" s="385">
        <v>1</v>
      </c>
      <c r="BZ77" s="216">
        <f t="shared" si="3"/>
        <v>1</v>
      </c>
      <c r="CA77" s="216" t="str">
        <f t="shared" si="1"/>
        <v/>
      </c>
    </row>
    <row r="78" spans="3:79" ht="12">
      <c r="C78" s="217">
        <v>74</v>
      </c>
      <c r="D78" s="35" t="s">
        <v>1340</v>
      </c>
      <c r="E78" s="383"/>
      <c r="F78" s="384"/>
      <c r="G78" s="384"/>
      <c r="H78" s="385"/>
      <c r="I78" s="386"/>
      <c r="J78" s="384"/>
      <c r="K78" s="384"/>
      <c r="L78" s="384"/>
      <c r="M78" s="383"/>
      <c r="N78" s="384"/>
      <c r="O78" s="384"/>
      <c r="P78" s="387"/>
      <c r="Q78" s="383"/>
      <c r="R78" s="384"/>
      <c r="S78" s="384"/>
      <c r="T78" s="385"/>
      <c r="U78" s="383"/>
      <c r="V78" s="384"/>
      <c r="W78" s="384"/>
      <c r="X78" s="385"/>
      <c r="Y78" s="386"/>
      <c r="Z78" s="384"/>
      <c r="AA78" s="384"/>
      <c r="AB78" s="384"/>
      <c r="AC78" s="383"/>
      <c r="AD78" s="384"/>
      <c r="AE78" s="384"/>
      <c r="AF78" s="387"/>
      <c r="AG78" s="383"/>
      <c r="AH78" s="384"/>
      <c r="AI78" s="384"/>
      <c r="AJ78" s="387"/>
      <c r="AK78" s="383"/>
      <c r="AL78" s="384"/>
      <c r="AM78" s="384"/>
      <c r="AN78" s="385"/>
      <c r="AO78" s="386"/>
      <c r="AP78" s="384"/>
      <c r="AQ78" s="384"/>
      <c r="AR78" s="384"/>
      <c r="AS78" s="383"/>
      <c r="AT78" s="384"/>
      <c r="AU78" s="384"/>
      <c r="AV78" s="387"/>
      <c r="AW78" s="388"/>
      <c r="AX78" s="383"/>
      <c r="AY78" s="384"/>
      <c r="AZ78" s="384"/>
      <c r="BA78" s="385"/>
      <c r="BB78" s="383"/>
      <c r="BC78" s="384"/>
      <c r="BD78" s="384"/>
      <c r="BE78" s="385"/>
      <c r="BF78" s="386"/>
      <c r="BG78" s="384"/>
      <c r="BH78" s="384"/>
      <c r="BI78" s="384"/>
      <c r="BJ78" s="383"/>
      <c r="BK78" s="384"/>
      <c r="BL78" s="384">
        <v>1</v>
      </c>
      <c r="BM78" s="387"/>
      <c r="BN78" s="383"/>
      <c r="BO78" s="384"/>
      <c r="BP78" s="384"/>
      <c r="BQ78" s="385"/>
      <c r="BR78" s="383"/>
      <c r="BS78" s="384"/>
      <c r="BT78" s="384"/>
      <c r="BU78" s="387"/>
      <c r="BV78" s="383"/>
      <c r="BW78" s="384"/>
      <c r="BX78" s="384"/>
      <c r="BY78" s="385"/>
      <c r="BZ78" s="216">
        <f t="shared" si="3"/>
        <v>1</v>
      </c>
    </row>
    <row r="79" spans="3:79" ht="12">
      <c r="C79" s="217">
        <v>75</v>
      </c>
      <c r="D79" s="35" t="s">
        <v>1341</v>
      </c>
      <c r="E79" s="383"/>
      <c r="F79" s="384"/>
      <c r="G79" s="384"/>
      <c r="H79" s="385"/>
      <c r="I79" s="386"/>
      <c r="J79" s="384"/>
      <c r="K79" s="384"/>
      <c r="L79" s="384"/>
      <c r="M79" s="383"/>
      <c r="N79" s="384"/>
      <c r="O79" s="384"/>
      <c r="P79" s="387"/>
      <c r="Q79" s="383"/>
      <c r="R79" s="384"/>
      <c r="S79" s="384"/>
      <c r="T79" s="385"/>
      <c r="U79" s="383"/>
      <c r="V79" s="384"/>
      <c r="W79" s="384"/>
      <c r="X79" s="385"/>
      <c r="Y79" s="386"/>
      <c r="Z79" s="384"/>
      <c r="AA79" s="384"/>
      <c r="AB79" s="384"/>
      <c r="AC79" s="383"/>
      <c r="AD79" s="384"/>
      <c r="AE79" s="384"/>
      <c r="AF79" s="387"/>
      <c r="AG79" s="383"/>
      <c r="AH79" s="384"/>
      <c r="AI79" s="384"/>
      <c r="AJ79" s="387"/>
      <c r="AK79" s="383"/>
      <c r="AL79" s="384"/>
      <c r="AM79" s="384"/>
      <c r="AN79" s="385"/>
      <c r="AO79" s="386"/>
      <c r="AP79" s="384"/>
      <c r="AQ79" s="384"/>
      <c r="AR79" s="384"/>
      <c r="AS79" s="383"/>
      <c r="AT79" s="384"/>
      <c r="AU79" s="384"/>
      <c r="AV79" s="387"/>
      <c r="AW79" s="388"/>
      <c r="AX79" s="383"/>
      <c r="AY79" s="384"/>
      <c r="AZ79" s="384"/>
      <c r="BA79" s="385"/>
      <c r="BB79" s="383"/>
      <c r="BC79" s="384"/>
      <c r="BD79" s="384"/>
      <c r="BE79" s="385"/>
      <c r="BF79" s="386"/>
      <c r="BG79" s="384"/>
      <c r="BH79" s="384"/>
      <c r="BI79" s="384"/>
      <c r="BJ79" s="383"/>
      <c r="BK79" s="384"/>
      <c r="BL79" s="384"/>
      <c r="BM79" s="387">
        <v>1</v>
      </c>
      <c r="BN79" s="383"/>
      <c r="BO79" s="384"/>
      <c r="BP79" s="384"/>
      <c r="BQ79" s="385"/>
      <c r="BR79" s="383"/>
      <c r="BS79" s="384"/>
      <c r="BT79" s="384"/>
      <c r="BU79" s="387"/>
      <c r="BV79" s="383"/>
      <c r="BW79" s="384"/>
      <c r="BX79" s="384"/>
      <c r="BY79" s="385"/>
      <c r="BZ79" s="216">
        <f t="shared" si="3"/>
        <v>1</v>
      </c>
      <c r="CA79" s="216" t="str">
        <f t="shared" si="1"/>
        <v/>
      </c>
    </row>
    <row r="80" spans="3:79" ht="12">
      <c r="C80" s="217">
        <v>76</v>
      </c>
      <c r="D80" s="35" t="s">
        <v>1342</v>
      </c>
      <c r="E80" s="383"/>
      <c r="F80" s="384"/>
      <c r="G80" s="384"/>
      <c r="H80" s="385"/>
      <c r="I80" s="386"/>
      <c r="J80" s="384"/>
      <c r="K80" s="384"/>
      <c r="L80" s="384"/>
      <c r="M80" s="383"/>
      <c r="N80" s="384"/>
      <c r="O80" s="384"/>
      <c r="P80" s="387"/>
      <c r="Q80" s="383"/>
      <c r="R80" s="384"/>
      <c r="S80" s="384"/>
      <c r="T80" s="385"/>
      <c r="U80" s="383"/>
      <c r="V80" s="384"/>
      <c r="W80" s="384"/>
      <c r="X80" s="385"/>
      <c r="Y80" s="386"/>
      <c r="Z80" s="384"/>
      <c r="AA80" s="384"/>
      <c r="AB80" s="384"/>
      <c r="AC80" s="383"/>
      <c r="AD80" s="384"/>
      <c r="AE80" s="384"/>
      <c r="AF80" s="387"/>
      <c r="AG80" s="383"/>
      <c r="AH80" s="384"/>
      <c r="AI80" s="384"/>
      <c r="AJ80" s="387"/>
      <c r="AK80" s="383"/>
      <c r="AL80" s="384"/>
      <c r="AM80" s="384"/>
      <c r="AN80" s="385"/>
      <c r="AO80" s="386"/>
      <c r="AP80" s="384"/>
      <c r="AQ80" s="384"/>
      <c r="AR80" s="384"/>
      <c r="AS80" s="383"/>
      <c r="AT80" s="384"/>
      <c r="AU80" s="384"/>
      <c r="AV80" s="387"/>
      <c r="AW80" s="388"/>
      <c r="AX80" s="383"/>
      <c r="AY80" s="384"/>
      <c r="AZ80" s="384"/>
      <c r="BA80" s="385"/>
      <c r="BB80" s="383"/>
      <c r="BC80" s="384"/>
      <c r="BD80" s="384"/>
      <c r="BE80" s="385"/>
      <c r="BF80" s="386"/>
      <c r="BG80" s="384"/>
      <c r="BH80" s="384"/>
      <c r="BI80" s="384"/>
      <c r="BJ80" s="383"/>
      <c r="BK80" s="384"/>
      <c r="BL80" s="384"/>
      <c r="BM80" s="387">
        <v>1</v>
      </c>
      <c r="BN80" s="383"/>
      <c r="BO80" s="384"/>
      <c r="BP80" s="384"/>
      <c r="BQ80" s="385"/>
      <c r="BR80" s="383"/>
      <c r="BS80" s="384"/>
      <c r="BT80" s="384"/>
      <c r="BU80" s="387"/>
      <c r="BV80" s="383"/>
      <c r="BW80" s="384"/>
      <c r="BX80" s="384"/>
      <c r="BY80" s="385"/>
      <c r="BZ80" s="216">
        <f t="shared" si="3"/>
        <v>1</v>
      </c>
    </row>
    <row r="81" spans="3:79" ht="12">
      <c r="C81" s="217">
        <v>77</v>
      </c>
      <c r="D81" s="35" t="s">
        <v>1343</v>
      </c>
      <c r="E81" s="383"/>
      <c r="F81" s="384"/>
      <c r="G81" s="384"/>
      <c r="H81" s="385"/>
      <c r="I81" s="386"/>
      <c r="J81" s="384"/>
      <c r="K81" s="384"/>
      <c r="L81" s="384"/>
      <c r="M81" s="383"/>
      <c r="N81" s="384"/>
      <c r="O81" s="384"/>
      <c r="P81" s="387"/>
      <c r="Q81" s="383"/>
      <c r="R81" s="384"/>
      <c r="S81" s="384"/>
      <c r="T81" s="385"/>
      <c r="U81" s="383"/>
      <c r="V81" s="384"/>
      <c r="W81" s="384"/>
      <c r="X81" s="385"/>
      <c r="Y81" s="386"/>
      <c r="Z81" s="384"/>
      <c r="AA81" s="384"/>
      <c r="AB81" s="384"/>
      <c r="AC81" s="383"/>
      <c r="AD81" s="384"/>
      <c r="AE81" s="384"/>
      <c r="AF81" s="387"/>
      <c r="AG81" s="383"/>
      <c r="AH81" s="384"/>
      <c r="AI81" s="384"/>
      <c r="AJ81" s="387"/>
      <c r="AK81" s="383"/>
      <c r="AL81" s="384"/>
      <c r="AM81" s="384"/>
      <c r="AN81" s="385"/>
      <c r="AO81" s="386"/>
      <c r="AP81" s="384"/>
      <c r="AQ81" s="384"/>
      <c r="AR81" s="384"/>
      <c r="AS81" s="383"/>
      <c r="AT81" s="384"/>
      <c r="AU81" s="384"/>
      <c r="AV81" s="387"/>
      <c r="AW81" s="388"/>
      <c r="AX81" s="383"/>
      <c r="AY81" s="384"/>
      <c r="AZ81" s="384"/>
      <c r="BA81" s="385"/>
      <c r="BB81" s="383"/>
      <c r="BC81" s="384"/>
      <c r="BD81" s="384"/>
      <c r="BE81" s="385"/>
      <c r="BF81" s="386"/>
      <c r="BG81" s="384"/>
      <c r="BH81" s="384"/>
      <c r="BI81" s="384"/>
      <c r="BJ81" s="383"/>
      <c r="BK81" s="384"/>
      <c r="BL81" s="384">
        <v>1</v>
      </c>
      <c r="BM81" s="387"/>
      <c r="BN81" s="383"/>
      <c r="BO81" s="384"/>
      <c r="BP81" s="384"/>
      <c r="BQ81" s="385"/>
      <c r="BR81" s="383"/>
      <c r="BS81" s="384"/>
      <c r="BT81" s="384"/>
      <c r="BU81" s="387"/>
      <c r="BV81" s="383"/>
      <c r="BW81" s="384"/>
      <c r="BX81" s="384"/>
      <c r="BY81" s="385"/>
      <c r="BZ81" s="216">
        <f t="shared" si="3"/>
        <v>1</v>
      </c>
      <c r="CA81" s="216" t="str">
        <f t="shared" si="1"/>
        <v/>
      </c>
    </row>
    <row r="82" spans="3:79" ht="12">
      <c r="C82" s="217">
        <v>78</v>
      </c>
      <c r="D82" s="35" t="s">
        <v>1344</v>
      </c>
      <c r="E82" s="383"/>
      <c r="F82" s="384"/>
      <c r="G82" s="384"/>
      <c r="H82" s="385"/>
      <c r="I82" s="386"/>
      <c r="J82" s="384"/>
      <c r="K82" s="384"/>
      <c r="L82" s="384"/>
      <c r="M82" s="383"/>
      <c r="N82" s="384"/>
      <c r="O82" s="384"/>
      <c r="P82" s="387"/>
      <c r="Q82" s="383"/>
      <c r="R82" s="384"/>
      <c r="S82" s="384"/>
      <c r="T82" s="385"/>
      <c r="U82" s="383"/>
      <c r="V82" s="384"/>
      <c r="W82" s="384"/>
      <c r="X82" s="385"/>
      <c r="Y82" s="386"/>
      <c r="Z82" s="384"/>
      <c r="AA82" s="384"/>
      <c r="AB82" s="384"/>
      <c r="AC82" s="383"/>
      <c r="AD82" s="384"/>
      <c r="AE82" s="384"/>
      <c r="AF82" s="387"/>
      <c r="AG82" s="383"/>
      <c r="AH82" s="384"/>
      <c r="AI82" s="384"/>
      <c r="AJ82" s="387"/>
      <c r="AK82" s="383"/>
      <c r="AL82" s="384"/>
      <c r="AM82" s="384"/>
      <c r="AN82" s="385"/>
      <c r="AO82" s="386"/>
      <c r="AP82" s="384"/>
      <c r="AQ82" s="384"/>
      <c r="AR82" s="384"/>
      <c r="AS82" s="383"/>
      <c r="AT82" s="384"/>
      <c r="AU82" s="384"/>
      <c r="AV82" s="387"/>
      <c r="AW82" s="388"/>
      <c r="AX82" s="383"/>
      <c r="AY82" s="384"/>
      <c r="AZ82" s="384"/>
      <c r="BA82" s="385"/>
      <c r="BB82" s="383"/>
      <c r="BC82" s="384"/>
      <c r="BD82" s="384"/>
      <c r="BE82" s="385"/>
      <c r="BF82" s="386"/>
      <c r="BG82" s="384"/>
      <c r="BH82" s="384"/>
      <c r="BI82" s="384"/>
      <c r="BJ82" s="383"/>
      <c r="BK82" s="384"/>
      <c r="BL82" s="384"/>
      <c r="BM82" s="387"/>
      <c r="BN82" s="383"/>
      <c r="BO82" s="384"/>
      <c r="BP82" s="384"/>
      <c r="BQ82" s="385"/>
      <c r="BR82" s="383"/>
      <c r="BS82" s="384"/>
      <c r="BT82" s="384"/>
      <c r="BU82" s="387"/>
      <c r="BV82" s="383"/>
      <c r="BW82" s="384"/>
      <c r="BX82" s="384">
        <v>1</v>
      </c>
      <c r="BY82" s="385"/>
      <c r="BZ82" s="216">
        <f t="shared" si="3"/>
        <v>1</v>
      </c>
    </row>
    <row r="83" spans="3:79" ht="12">
      <c r="C83" s="217">
        <v>79</v>
      </c>
      <c r="D83" s="35" t="s">
        <v>1345</v>
      </c>
      <c r="E83" s="383"/>
      <c r="F83" s="384"/>
      <c r="G83" s="384"/>
      <c r="H83" s="385"/>
      <c r="I83" s="386"/>
      <c r="J83" s="384"/>
      <c r="K83" s="384"/>
      <c r="L83" s="384"/>
      <c r="M83" s="383"/>
      <c r="N83" s="384"/>
      <c r="O83" s="384"/>
      <c r="P83" s="387"/>
      <c r="Q83" s="383"/>
      <c r="R83" s="384"/>
      <c r="S83" s="384"/>
      <c r="T83" s="385"/>
      <c r="U83" s="383"/>
      <c r="V83" s="384"/>
      <c r="W83" s="384"/>
      <c r="X83" s="385"/>
      <c r="Y83" s="386"/>
      <c r="Z83" s="384"/>
      <c r="AA83" s="384"/>
      <c r="AB83" s="384"/>
      <c r="AC83" s="383"/>
      <c r="AD83" s="384"/>
      <c r="AE83" s="384"/>
      <c r="AF83" s="387"/>
      <c r="AG83" s="383"/>
      <c r="AH83" s="384"/>
      <c r="AI83" s="384"/>
      <c r="AJ83" s="387"/>
      <c r="AK83" s="383"/>
      <c r="AL83" s="384"/>
      <c r="AM83" s="384"/>
      <c r="AN83" s="385"/>
      <c r="AO83" s="386"/>
      <c r="AP83" s="384"/>
      <c r="AQ83" s="384"/>
      <c r="AR83" s="384"/>
      <c r="AS83" s="383"/>
      <c r="AT83" s="384"/>
      <c r="AU83" s="384"/>
      <c r="AV83" s="387"/>
      <c r="AW83" s="388"/>
      <c r="AX83" s="383"/>
      <c r="AY83" s="384"/>
      <c r="AZ83" s="384"/>
      <c r="BA83" s="385"/>
      <c r="BB83" s="383"/>
      <c r="BC83" s="384"/>
      <c r="BD83" s="384"/>
      <c r="BE83" s="385"/>
      <c r="BF83" s="386"/>
      <c r="BG83" s="384"/>
      <c r="BH83" s="384"/>
      <c r="BI83" s="384"/>
      <c r="BJ83" s="383"/>
      <c r="BK83" s="384"/>
      <c r="BL83" s="384"/>
      <c r="BM83" s="387">
        <v>1</v>
      </c>
      <c r="BN83" s="383"/>
      <c r="BO83" s="384"/>
      <c r="BP83" s="384"/>
      <c r="BQ83" s="385"/>
      <c r="BR83" s="383"/>
      <c r="BS83" s="384"/>
      <c r="BT83" s="384"/>
      <c r="BU83" s="387"/>
      <c r="BV83" s="383"/>
      <c r="BW83" s="384"/>
      <c r="BX83" s="384"/>
      <c r="BY83" s="385"/>
      <c r="BZ83" s="216">
        <f t="shared" si="3"/>
        <v>1</v>
      </c>
      <c r="CA83" s="216" t="str">
        <f t="shared" si="1"/>
        <v/>
      </c>
    </row>
    <row r="84" spans="3:79" ht="12">
      <c r="C84" s="217">
        <v>80</v>
      </c>
      <c r="D84" s="35" t="s">
        <v>1346</v>
      </c>
      <c r="E84" s="383"/>
      <c r="F84" s="384"/>
      <c r="G84" s="384"/>
      <c r="H84" s="385"/>
      <c r="I84" s="386"/>
      <c r="J84" s="384"/>
      <c r="K84" s="384"/>
      <c r="L84" s="384"/>
      <c r="M84" s="383"/>
      <c r="N84" s="384"/>
      <c r="O84" s="384"/>
      <c r="P84" s="387"/>
      <c r="Q84" s="383"/>
      <c r="R84" s="384"/>
      <c r="S84" s="384"/>
      <c r="T84" s="385"/>
      <c r="U84" s="383"/>
      <c r="V84" s="384"/>
      <c r="W84" s="384"/>
      <c r="X84" s="385"/>
      <c r="Y84" s="386"/>
      <c r="Z84" s="384"/>
      <c r="AA84" s="384"/>
      <c r="AB84" s="384">
        <v>1</v>
      </c>
      <c r="AC84" s="383"/>
      <c r="AD84" s="384"/>
      <c r="AE84" s="384"/>
      <c r="AF84" s="387"/>
      <c r="AG84" s="383"/>
      <c r="AH84" s="384"/>
      <c r="AI84" s="384"/>
      <c r="AJ84" s="387"/>
      <c r="AK84" s="383"/>
      <c r="AL84" s="384"/>
      <c r="AM84" s="384"/>
      <c r="AN84" s="385"/>
      <c r="AO84" s="386"/>
      <c r="AP84" s="384"/>
      <c r="AQ84" s="384"/>
      <c r="AR84" s="384"/>
      <c r="AS84" s="383"/>
      <c r="AT84" s="384"/>
      <c r="AU84" s="384"/>
      <c r="AV84" s="387"/>
      <c r="AW84" s="388"/>
      <c r="AX84" s="383"/>
      <c r="AY84" s="384"/>
      <c r="AZ84" s="384"/>
      <c r="BA84" s="385"/>
      <c r="BB84" s="383"/>
      <c r="BC84" s="384"/>
      <c r="BD84" s="384"/>
      <c r="BE84" s="385"/>
      <c r="BF84" s="386"/>
      <c r="BG84" s="384"/>
      <c r="BH84" s="384"/>
      <c r="BI84" s="384"/>
      <c r="BJ84" s="383"/>
      <c r="BK84" s="384"/>
      <c r="BL84" s="384"/>
      <c r="BM84" s="387"/>
      <c r="BN84" s="383"/>
      <c r="BO84" s="384"/>
      <c r="BP84" s="384"/>
      <c r="BQ84" s="385"/>
      <c r="BR84" s="383"/>
      <c r="BS84" s="384"/>
      <c r="BT84" s="384"/>
      <c r="BU84" s="387"/>
      <c r="BV84" s="383"/>
      <c r="BW84" s="384"/>
      <c r="BX84" s="384"/>
      <c r="BY84" s="385"/>
      <c r="BZ84" s="216">
        <f t="shared" si="3"/>
        <v>1</v>
      </c>
    </row>
    <row r="85" spans="3:79" ht="12">
      <c r="C85" s="217">
        <v>81</v>
      </c>
      <c r="D85" s="35" t="s">
        <v>1347</v>
      </c>
      <c r="E85" s="383"/>
      <c r="F85" s="384"/>
      <c r="G85" s="384"/>
      <c r="H85" s="385"/>
      <c r="I85" s="386"/>
      <c r="J85" s="384"/>
      <c r="K85" s="384"/>
      <c r="L85" s="384"/>
      <c r="M85" s="383"/>
      <c r="N85" s="384"/>
      <c r="O85" s="384"/>
      <c r="P85" s="387"/>
      <c r="Q85" s="383"/>
      <c r="R85" s="384"/>
      <c r="S85" s="384"/>
      <c r="T85" s="385"/>
      <c r="U85" s="383"/>
      <c r="V85" s="384"/>
      <c r="W85" s="384"/>
      <c r="X85" s="385"/>
      <c r="Y85" s="386"/>
      <c r="Z85" s="384"/>
      <c r="AA85" s="384">
        <v>1</v>
      </c>
      <c r="AB85" s="384"/>
      <c r="AC85" s="383"/>
      <c r="AD85" s="384"/>
      <c r="AE85" s="384"/>
      <c r="AF85" s="387"/>
      <c r="AG85" s="383"/>
      <c r="AH85" s="384"/>
      <c r="AI85" s="384"/>
      <c r="AJ85" s="387"/>
      <c r="AK85" s="383"/>
      <c r="AL85" s="384"/>
      <c r="AM85" s="384"/>
      <c r="AN85" s="385"/>
      <c r="AO85" s="386"/>
      <c r="AP85" s="384"/>
      <c r="AQ85" s="384"/>
      <c r="AR85" s="384"/>
      <c r="AS85" s="383"/>
      <c r="AT85" s="384"/>
      <c r="AU85" s="384"/>
      <c r="AV85" s="387"/>
      <c r="AW85" s="388"/>
      <c r="AX85" s="383"/>
      <c r="AY85" s="384"/>
      <c r="AZ85" s="384"/>
      <c r="BA85" s="385"/>
      <c r="BB85" s="383"/>
      <c r="BC85" s="384"/>
      <c r="BD85" s="384"/>
      <c r="BE85" s="385"/>
      <c r="BF85" s="386"/>
      <c r="BG85" s="384"/>
      <c r="BH85" s="384"/>
      <c r="BI85" s="384"/>
      <c r="BJ85" s="383"/>
      <c r="BK85" s="384"/>
      <c r="BL85" s="384"/>
      <c r="BM85" s="387"/>
      <c r="BN85" s="383"/>
      <c r="BO85" s="384"/>
      <c r="BP85" s="384"/>
      <c r="BQ85" s="385"/>
      <c r="BR85" s="383"/>
      <c r="BS85" s="384"/>
      <c r="BT85" s="384"/>
      <c r="BU85" s="387"/>
      <c r="BV85" s="383"/>
      <c r="BW85" s="384"/>
      <c r="BX85" s="384"/>
      <c r="BY85" s="385"/>
      <c r="BZ85" s="216">
        <f t="shared" si="3"/>
        <v>1</v>
      </c>
      <c r="CA85" s="216" t="str">
        <f t="shared" si="1"/>
        <v/>
      </c>
    </row>
    <row r="86" spans="3:79" ht="12">
      <c r="C86" s="217">
        <v>82</v>
      </c>
      <c r="D86" s="35" t="s">
        <v>1348</v>
      </c>
      <c r="E86" s="383"/>
      <c r="F86" s="384"/>
      <c r="G86" s="384"/>
      <c r="H86" s="385"/>
      <c r="I86" s="386"/>
      <c r="J86" s="384"/>
      <c r="K86" s="384"/>
      <c r="L86" s="384"/>
      <c r="M86" s="383"/>
      <c r="N86" s="384"/>
      <c r="O86" s="384"/>
      <c r="P86" s="387"/>
      <c r="Q86" s="383"/>
      <c r="R86" s="384"/>
      <c r="S86" s="384"/>
      <c r="T86" s="385"/>
      <c r="U86" s="383"/>
      <c r="V86" s="384"/>
      <c r="W86" s="384"/>
      <c r="X86" s="385"/>
      <c r="Y86" s="386"/>
      <c r="Z86" s="384"/>
      <c r="AA86" s="384">
        <v>1</v>
      </c>
      <c r="AB86" s="384"/>
      <c r="AC86" s="383"/>
      <c r="AD86" s="384"/>
      <c r="AE86" s="384"/>
      <c r="AF86" s="387"/>
      <c r="AG86" s="383"/>
      <c r="AH86" s="384"/>
      <c r="AI86" s="384"/>
      <c r="AJ86" s="387"/>
      <c r="AK86" s="383"/>
      <c r="AL86" s="384"/>
      <c r="AM86" s="384"/>
      <c r="AN86" s="385"/>
      <c r="AO86" s="386"/>
      <c r="AP86" s="384"/>
      <c r="AQ86" s="384"/>
      <c r="AR86" s="384"/>
      <c r="AS86" s="383"/>
      <c r="AT86" s="384"/>
      <c r="AU86" s="384"/>
      <c r="AV86" s="387"/>
      <c r="AW86" s="388"/>
      <c r="AX86" s="383"/>
      <c r="AY86" s="384"/>
      <c r="AZ86" s="384"/>
      <c r="BA86" s="385"/>
      <c r="BB86" s="383"/>
      <c r="BC86" s="384"/>
      <c r="BD86" s="384"/>
      <c r="BE86" s="385"/>
      <c r="BF86" s="386"/>
      <c r="BG86" s="384"/>
      <c r="BH86" s="384"/>
      <c r="BI86" s="384"/>
      <c r="BJ86" s="383"/>
      <c r="BK86" s="384"/>
      <c r="BL86" s="384"/>
      <c r="BM86" s="387"/>
      <c r="BN86" s="383"/>
      <c r="BO86" s="384"/>
      <c r="BP86" s="384"/>
      <c r="BQ86" s="385"/>
      <c r="BR86" s="383"/>
      <c r="BS86" s="384"/>
      <c r="BT86" s="384"/>
      <c r="BU86" s="387"/>
      <c r="BV86" s="383"/>
      <c r="BW86" s="384"/>
      <c r="BX86" s="384"/>
      <c r="BY86" s="385"/>
      <c r="BZ86" s="216">
        <f t="shared" si="3"/>
        <v>1</v>
      </c>
    </row>
    <row r="87" spans="3:79" ht="12">
      <c r="C87" s="217">
        <v>83</v>
      </c>
      <c r="D87" s="35" t="s">
        <v>1349</v>
      </c>
      <c r="E87" s="383"/>
      <c r="F87" s="384"/>
      <c r="G87" s="384"/>
      <c r="H87" s="385"/>
      <c r="I87" s="386"/>
      <c r="J87" s="384"/>
      <c r="K87" s="384"/>
      <c r="L87" s="384"/>
      <c r="M87" s="383"/>
      <c r="N87" s="384"/>
      <c r="O87" s="384"/>
      <c r="P87" s="387"/>
      <c r="Q87" s="383"/>
      <c r="R87" s="384"/>
      <c r="S87" s="384"/>
      <c r="T87" s="385"/>
      <c r="U87" s="383"/>
      <c r="V87" s="384"/>
      <c r="W87" s="384"/>
      <c r="X87" s="385"/>
      <c r="Y87" s="386"/>
      <c r="Z87" s="384"/>
      <c r="AA87" s="384">
        <v>1</v>
      </c>
      <c r="AB87" s="384"/>
      <c r="AC87" s="383"/>
      <c r="AD87" s="384"/>
      <c r="AE87" s="384"/>
      <c r="AF87" s="387"/>
      <c r="AG87" s="383"/>
      <c r="AH87" s="384"/>
      <c r="AI87" s="384"/>
      <c r="AJ87" s="387"/>
      <c r="AK87" s="383"/>
      <c r="AL87" s="384"/>
      <c r="AM87" s="384"/>
      <c r="AN87" s="385"/>
      <c r="AO87" s="386"/>
      <c r="AP87" s="384"/>
      <c r="AQ87" s="384"/>
      <c r="AR87" s="384"/>
      <c r="AS87" s="383"/>
      <c r="AT87" s="384"/>
      <c r="AU87" s="384"/>
      <c r="AV87" s="387"/>
      <c r="AW87" s="388"/>
      <c r="AX87" s="383"/>
      <c r="AY87" s="384"/>
      <c r="AZ87" s="384"/>
      <c r="BA87" s="385"/>
      <c r="BB87" s="383"/>
      <c r="BC87" s="384"/>
      <c r="BD87" s="384"/>
      <c r="BE87" s="385"/>
      <c r="BF87" s="386"/>
      <c r="BG87" s="384"/>
      <c r="BH87" s="384"/>
      <c r="BI87" s="384"/>
      <c r="BJ87" s="383"/>
      <c r="BK87" s="384"/>
      <c r="BL87" s="384"/>
      <c r="BM87" s="387"/>
      <c r="BN87" s="383"/>
      <c r="BO87" s="384"/>
      <c r="BP87" s="384"/>
      <c r="BQ87" s="385"/>
      <c r="BR87" s="383"/>
      <c r="BS87" s="384"/>
      <c r="BT87" s="384"/>
      <c r="BU87" s="387"/>
      <c r="BV87" s="383"/>
      <c r="BW87" s="384"/>
      <c r="BX87" s="384"/>
      <c r="BY87" s="385"/>
      <c r="BZ87" s="216">
        <f t="shared" si="3"/>
        <v>1</v>
      </c>
      <c r="CA87" s="216" t="str">
        <f t="shared" si="1"/>
        <v/>
      </c>
    </row>
    <row r="88" spans="3:79" ht="12">
      <c r="C88" s="217">
        <v>84</v>
      </c>
      <c r="D88" s="35" t="s">
        <v>1350</v>
      </c>
      <c r="E88" s="383"/>
      <c r="F88" s="384"/>
      <c r="G88" s="384"/>
      <c r="H88" s="385"/>
      <c r="I88" s="386"/>
      <c r="J88" s="384"/>
      <c r="K88" s="384"/>
      <c r="L88" s="384"/>
      <c r="M88" s="383"/>
      <c r="N88" s="384"/>
      <c r="O88" s="384"/>
      <c r="P88" s="387"/>
      <c r="Q88" s="383"/>
      <c r="R88" s="384"/>
      <c r="S88" s="384"/>
      <c r="T88" s="385"/>
      <c r="U88" s="383"/>
      <c r="V88" s="384"/>
      <c r="W88" s="384"/>
      <c r="X88" s="385"/>
      <c r="Y88" s="386"/>
      <c r="Z88" s="384"/>
      <c r="AA88" s="384"/>
      <c r="AB88" s="384">
        <v>1</v>
      </c>
      <c r="AC88" s="383"/>
      <c r="AD88" s="384"/>
      <c r="AE88" s="384"/>
      <c r="AF88" s="387"/>
      <c r="AG88" s="383"/>
      <c r="AH88" s="384"/>
      <c r="AI88" s="384"/>
      <c r="AJ88" s="387"/>
      <c r="AK88" s="383"/>
      <c r="AL88" s="384"/>
      <c r="AM88" s="384"/>
      <c r="AN88" s="385"/>
      <c r="AO88" s="386"/>
      <c r="AP88" s="384"/>
      <c r="AQ88" s="384"/>
      <c r="AR88" s="384"/>
      <c r="AS88" s="383"/>
      <c r="AT88" s="384"/>
      <c r="AU88" s="384"/>
      <c r="AV88" s="387"/>
      <c r="AW88" s="388"/>
      <c r="AX88" s="383"/>
      <c r="AY88" s="384"/>
      <c r="AZ88" s="384"/>
      <c r="BA88" s="385"/>
      <c r="BB88" s="383"/>
      <c r="BC88" s="384"/>
      <c r="BD88" s="384"/>
      <c r="BE88" s="385"/>
      <c r="BF88" s="386"/>
      <c r="BG88" s="384"/>
      <c r="BH88" s="384"/>
      <c r="BI88" s="384"/>
      <c r="BJ88" s="383"/>
      <c r="BK88" s="384"/>
      <c r="BL88" s="384"/>
      <c r="BM88" s="387"/>
      <c r="BN88" s="383"/>
      <c r="BO88" s="384"/>
      <c r="BP88" s="384"/>
      <c r="BQ88" s="385"/>
      <c r="BR88" s="383"/>
      <c r="BS88" s="384"/>
      <c r="BT88" s="384"/>
      <c r="BU88" s="387"/>
      <c r="BV88" s="383"/>
      <c r="BW88" s="384"/>
      <c r="BX88" s="384"/>
      <c r="BY88" s="385"/>
      <c r="BZ88" s="216">
        <f t="shared" si="3"/>
        <v>1</v>
      </c>
    </row>
    <row r="89" spans="3:79" ht="12">
      <c r="C89" s="217">
        <v>85</v>
      </c>
      <c r="D89" s="35" t="s">
        <v>1351</v>
      </c>
      <c r="E89" s="383"/>
      <c r="F89" s="384"/>
      <c r="G89" s="384"/>
      <c r="H89" s="385"/>
      <c r="I89" s="386"/>
      <c r="J89" s="384"/>
      <c r="K89" s="384"/>
      <c r="L89" s="384"/>
      <c r="M89" s="383"/>
      <c r="N89" s="384"/>
      <c r="O89" s="384"/>
      <c r="P89" s="387"/>
      <c r="Q89" s="383"/>
      <c r="R89" s="384"/>
      <c r="S89" s="384"/>
      <c r="T89" s="385"/>
      <c r="U89" s="383"/>
      <c r="V89" s="384"/>
      <c r="W89" s="384"/>
      <c r="X89" s="385"/>
      <c r="Y89" s="386"/>
      <c r="Z89" s="384"/>
      <c r="AA89" s="384"/>
      <c r="AB89" s="384"/>
      <c r="AC89" s="383"/>
      <c r="AD89" s="384"/>
      <c r="AE89" s="384"/>
      <c r="AF89" s="387"/>
      <c r="AG89" s="383"/>
      <c r="AH89" s="384"/>
      <c r="AI89" s="384"/>
      <c r="AJ89" s="387"/>
      <c r="AK89" s="383"/>
      <c r="AL89" s="384"/>
      <c r="AM89" s="384"/>
      <c r="AN89" s="385"/>
      <c r="AO89" s="386"/>
      <c r="AP89" s="384"/>
      <c r="AQ89" s="384"/>
      <c r="AR89" s="384"/>
      <c r="AS89" s="383"/>
      <c r="AT89" s="384"/>
      <c r="AU89" s="384"/>
      <c r="AV89" s="387"/>
      <c r="AW89" s="388"/>
      <c r="AX89" s="383"/>
      <c r="AY89" s="384"/>
      <c r="AZ89" s="384"/>
      <c r="BA89" s="385"/>
      <c r="BB89" s="383"/>
      <c r="BC89" s="384"/>
      <c r="BD89" s="384"/>
      <c r="BE89" s="385"/>
      <c r="BF89" s="386"/>
      <c r="BG89" s="384"/>
      <c r="BH89" s="384"/>
      <c r="BI89" s="384"/>
      <c r="BJ89" s="383"/>
      <c r="BK89" s="384"/>
      <c r="BL89" s="384"/>
      <c r="BM89" s="387"/>
      <c r="BN89" s="383"/>
      <c r="BO89" s="384"/>
      <c r="BP89" s="384"/>
      <c r="BQ89" s="385"/>
      <c r="BR89" s="383"/>
      <c r="BS89" s="384">
        <v>1</v>
      </c>
      <c r="BT89" s="384"/>
      <c r="BU89" s="387"/>
      <c r="BV89" s="383"/>
      <c r="BW89" s="384"/>
      <c r="BX89" s="384"/>
      <c r="BY89" s="385"/>
      <c r="BZ89" s="216">
        <f t="shared" si="3"/>
        <v>1</v>
      </c>
    </row>
    <row r="90" spans="3:79" ht="12">
      <c r="C90" s="217">
        <v>86</v>
      </c>
      <c r="D90" s="35" t="s">
        <v>1352</v>
      </c>
      <c r="E90" s="383"/>
      <c r="F90" s="384"/>
      <c r="G90" s="384"/>
      <c r="H90" s="385"/>
      <c r="I90" s="386"/>
      <c r="J90" s="384"/>
      <c r="K90" s="384"/>
      <c r="L90" s="384"/>
      <c r="M90" s="383"/>
      <c r="N90" s="384"/>
      <c r="O90" s="384"/>
      <c r="P90" s="387"/>
      <c r="Q90" s="383"/>
      <c r="R90" s="384"/>
      <c r="S90" s="384"/>
      <c r="T90" s="385"/>
      <c r="U90" s="383"/>
      <c r="V90" s="384"/>
      <c r="W90" s="384"/>
      <c r="X90" s="385"/>
      <c r="Y90" s="386"/>
      <c r="Z90" s="384"/>
      <c r="AA90" s="384"/>
      <c r="AB90" s="384"/>
      <c r="AC90" s="383"/>
      <c r="AD90" s="384"/>
      <c r="AE90" s="384"/>
      <c r="AF90" s="387"/>
      <c r="AG90" s="383"/>
      <c r="AH90" s="384"/>
      <c r="AI90" s="384"/>
      <c r="AJ90" s="387"/>
      <c r="AK90" s="383"/>
      <c r="AL90" s="384"/>
      <c r="AM90" s="384"/>
      <c r="AN90" s="385"/>
      <c r="AO90" s="386"/>
      <c r="AP90" s="384"/>
      <c r="AQ90" s="384"/>
      <c r="AR90" s="384"/>
      <c r="AS90" s="383"/>
      <c r="AT90" s="384"/>
      <c r="AU90" s="384"/>
      <c r="AV90" s="387"/>
      <c r="AW90" s="388"/>
      <c r="AX90" s="383"/>
      <c r="AY90" s="384"/>
      <c r="AZ90" s="384"/>
      <c r="BA90" s="385"/>
      <c r="BB90" s="383"/>
      <c r="BC90" s="384"/>
      <c r="BD90" s="384"/>
      <c r="BE90" s="385"/>
      <c r="BF90" s="386"/>
      <c r="BG90" s="384"/>
      <c r="BH90" s="384"/>
      <c r="BI90" s="384"/>
      <c r="BJ90" s="383"/>
      <c r="BK90" s="384"/>
      <c r="BL90" s="384"/>
      <c r="BM90" s="387"/>
      <c r="BN90" s="383"/>
      <c r="BO90" s="384"/>
      <c r="BP90" s="384"/>
      <c r="BQ90" s="385"/>
      <c r="BR90" s="383"/>
      <c r="BS90" s="384">
        <v>1</v>
      </c>
      <c r="BT90" s="384"/>
      <c r="BU90" s="387"/>
      <c r="BV90" s="383"/>
      <c r="BW90" s="384"/>
      <c r="BX90" s="384"/>
      <c r="BY90" s="385"/>
      <c r="BZ90" s="216">
        <f t="shared" si="3"/>
        <v>1</v>
      </c>
    </row>
    <row r="91" spans="3:79" ht="12">
      <c r="C91" s="217">
        <v>87</v>
      </c>
      <c r="D91" s="35" t="s">
        <v>1353</v>
      </c>
      <c r="E91" s="383"/>
      <c r="F91" s="384"/>
      <c r="G91" s="384"/>
      <c r="H91" s="385"/>
      <c r="I91" s="386"/>
      <c r="J91" s="384"/>
      <c r="K91" s="384"/>
      <c r="L91" s="384"/>
      <c r="M91" s="383"/>
      <c r="N91" s="384"/>
      <c r="O91" s="384"/>
      <c r="P91" s="387"/>
      <c r="Q91" s="383"/>
      <c r="R91" s="384"/>
      <c r="S91" s="384"/>
      <c r="T91" s="385"/>
      <c r="U91" s="383"/>
      <c r="V91" s="384"/>
      <c r="W91" s="384"/>
      <c r="X91" s="385"/>
      <c r="Y91" s="386"/>
      <c r="Z91" s="384"/>
      <c r="AA91" s="384"/>
      <c r="AB91" s="384"/>
      <c r="AC91" s="383"/>
      <c r="AD91" s="384"/>
      <c r="AE91" s="384"/>
      <c r="AF91" s="387"/>
      <c r="AG91" s="383"/>
      <c r="AH91" s="384"/>
      <c r="AI91" s="384"/>
      <c r="AJ91" s="387"/>
      <c r="AK91" s="383"/>
      <c r="AL91" s="384"/>
      <c r="AM91" s="384"/>
      <c r="AN91" s="385"/>
      <c r="AO91" s="386"/>
      <c r="AP91" s="384"/>
      <c r="AQ91" s="384"/>
      <c r="AR91" s="384"/>
      <c r="AS91" s="383"/>
      <c r="AT91" s="384"/>
      <c r="AU91" s="384"/>
      <c r="AV91" s="387"/>
      <c r="AW91" s="388"/>
      <c r="AX91" s="383"/>
      <c r="AY91" s="384"/>
      <c r="AZ91" s="384"/>
      <c r="BA91" s="385"/>
      <c r="BB91" s="383"/>
      <c r="BC91" s="384"/>
      <c r="BD91" s="384"/>
      <c r="BE91" s="385"/>
      <c r="BF91" s="386"/>
      <c r="BG91" s="384"/>
      <c r="BH91" s="384"/>
      <c r="BI91" s="384"/>
      <c r="BJ91" s="383"/>
      <c r="BK91" s="384"/>
      <c r="BL91" s="384"/>
      <c r="BM91" s="387"/>
      <c r="BN91" s="383"/>
      <c r="BO91" s="384"/>
      <c r="BP91" s="384"/>
      <c r="BQ91" s="385"/>
      <c r="BR91" s="383"/>
      <c r="BS91" s="384">
        <v>1</v>
      </c>
      <c r="BT91" s="384"/>
      <c r="BU91" s="387"/>
      <c r="BV91" s="383"/>
      <c r="BW91" s="384"/>
      <c r="BX91" s="384"/>
      <c r="BY91" s="385"/>
      <c r="BZ91" s="216">
        <f t="shared" si="3"/>
        <v>1</v>
      </c>
    </row>
    <row r="92" spans="3:79" ht="12">
      <c r="C92" s="217">
        <v>88</v>
      </c>
      <c r="D92" s="35" t="s">
        <v>1354</v>
      </c>
      <c r="E92" s="383"/>
      <c r="F92" s="384"/>
      <c r="G92" s="384"/>
      <c r="H92" s="385"/>
      <c r="I92" s="386"/>
      <c r="J92" s="384"/>
      <c r="K92" s="384"/>
      <c r="L92" s="384"/>
      <c r="M92" s="383"/>
      <c r="N92" s="384"/>
      <c r="O92" s="384"/>
      <c r="P92" s="387"/>
      <c r="Q92" s="383"/>
      <c r="R92" s="384"/>
      <c r="S92" s="384"/>
      <c r="T92" s="385"/>
      <c r="U92" s="383"/>
      <c r="V92" s="384"/>
      <c r="W92" s="384"/>
      <c r="X92" s="385"/>
      <c r="Y92" s="386"/>
      <c r="Z92" s="384"/>
      <c r="AA92" s="384"/>
      <c r="AB92" s="384"/>
      <c r="AC92" s="383"/>
      <c r="AD92" s="384"/>
      <c r="AE92" s="384"/>
      <c r="AF92" s="387"/>
      <c r="AG92" s="383"/>
      <c r="AH92" s="384"/>
      <c r="AI92" s="384"/>
      <c r="AJ92" s="387"/>
      <c r="AK92" s="383"/>
      <c r="AL92" s="384"/>
      <c r="AM92" s="384"/>
      <c r="AN92" s="385"/>
      <c r="AO92" s="386"/>
      <c r="AP92" s="384"/>
      <c r="AQ92" s="384"/>
      <c r="AR92" s="384"/>
      <c r="AS92" s="383"/>
      <c r="AT92" s="384"/>
      <c r="AU92" s="384"/>
      <c r="AV92" s="387"/>
      <c r="AW92" s="388"/>
      <c r="AX92" s="383"/>
      <c r="AY92" s="384"/>
      <c r="AZ92" s="384"/>
      <c r="BA92" s="385"/>
      <c r="BB92" s="383"/>
      <c r="BC92" s="384"/>
      <c r="BD92" s="384"/>
      <c r="BE92" s="385"/>
      <c r="BF92" s="386"/>
      <c r="BG92" s="384"/>
      <c r="BH92" s="384"/>
      <c r="BI92" s="384"/>
      <c r="BJ92" s="383"/>
      <c r="BK92" s="384"/>
      <c r="BL92" s="384"/>
      <c r="BM92" s="387"/>
      <c r="BN92" s="383"/>
      <c r="BO92" s="384"/>
      <c r="BP92" s="384"/>
      <c r="BQ92" s="385"/>
      <c r="BR92" s="383"/>
      <c r="BS92" s="384">
        <v>1</v>
      </c>
      <c r="BT92" s="384"/>
      <c r="BU92" s="387"/>
      <c r="BV92" s="383"/>
      <c r="BW92" s="384"/>
      <c r="BX92" s="384"/>
      <c r="BY92" s="385"/>
      <c r="BZ92" s="216">
        <f t="shared" si="3"/>
        <v>1</v>
      </c>
    </row>
    <row r="93" spans="3:79" ht="12">
      <c r="C93" s="217">
        <v>89</v>
      </c>
      <c r="D93" s="35" t="s">
        <v>1355</v>
      </c>
      <c r="E93" s="383"/>
      <c r="F93" s="384"/>
      <c r="G93" s="384"/>
      <c r="H93" s="385"/>
      <c r="I93" s="386"/>
      <c r="J93" s="384"/>
      <c r="K93" s="384"/>
      <c r="L93" s="384"/>
      <c r="M93" s="383"/>
      <c r="N93" s="384"/>
      <c r="O93" s="384"/>
      <c r="P93" s="387"/>
      <c r="Q93" s="383"/>
      <c r="R93" s="384"/>
      <c r="S93" s="384"/>
      <c r="T93" s="385"/>
      <c r="U93" s="383"/>
      <c r="V93" s="384"/>
      <c r="W93" s="384"/>
      <c r="X93" s="385"/>
      <c r="Y93" s="386"/>
      <c r="Z93" s="384"/>
      <c r="AA93" s="384"/>
      <c r="AB93" s="384"/>
      <c r="AC93" s="383"/>
      <c r="AD93" s="384"/>
      <c r="AE93" s="384"/>
      <c r="AF93" s="387"/>
      <c r="AG93" s="383"/>
      <c r="AH93" s="384"/>
      <c r="AI93" s="384"/>
      <c r="AJ93" s="387"/>
      <c r="AK93" s="383"/>
      <c r="AL93" s="384"/>
      <c r="AM93" s="384"/>
      <c r="AN93" s="385"/>
      <c r="AO93" s="386"/>
      <c r="AP93" s="384"/>
      <c r="AQ93" s="384"/>
      <c r="AR93" s="384"/>
      <c r="AS93" s="383"/>
      <c r="AT93" s="384"/>
      <c r="AU93" s="384"/>
      <c r="AV93" s="387"/>
      <c r="AW93" s="388"/>
      <c r="AX93" s="383"/>
      <c r="AY93" s="384"/>
      <c r="AZ93" s="384"/>
      <c r="BA93" s="385"/>
      <c r="BB93" s="383"/>
      <c r="BC93" s="384"/>
      <c r="BD93" s="384"/>
      <c r="BE93" s="385"/>
      <c r="BF93" s="386"/>
      <c r="BG93" s="384"/>
      <c r="BH93" s="384"/>
      <c r="BI93" s="384"/>
      <c r="BJ93" s="383"/>
      <c r="BK93" s="384"/>
      <c r="BL93" s="384"/>
      <c r="BM93" s="387"/>
      <c r="BN93" s="383"/>
      <c r="BO93" s="384"/>
      <c r="BP93" s="384"/>
      <c r="BQ93" s="385"/>
      <c r="BR93" s="383"/>
      <c r="BS93" s="384">
        <v>1</v>
      </c>
      <c r="BT93" s="384"/>
      <c r="BU93" s="387"/>
      <c r="BV93" s="383"/>
      <c r="BW93" s="384"/>
      <c r="BX93" s="384"/>
      <c r="BY93" s="385"/>
      <c r="BZ93" s="216">
        <f t="shared" si="3"/>
        <v>1</v>
      </c>
    </row>
    <row r="94" spans="3:79" ht="12">
      <c r="C94" s="217">
        <v>90</v>
      </c>
      <c r="D94" s="35" t="s">
        <v>1356</v>
      </c>
      <c r="E94" s="383"/>
      <c r="F94" s="384"/>
      <c r="G94" s="384"/>
      <c r="H94" s="385"/>
      <c r="I94" s="386"/>
      <c r="J94" s="384"/>
      <c r="K94" s="384"/>
      <c r="L94" s="384"/>
      <c r="M94" s="383"/>
      <c r="N94" s="384"/>
      <c r="O94" s="384"/>
      <c r="P94" s="387"/>
      <c r="Q94" s="383"/>
      <c r="R94" s="384"/>
      <c r="S94" s="384"/>
      <c r="T94" s="385"/>
      <c r="U94" s="383"/>
      <c r="V94" s="384"/>
      <c r="W94" s="384"/>
      <c r="X94" s="385"/>
      <c r="Y94" s="386"/>
      <c r="Z94" s="384"/>
      <c r="AA94" s="384"/>
      <c r="AB94" s="384"/>
      <c r="AC94" s="383"/>
      <c r="AD94" s="384"/>
      <c r="AE94" s="384"/>
      <c r="AF94" s="387"/>
      <c r="AG94" s="383"/>
      <c r="AH94" s="384"/>
      <c r="AI94" s="384"/>
      <c r="AJ94" s="387"/>
      <c r="AK94" s="383"/>
      <c r="AL94" s="384"/>
      <c r="AM94" s="384"/>
      <c r="AN94" s="385"/>
      <c r="AO94" s="386"/>
      <c r="AP94" s="384"/>
      <c r="AQ94" s="384"/>
      <c r="AR94" s="384"/>
      <c r="AS94" s="383"/>
      <c r="AT94" s="384"/>
      <c r="AU94" s="384"/>
      <c r="AV94" s="387"/>
      <c r="AW94" s="388"/>
      <c r="AX94" s="383"/>
      <c r="AY94" s="384"/>
      <c r="AZ94" s="384"/>
      <c r="BA94" s="385"/>
      <c r="BB94" s="383"/>
      <c r="BC94" s="384"/>
      <c r="BD94" s="384"/>
      <c r="BE94" s="385"/>
      <c r="BF94" s="386"/>
      <c r="BG94" s="384"/>
      <c r="BH94" s="384"/>
      <c r="BI94" s="384"/>
      <c r="BJ94" s="383"/>
      <c r="BK94" s="384"/>
      <c r="BL94" s="384"/>
      <c r="BM94" s="387"/>
      <c r="BN94" s="383"/>
      <c r="BO94" s="384"/>
      <c r="BP94" s="384"/>
      <c r="BQ94" s="385"/>
      <c r="BR94" s="383"/>
      <c r="BS94" s="384">
        <v>1</v>
      </c>
      <c r="BT94" s="384"/>
      <c r="BU94" s="387"/>
      <c r="BV94" s="383"/>
      <c r="BW94" s="384"/>
      <c r="BX94" s="384"/>
      <c r="BY94" s="385"/>
      <c r="BZ94" s="216">
        <f t="shared" si="3"/>
        <v>1</v>
      </c>
    </row>
    <row r="95" spans="3:79" ht="12">
      <c r="C95" s="217">
        <v>91</v>
      </c>
      <c r="D95" s="35" t="s">
        <v>1357</v>
      </c>
      <c r="E95" s="383"/>
      <c r="F95" s="384"/>
      <c r="G95" s="384"/>
      <c r="H95" s="385"/>
      <c r="I95" s="386"/>
      <c r="J95" s="384"/>
      <c r="K95" s="384"/>
      <c r="L95" s="384"/>
      <c r="M95" s="383"/>
      <c r="N95" s="384"/>
      <c r="O95" s="384"/>
      <c r="P95" s="387"/>
      <c r="Q95" s="383"/>
      <c r="R95" s="384"/>
      <c r="S95" s="384"/>
      <c r="T95" s="385"/>
      <c r="U95" s="383"/>
      <c r="V95" s="384"/>
      <c r="W95" s="384"/>
      <c r="X95" s="385"/>
      <c r="Y95" s="386"/>
      <c r="Z95" s="384"/>
      <c r="AA95" s="384"/>
      <c r="AB95" s="384"/>
      <c r="AC95" s="383"/>
      <c r="AD95" s="384"/>
      <c r="AE95" s="384"/>
      <c r="AF95" s="387"/>
      <c r="AG95" s="383"/>
      <c r="AH95" s="384"/>
      <c r="AI95" s="384"/>
      <c r="AJ95" s="387"/>
      <c r="AK95" s="383"/>
      <c r="AL95" s="384"/>
      <c r="AM95" s="384"/>
      <c r="AN95" s="385"/>
      <c r="AO95" s="386"/>
      <c r="AP95" s="384"/>
      <c r="AQ95" s="384"/>
      <c r="AR95" s="384"/>
      <c r="AS95" s="383"/>
      <c r="AT95" s="384"/>
      <c r="AU95" s="384"/>
      <c r="AV95" s="387"/>
      <c r="AW95" s="388"/>
      <c r="AX95" s="383"/>
      <c r="AY95" s="384"/>
      <c r="AZ95" s="384"/>
      <c r="BA95" s="385"/>
      <c r="BB95" s="383"/>
      <c r="BC95" s="384"/>
      <c r="BD95" s="384"/>
      <c r="BE95" s="385"/>
      <c r="BF95" s="386"/>
      <c r="BG95" s="384"/>
      <c r="BH95" s="384"/>
      <c r="BI95" s="384"/>
      <c r="BJ95" s="383"/>
      <c r="BK95" s="384"/>
      <c r="BL95" s="384"/>
      <c r="BM95" s="387"/>
      <c r="BN95" s="383"/>
      <c r="BO95" s="384"/>
      <c r="BP95" s="384"/>
      <c r="BQ95" s="385"/>
      <c r="BR95" s="383"/>
      <c r="BS95" s="384">
        <v>1</v>
      </c>
      <c r="BT95" s="384"/>
      <c r="BU95" s="387"/>
      <c r="BV95" s="383"/>
      <c r="BW95" s="384"/>
      <c r="BX95" s="384"/>
      <c r="BY95" s="385"/>
      <c r="BZ95" s="216">
        <f t="shared" si="3"/>
        <v>1</v>
      </c>
    </row>
    <row r="96" spans="3:79" ht="12">
      <c r="C96" s="217">
        <v>92</v>
      </c>
      <c r="D96" s="35" t="s">
        <v>1358</v>
      </c>
      <c r="E96" s="383"/>
      <c r="F96" s="384"/>
      <c r="G96" s="384"/>
      <c r="H96" s="385"/>
      <c r="I96" s="386"/>
      <c r="J96" s="384"/>
      <c r="K96" s="384"/>
      <c r="L96" s="384"/>
      <c r="M96" s="383"/>
      <c r="N96" s="384"/>
      <c r="O96" s="384"/>
      <c r="P96" s="387"/>
      <c r="Q96" s="383"/>
      <c r="R96" s="384"/>
      <c r="S96" s="384"/>
      <c r="T96" s="385"/>
      <c r="U96" s="383"/>
      <c r="V96" s="384"/>
      <c r="W96" s="384"/>
      <c r="X96" s="385"/>
      <c r="Y96" s="386"/>
      <c r="Z96" s="384"/>
      <c r="AA96" s="384"/>
      <c r="AB96" s="384"/>
      <c r="AC96" s="383"/>
      <c r="AD96" s="384"/>
      <c r="AE96" s="384"/>
      <c r="AF96" s="387"/>
      <c r="AG96" s="383"/>
      <c r="AH96" s="384"/>
      <c r="AI96" s="384"/>
      <c r="AJ96" s="387"/>
      <c r="AK96" s="383"/>
      <c r="AL96" s="384"/>
      <c r="AM96" s="384"/>
      <c r="AN96" s="385"/>
      <c r="AO96" s="386"/>
      <c r="AP96" s="384"/>
      <c r="AQ96" s="384"/>
      <c r="AR96" s="384"/>
      <c r="AS96" s="383"/>
      <c r="AT96" s="384"/>
      <c r="AU96" s="384"/>
      <c r="AV96" s="387"/>
      <c r="AW96" s="388"/>
      <c r="AX96" s="383"/>
      <c r="AY96" s="384"/>
      <c r="AZ96" s="384"/>
      <c r="BA96" s="385"/>
      <c r="BB96" s="383"/>
      <c r="BC96" s="384"/>
      <c r="BD96" s="384"/>
      <c r="BE96" s="385"/>
      <c r="BF96" s="386"/>
      <c r="BG96" s="384"/>
      <c r="BH96" s="384"/>
      <c r="BI96" s="384"/>
      <c r="BJ96" s="383"/>
      <c r="BK96" s="384"/>
      <c r="BL96" s="384"/>
      <c r="BM96" s="387"/>
      <c r="BN96" s="383"/>
      <c r="BO96" s="384"/>
      <c r="BP96" s="384"/>
      <c r="BQ96" s="385"/>
      <c r="BR96" s="383"/>
      <c r="BS96" s="384">
        <v>1</v>
      </c>
      <c r="BT96" s="384"/>
      <c r="BU96" s="387"/>
      <c r="BV96" s="383"/>
      <c r="BW96" s="384"/>
      <c r="BX96" s="384"/>
      <c r="BY96" s="385"/>
      <c r="BZ96" s="216">
        <f t="shared" si="3"/>
        <v>1</v>
      </c>
    </row>
    <row r="97" spans="3:79" ht="12">
      <c r="C97" s="217">
        <v>93</v>
      </c>
      <c r="D97" s="35" t="s">
        <v>1359</v>
      </c>
      <c r="E97" s="383"/>
      <c r="F97" s="384"/>
      <c r="G97" s="384"/>
      <c r="H97" s="385"/>
      <c r="I97" s="386"/>
      <c r="J97" s="384"/>
      <c r="K97" s="384"/>
      <c r="L97" s="384"/>
      <c r="M97" s="383"/>
      <c r="N97" s="384"/>
      <c r="O97" s="384"/>
      <c r="P97" s="387"/>
      <c r="Q97" s="383"/>
      <c r="R97" s="384"/>
      <c r="S97" s="384"/>
      <c r="T97" s="385"/>
      <c r="U97" s="383"/>
      <c r="V97" s="384"/>
      <c r="W97" s="384"/>
      <c r="X97" s="385"/>
      <c r="Y97" s="386"/>
      <c r="Z97" s="384"/>
      <c r="AA97" s="384"/>
      <c r="AB97" s="384"/>
      <c r="AC97" s="383"/>
      <c r="AD97" s="384"/>
      <c r="AE97" s="384"/>
      <c r="AF97" s="387"/>
      <c r="AG97" s="383"/>
      <c r="AH97" s="384"/>
      <c r="AI97" s="384"/>
      <c r="AJ97" s="387"/>
      <c r="AK97" s="383"/>
      <c r="AL97" s="384"/>
      <c r="AM97" s="384"/>
      <c r="AN97" s="385"/>
      <c r="AO97" s="386"/>
      <c r="AP97" s="384"/>
      <c r="AQ97" s="384"/>
      <c r="AR97" s="384"/>
      <c r="AS97" s="383"/>
      <c r="AT97" s="384"/>
      <c r="AU97" s="384"/>
      <c r="AV97" s="387"/>
      <c r="AW97" s="388"/>
      <c r="AX97" s="383"/>
      <c r="AY97" s="384"/>
      <c r="AZ97" s="384"/>
      <c r="BA97" s="385"/>
      <c r="BB97" s="383"/>
      <c r="BC97" s="384"/>
      <c r="BD97" s="384"/>
      <c r="BE97" s="385"/>
      <c r="BF97" s="386"/>
      <c r="BG97" s="384"/>
      <c r="BH97" s="384"/>
      <c r="BI97" s="384"/>
      <c r="BJ97" s="383"/>
      <c r="BK97" s="384"/>
      <c r="BL97" s="384"/>
      <c r="BM97" s="387"/>
      <c r="BN97" s="383"/>
      <c r="BO97" s="384"/>
      <c r="BP97" s="384"/>
      <c r="BQ97" s="385"/>
      <c r="BR97" s="383"/>
      <c r="BS97" s="384">
        <v>1</v>
      </c>
      <c r="BT97" s="384"/>
      <c r="BU97" s="387"/>
      <c r="BV97" s="383"/>
      <c r="BW97" s="384"/>
      <c r="BX97" s="384"/>
      <c r="BY97" s="385"/>
      <c r="BZ97" s="216">
        <f t="shared" si="3"/>
        <v>1</v>
      </c>
    </row>
    <row r="98" spans="3:79" ht="12">
      <c r="C98" s="217">
        <v>94</v>
      </c>
      <c r="D98" s="35" t="s">
        <v>1360</v>
      </c>
      <c r="E98" s="383"/>
      <c r="F98" s="384"/>
      <c r="G98" s="384"/>
      <c r="H98" s="385"/>
      <c r="I98" s="386"/>
      <c r="J98" s="384"/>
      <c r="K98" s="384"/>
      <c r="L98" s="384"/>
      <c r="M98" s="383"/>
      <c r="N98" s="384"/>
      <c r="O98" s="384"/>
      <c r="P98" s="387"/>
      <c r="Q98" s="383"/>
      <c r="R98" s="384"/>
      <c r="S98" s="384"/>
      <c r="T98" s="385"/>
      <c r="U98" s="383"/>
      <c r="V98" s="384"/>
      <c r="W98" s="384"/>
      <c r="X98" s="385"/>
      <c r="Y98" s="386"/>
      <c r="Z98" s="384"/>
      <c r="AA98" s="384"/>
      <c r="AB98" s="384"/>
      <c r="AC98" s="383"/>
      <c r="AD98" s="384"/>
      <c r="AE98" s="384"/>
      <c r="AF98" s="387"/>
      <c r="AG98" s="383"/>
      <c r="AH98" s="384"/>
      <c r="AI98" s="384"/>
      <c r="AJ98" s="387"/>
      <c r="AK98" s="383"/>
      <c r="AL98" s="384"/>
      <c r="AM98" s="384"/>
      <c r="AN98" s="385"/>
      <c r="AO98" s="386"/>
      <c r="AP98" s="384"/>
      <c r="AQ98" s="384"/>
      <c r="AR98" s="384"/>
      <c r="AS98" s="383"/>
      <c r="AT98" s="384"/>
      <c r="AU98" s="384"/>
      <c r="AV98" s="387"/>
      <c r="AW98" s="388"/>
      <c r="AX98" s="383"/>
      <c r="AY98" s="384"/>
      <c r="AZ98" s="384"/>
      <c r="BA98" s="385"/>
      <c r="BB98" s="383"/>
      <c r="BC98" s="384"/>
      <c r="BD98" s="384"/>
      <c r="BE98" s="385"/>
      <c r="BF98" s="386"/>
      <c r="BG98" s="384"/>
      <c r="BH98" s="384"/>
      <c r="BI98" s="384"/>
      <c r="BJ98" s="383"/>
      <c r="BK98" s="384"/>
      <c r="BL98" s="384"/>
      <c r="BM98" s="387"/>
      <c r="BN98" s="383"/>
      <c r="BO98" s="384"/>
      <c r="BP98" s="384"/>
      <c r="BQ98" s="385"/>
      <c r="BR98" s="383"/>
      <c r="BS98" s="384">
        <v>1</v>
      </c>
      <c r="BT98" s="384"/>
      <c r="BU98" s="387"/>
      <c r="BV98" s="383"/>
      <c r="BW98" s="384"/>
      <c r="BX98" s="384"/>
      <c r="BY98" s="385"/>
      <c r="BZ98" s="216">
        <f t="shared" si="3"/>
        <v>1</v>
      </c>
      <c r="CA98" s="216" t="str">
        <f t="shared" si="1"/>
        <v/>
      </c>
    </row>
    <row r="99" spans="3:79" ht="12">
      <c r="C99" s="217">
        <v>95</v>
      </c>
      <c r="D99" s="35" t="s">
        <v>1361</v>
      </c>
      <c r="E99" s="383"/>
      <c r="F99" s="384"/>
      <c r="G99" s="384"/>
      <c r="H99" s="385"/>
      <c r="I99" s="386"/>
      <c r="J99" s="384"/>
      <c r="K99" s="384"/>
      <c r="L99" s="384"/>
      <c r="M99" s="383"/>
      <c r="N99" s="384"/>
      <c r="O99" s="384"/>
      <c r="P99" s="387"/>
      <c r="Q99" s="383"/>
      <c r="R99" s="384"/>
      <c r="S99" s="384"/>
      <c r="T99" s="385"/>
      <c r="U99" s="383"/>
      <c r="V99" s="384"/>
      <c r="W99" s="384"/>
      <c r="X99" s="385"/>
      <c r="Y99" s="386"/>
      <c r="Z99" s="384"/>
      <c r="AA99" s="384"/>
      <c r="AB99" s="384"/>
      <c r="AC99" s="383"/>
      <c r="AD99" s="384"/>
      <c r="AE99" s="384"/>
      <c r="AF99" s="387"/>
      <c r="AG99" s="383"/>
      <c r="AH99" s="384"/>
      <c r="AI99" s="384"/>
      <c r="AJ99" s="387"/>
      <c r="AK99" s="383"/>
      <c r="AL99" s="384"/>
      <c r="AM99" s="384"/>
      <c r="AN99" s="385"/>
      <c r="AO99" s="386"/>
      <c r="AP99" s="384"/>
      <c r="AQ99" s="384"/>
      <c r="AR99" s="384"/>
      <c r="AS99" s="383"/>
      <c r="AT99" s="384"/>
      <c r="AU99" s="384"/>
      <c r="AV99" s="387"/>
      <c r="AW99" s="388"/>
      <c r="AX99" s="383"/>
      <c r="AY99" s="384"/>
      <c r="AZ99" s="384"/>
      <c r="BA99" s="385"/>
      <c r="BB99" s="383"/>
      <c r="BC99" s="384"/>
      <c r="BD99" s="384"/>
      <c r="BE99" s="385"/>
      <c r="BF99" s="386"/>
      <c r="BG99" s="384"/>
      <c r="BH99" s="384"/>
      <c r="BI99" s="384"/>
      <c r="BJ99" s="383"/>
      <c r="BK99" s="384"/>
      <c r="BL99" s="384"/>
      <c r="BM99" s="387"/>
      <c r="BN99" s="383"/>
      <c r="BO99" s="384"/>
      <c r="BP99" s="384"/>
      <c r="BQ99" s="385"/>
      <c r="BR99" s="383"/>
      <c r="BS99" s="384">
        <v>1</v>
      </c>
      <c r="BT99" s="384"/>
      <c r="BU99" s="387"/>
      <c r="BV99" s="383"/>
      <c r="BW99" s="384"/>
      <c r="BX99" s="384"/>
      <c r="BY99" s="385"/>
      <c r="BZ99" s="216">
        <f t="shared" si="3"/>
        <v>1</v>
      </c>
    </row>
    <row r="100" spans="3:79" ht="12">
      <c r="C100" s="217">
        <v>96</v>
      </c>
      <c r="D100" s="35" t="s">
        <v>1362</v>
      </c>
      <c r="E100" s="383"/>
      <c r="F100" s="384"/>
      <c r="G100" s="384"/>
      <c r="H100" s="385"/>
      <c r="I100" s="386"/>
      <c r="J100" s="384"/>
      <c r="K100" s="384"/>
      <c r="L100" s="384"/>
      <c r="M100" s="383"/>
      <c r="N100" s="384"/>
      <c r="O100" s="384"/>
      <c r="P100" s="387"/>
      <c r="Q100" s="383"/>
      <c r="R100" s="384"/>
      <c r="S100" s="384"/>
      <c r="T100" s="385"/>
      <c r="U100" s="383"/>
      <c r="V100" s="384"/>
      <c r="W100" s="384"/>
      <c r="X100" s="385"/>
      <c r="Y100" s="386"/>
      <c r="Z100" s="384"/>
      <c r="AA100" s="384"/>
      <c r="AB100" s="384"/>
      <c r="AC100" s="383"/>
      <c r="AD100" s="384"/>
      <c r="AE100" s="384"/>
      <c r="AF100" s="387"/>
      <c r="AG100" s="383"/>
      <c r="AH100" s="384"/>
      <c r="AI100" s="384"/>
      <c r="AJ100" s="387"/>
      <c r="AK100" s="383"/>
      <c r="AL100" s="384"/>
      <c r="AM100" s="384"/>
      <c r="AN100" s="385"/>
      <c r="AO100" s="386"/>
      <c r="AP100" s="384"/>
      <c r="AQ100" s="384"/>
      <c r="AR100" s="384"/>
      <c r="AS100" s="383"/>
      <c r="AT100" s="384"/>
      <c r="AU100" s="384"/>
      <c r="AV100" s="387"/>
      <c r="AW100" s="388"/>
      <c r="AX100" s="383"/>
      <c r="AY100" s="384"/>
      <c r="AZ100" s="384"/>
      <c r="BA100" s="385"/>
      <c r="BB100" s="383"/>
      <c r="BC100" s="384"/>
      <c r="BD100" s="384"/>
      <c r="BE100" s="385"/>
      <c r="BF100" s="386"/>
      <c r="BG100" s="384"/>
      <c r="BH100" s="384"/>
      <c r="BI100" s="384"/>
      <c r="BJ100" s="383"/>
      <c r="BK100" s="384"/>
      <c r="BL100" s="384"/>
      <c r="BM100" s="387"/>
      <c r="BN100" s="383"/>
      <c r="BO100" s="384">
        <v>1</v>
      </c>
      <c r="BP100" s="384"/>
      <c r="BQ100" s="385"/>
      <c r="BR100" s="383"/>
      <c r="BS100" s="384"/>
      <c r="BT100" s="384"/>
      <c r="BU100" s="387"/>
      <c r="BV100" s="383"/>
      <c r="BW100" s="384"/>
      <c r="BX100" s="384"/>
      <c r="BY100" s="385"/>
      <c r="BZ100" s="216">
        <f t="shared" si="3"/>
        <v>1</v>
      </c>
      <c r="CA100" s="216" t="str">
        <f t="shared" si="1"/>
        <v/>
      </c>
    </row>
    <row r="101" spans="3:79" ht="12">
      <c r="C101" s="217">
        <v>97</v>
      </c>
      <c r="D101" s="35" t="s">
        <v>1363</v>
      </c>
      <c r="E101" s="383"/>
      <c r="F101" s="384"/>
      <c r="G101" s="384"/>
      <c r="H101" s="385"/>
      <c r="I101" s="386"/>
      <c r="J101" s="384"/>
      <c r="K101" s="384"/>
      <c r="L101" s="384"/>
      <c r="M101" s="383"/>
      <c r="N101" s="384"/>
      <c r="O101" s="384"/>
      <c r="P101" s="387"/>
      <c r="Q101" s="383"/>
      <c r="R101" s="384"/>
      <c r="S101" s="384"/>
      <c r="T101" s="385"/>
      <c r="U101" s="383"/>
      <c r="V101" s="384"/>
      <c r="W101" s="384"/>
      <c r="X101" s="385"/>
      <c r="Y101" s="386"/>
      <c r="Z101" s="384"/>
      <c r="AA101" s="384"/>
      <c r="AB101" s="384"/>
      <c r="AC101" s="383"/>
      <c r="AD101" s="384"/>
      <c r="AE101" s="384"/>
      <c r="AF101" s="387"/>
      <c r="AG101" s="383"/>
      <c r="AH101" s="384"/>
      <c r="AI101" s="384"/>
      <c r="AJ101" s="387"/>
      <c r="AK101" s="383"/>
      <c r="AL101" s="384"/>
      <c r="AM101" s="384"/>
      <c r="AN101" s="385"/>
      <c r="AO101" s="386"/>
      <c r="AP101" s="384"/>
      <c r="AQ101" s="384"/>
      <c r="AR101" s="384"/>
      <c r="AS101" s="383"/>
      <c r="AT101" s="384"/>
      <c r="AU101" s="384"/>
      <c r="AV101" s="387"/>
      <c r="AW101" s="388"/>
      <c r="AX101" s="383"/>
      <c r="AY101" s="384"/>
      <c r="AZ101" s="384"/>
      <c r="BA101" s="385"/>
      <c r="BB101" s="383"/>
      <c r="BC101" s="384"/>
      <c r="BD101" s="384"/>
      <c r="BE101" s="385"/>
      <c r="BF101" s="386"/>
      <c r="BG101" s="384"/>
      <c r="BH101" s="384"/>
      <c r="BI101" s="384"/>
      <c r="BJ101" s="383"/>
      <c r="BK101" s="384"/>
      <c r="BL101" s="384"/>
      <c r="BM101" s="387"/>
      <c r="BN101" s="383"/>
      <c r="BO101" s="384">
        <v>1</v>
      </c>
      <c r="BP101" s="384"/>
      <c r="BQ101" s="385"/>
      <c r="BR101" s="383"/>
      <c r="BS101" s="384"/>
      <c r="BT101" s="384"/>
      <c r="BU101" s="387"/>
      <c r="BV101" s="383"/>
      <c r="BW101" s="384"/>
      <c r="BX101" s="384"/>
      <c r="BY101" s="385"/>
      <c r="BZ101" s="216">
        <f t="shared" ref="BZ101:BZ132" si="4">SUM(E101:BY101)</f>
        <v>1</v>
      </c>
    </row>
    <row r="102" spans="3:79" ht="12">
      <c r="C102" s="217">
        <v>98</v>
      </c>
      <c r="D102" s="35" t="s">
        <v>1364</v>
      </c>
      <c r="E102" s="383"/>
      <c r="F102" s="384"/>
      <c r="G102" s="384"/>
      <c r="H102" s="385"/>
      <c r="I102" s="386"/>
      <c r="J102" s="384"/>
      <c r="K102" s="384"/>
      <c r="L102" s="384"/>
      <c r="M102" s="383"/>
      <c r="N102" s="384"/>
      <c r="O102" s="384"/>
      <c r="P102" s="387"/>
      <c r="Q102" s="383"/>
      <c r="R102" s="384"/>
      <c r="S102" s="384"/>
      <c r="T102" s="385"/>
      <c r="U102" s="383"/>
      <c r="V102" s="384"/>
      <c r="W102" s="384"/>
      <c r="X102" s="385"/>
      <c r="Y102" s="386"/>
      <c r="Z102" s="384"/>
      <c r="AA102" s="384"/>
      <c r="AB102" s="384"/>
      <c r="AC102" s="383"/>
      <c r="AD102" s="384"/>
      <c r="AE102" s="384"/>
      <c r="AF102" s="387"/>
      <c r="AG102" s="383"/>
      <c r="AH102" s="384"/>
      <c r="AI102" s="384"/>
      <c r="AJ102" s="387"/>
      <c r="AK102" s="383"/>
      <c r="AL102" s="384"/>
      <c r="AM102" s="384"/>
      <c r="AN102" s="385"/>
      <c r="AO102" s="386"/>
      <c r="AP102" s="384"/>
      <c r="AQ102" s="384"/>
      <c r="AR102" s="384"/>
      <c r="AS102" s="383"/>
      <c r="AT102" s="384"/>
      <c r="AU102" s="384"/>
      <c r="AV102" s="387"/>
      <c r="AW102" s="388"/>
      <c r="AX102" s="383"/>
      <c r="AY102" s="384"/>
      <c r="AZ102" s="384"/>
      <c r="BA102" s="385"/>
      <c r="BB102" s="383"/>
      <c r="BC102" s="384"/>
      <c r="BD102" s="384"/>
      <c r="BE102" s="385"/>
      <c r="BF102" s="386"/>
      <c r="BG102" s="384"/>
      <c r="BH102" s="384"/>
      <c r="BI102" s="384"/>
      <c r="BJ102" s="383"/>
      <c r="BK102" s="384">
        <v>1</v>
      </c>
      <c r="BL102" s="384"/>
      <c r="BM102" s="387"/>
      <c r="BN102" s="383"/>
      <c r="BO102" s="384"/>
      <c r="BP102" s="384"/>
      <c r="BQ102" s="385"/>
      <c r="BR102" s="383"/>
      <c r="BS102" s="384"/>
      <c r="BT102" s="384"/>
      <c r="BU102" s="387"/>
      <c r="BV102" s="383"/>
      <c r="BW102" s="384"/>
      <c r="BX102" s="384"/>
      <c r="BY102" s="385"/>
      <c r="BZ102" s="216">
        <f t="shared" si="4"/>
        <v>1</v>
      </c>
      <c r="CA102" s="216" t="str">
        <f t="shared" si="1"/>
        <v/>
      </c>
    </row>
    <row r="103" spans="3:79" ht="12">
      <c r="C103" s="217">
        <v>99</v>
      </c>
      <c r="D103" s="35" t="s">
        <v>1365</v>
      </c>
      <c r="E103" s="383"/>
      <c r="F103" s="384"/>
      <c r="G103" s="384"/>
      <c r="H103" s="385"/>
      <c r="I103" s="386"/>
      <c r="J103" s="384"/>
      <c r="K103" s="384"/>
      <c r="L103" s="384"/>
      <c r="M103" s="383"/>
      <c r="N103" s="384"/>
      <c r="O103" s="384"/>
      <c r="P103" s="387"/>
      <c r="Q103" s="383"/>
      <c r="R103" s="384"/>
      <c r="S103" s="384"/>
      <c r="T103" s="385"/>
      <c r="U103" s="383"/>
      <c r="V103" s="384"/>
      <c r="W103" s="384"/>
      <c r="X103" s="385"/>
      <c r="Y103" s="386"/>
      <c r="Z103" s="384"/>
      <c r="AA103" s="384"/>
      <c r="AB103" s="384"/>
      <c r="AC103" s="383"/>
      <c r="AD103" s="384"/>
      <c r="AE103" s="384"/>
      <c r="AF103" s="387"/>
      <c r="AG103" s="383"/>
      <c r="AH103" s="384"/>
      <c r="AI103" s="384"/>
      <c r="AJ103" s="387"/>
      <c r="AK103" s="383"/>
      <c r="AL103" s="384"/>
      <c r="AM103" s="384"/>
      <c r="AN103" s="385"/>
      <c r="AO103" s="386"/>
      <c r="AP103" s="384"/>
      <c r="AQ103" s="384"/>
      <c r="AR103" s="384"/>
      <c r="AS103" s="383"/>
      <c r="AT103" s="384"/>
      <c r="AU103" s="384"/>
      <c r="AV103" s="387"/>
      <c r="AW103" s="388"/>
      <c r="AX103" s="383"/>
      <c r="AY103" s="384"/>
      <c r="AZ103" s="384"/>
      <c r="BA103" s="385"/>
      <c r="BB103" s="383"/>
      <c r="BC103" s="384"/>
      <c r="BD103" s="384"/>
      <c r="BE103" s="385"/>
      <c r="BF103" s="386"/>
      <c r="BG103" s="384"/>
      <c r="BH103" s="384"/>
      <c r="BI103" s="384"/>
      <c r="BJ103" s="383"/>
      <c r="BK103" s="384"/>
      <c r="BL103" s="384"/>
      <c r="BM103" s="387"/>
      <c r="BN103" s="383"/>
      <c r="BO103" s="384">
        <v>1</v>
      </c>
      <c r="BP103" s="384"/>
      <c r="BQ103" s="385"/>
      <c r="BR103" s="383"/>
      <c r="BS103" s="384"/>
      <c r="BT103" s="384"/>
      <c r="BU103" s="387"/>
      <c r="BV103" s="383"/>
      <c r="BW103" s="384"/>
      <c r="BX103" s="384"/>
      <c r="BY103" s="385"/>
      <c r="BZ103" s="216">
        <f t="shared" si="4"/>
        <v>1</v>
      </c>
    </row>
    <row r="104" spans="3:79" ht="12">
      <c r="C104" s="217">
        <v>100</v>
      </c>
      <c r="D104" s="35" t="s">
        <v>1366</v>
      </c>
      <c r="E104" s="383"/>
      <c r="F104" s="384"/>
      <c r="G104" s="384"/>
      <c r="H104" s="385"/>
      <c r="I104" s="386"/>
      <c r="J104" s="384"/>
      <c r="K104" s="384"/>
      <c r="L104" s="384"/>
      <c r="M104" s="383"/>
      <c r="N104" s="384"/>
      <c r="O104" s="384"/>
      <c r="P104" s="387"/>
      <c r="Q104" s="383"/>
      <c r="R104" s="384"/>
      <c r="S104" s="384"/>
      <c r="T104" s="385"/>
      <c r="U104" s="383"/>
      <c r="V104" s="384"/>
      <c r="W104" s="384"/>
      <c r="X104" s="385"/>
      <c r="Y104" s="386"/>
      <c r="Z104" s="384"/>
      <c r="AA104" s="384"/>
      <c r="AB104" s="384"/>
      <c r="AC104" s="383"/>
      <c r="AD104" s="384"/>
      <c r="AE104" s="384"/>
      <c r="AF104" s="387"/>
      <c r="AG104" s="383"/>
      <c r="AH104" s="384"/>
      <c r="AI104" s="384"/>
      <c r="AJ104" s="387"/>
      <c r="AK104" s="383"/>
      <c r="AL104" s="384"/>
      <c r="AM104" s="384"/>
      <c r="AN104" s="385"/>
      <c r="AO104" s="386"/>
      <c r="AP104" s="384"/>
      <c r="AQ104" s="384"/>
      <c r="AR104" s="384"/>
      <c r="AS104" s="383"/>
      <c r="AT104" s="384"/>
      <c r="AU104" s="384"/>
      <c r="AV104" s="387"/>
      <c r="AW104" s="388"/>
      <c r="AX104" s="383"/>
      <c r="AY104" s="384"/>
      <c r="AZ104" s="384"/>
      <c r="BA104" s="385"/>
      <c r="BB104" s="383"/>
      <c r="BC104" s="384"/>
      <c r="BD104" s="384"/>
      <c r="BE104" s="385"/>
      <c r="BF104" s="386"/>
      <c r="BG104" s="384"/>
      <c r="BH104" s="384"/>
      <c r="BI104" s="384"/>
      <c r="BJ104" s="383"/>
      <c r="BK104" s="384"/>
      <c r="BL104" s="384"/>
      <c r="BM104" s="387"/>
      <c r="BN104" s="383"/>
      <c r="BO104" s="384"/>
      <c r="BP104" s="384"/>
      <c r="BQ104" s="385"/>
      <c r="BR104" s="383"/>
      <c r="BS104" s="384"/>
      <c r="BT104" s="384"/>
      <c r="BU104" s="387"/>
      <c r="BV104" s="383"/>
      <c r="BW104" s="384">
        <v>1</v>
      </c>
      <c r="BX104" s="384"/>
      <c r="BY104" s="385"/>
      <c r="BZ104" s="216">
        <f t="shared" si="4"/>
        <v>1</v>
      </c>
      <c r="CA104" s="216" t="str">
        <f t="shared" si="1"/>
        <v/>
      </c>
    </row>
    <row r="105" spans="3:79" ht="12">
      <c r="C105" s="217">
        <v>101</v>
      </c>
      <c r="D105" s="35" t="s">
        <v>1367</v>
      </c>
      <c r="E105" s="383"/>
      <c r="F105" s="384"/>
      <c r="G105" s="384"/>
      <c r="H105" s="385"/>
      <c r="I105" s="386"/>
      <c r="J105" s="384"/>
      <c r="K105" s="384"/>
      <c r="L105" s="384"/>
      <c r="M105" s="383"/>
      <c r="N105" s="384"/>
      <c r="O105" s="384"/>
      <c r="P105" s="387"/>
      <c r="Q105" s="383"/>
      <c r="R105" s="384"/>
      <c r="S105" s="384"/>
      <c r="T105" s="385"/>
      <c r="U105" s="383"/>
      <c r="V105" s="384"/>
      <c r="W105" s="384"/>
      <c r="X105" s="385"/>
      <c r="Y105" s="386"/>
      <c r="Z105" s="384"/>
      <c r="AA105" s="384"/>
      <c r="AB105" s="384"/>
      <c r="AC105" s="383"/>
      <c r="AD105" s="384"/>
      <c r="AE105" s="384"/>
      <c r="AF105" s="387"/>
      <c r="AG105" s="383"/>
      <c r="AH105" s="384"/>
      <c r="AI105" s="384"/>
      <c r="AJ105" s="387"/>
      <c r="AK105" s="383"/>
      <c r="AL105" s="384"/>
      <c r="AM105" s="384"/>
      <c r="AN105" s="385"/>
      <c r="AO105" s="386"/>
      <c r="AP105" s="384"/>
      <c r="AQ105" s="384"/>
      <c r="AR105" s="384"/>
      <c r="AS105" s="383"/>
      <c r="AT105" s="384"/>
      <c r="AU105" s="384"/>
      <c r="AV105" s="387"/>
      <c r="AW105" s="388"/>
      <c r="AX105" s="383"/>
      <c r="AY105" s="384"/>
      <c r="AZ105" s="384"/>
      <c r="BA105" s="385"/>
      <c r="BB105" s="383"/>
      <c r="BC105" s="384"/>
      <c r="BD105" s="384"/>
      <c r="BE105" s="385"/>
      <c r="BF105" s="386"/>
      <c r="BG105" s="384"/>
      <c r="BH105" s="384"/>
      <c r="BI105" s="384"/>
      <c r="BJ105" s="383"/>
      <c r="BK105" s="384"/>
      <c r="BL105" s="384"/>
      <c r="BM105" s="387"/>
      <c r="BN105" s="383"/>
      <c r="BO105" s="384">
        <v>1</v>
      </c>
      <c r="BP105" s="384"/>
      <c r="BQ105" s="385"/>
      <c r="BR105" s="383"/>
      <c r="BS105" s="384"/>
      <c r="BT105" s="384"/>
      <c r="BU105" s="387"/>
      <c r="BV105" s="383"/>
      <c r="BW105" s="384"/>
      <c r="BX105" s="384"/>
      <c r="BY105" s="385"/>
      <c r="BZ105" s="216">
        <f t="shared" si="4"/>
        <v>1</v>
      </c>
    </row>
    <row r="106" spans="3:79" ht="12">
      <c r="C106" s="217">
        <v>102</v>
      </c>
      <c r="D106" s="35" t="s">
        <v>1368</v>
      </c>
      <c r="E106" s="383"/>
      <c r="F106" s="384"/>
      <c r="G106" s="384"/>
      <c r="H106" s="385"/>
      <c r="I106" s="386"/>
      <c r="J106" s="384"/>
      <c r="K106" s="384"/>
      <c r="L106" s="384"/>
      <c r="M106" s="383"/>
      <c r="N106" s="384"/>
      <c r="O106" s="384"/>
      <c r="P106" s="387"/>
      <c r="Q106" s="383"/>
      <c r="R106" s="384"/>
      <c r="S106" s="384"/>
      <c r="T106" s="385"/>
      <c r="U106" s="383"/>
      <c r="V106" s="384"/>
      <c r="W106" s="384"/>
      <c r="X106" s="385"/>
      <c r="Y106" s="386"/>
      <c r="Z106" s="384"/>
      <c r="AA106" s="384"/>
      <c r="AB106" s="384"/>
      <c r="AC106" s="383"/>
      <c r="AD106" s="384"/>
      <c r="AE106" s="384"/>
      <c r="AF106" s="387"/>
      <c r="AG106" s="383"/>
      <c r="AH106" s="384"/>
      <c r="AI106" s="384"/>
      <c r="AJ106" s="387"/>
      <c r="AK106" s="383"/>
      <c r="AL106" s="384"/>
      <c r="AM106" s="384"/>
      <c r="AN106" s="385"/>
      <c r="AO106" s="386"/>
      <c r="AP106" s="384"/>
      <c r="AQ106" s="384"/>
      <c r="AR106" s="384"/>
      <c r="AS106" s="383"/>
      <c r="AT106" s="384"/>
      <c r="AU106" s="384"/>
      <c r="AV106" s="387"/>
      <c r="AW106" s="388"/>
      <c r="AX106" s="383"/>
      <c r="AY106" s="384"/>
      <c r="AZ106" s="384"/>
      <c r="BA106" s="385"/>
      <c r="BB106" s="383"/>
      <c r="BC106" s="384"/>
      <c r="BD106" s="384"/>
      <c r="BE106" s="385"/>
      <c r="BF106" s="386"/>
      <c r="BG106" s="384"/>
      <c r="BH106" s="384"/>
      <c r="BI106" s="384"/>
      <c r="BJ106" s="383"/>
      <c r="BK106" s="384"/>
      <c r="BL106" s="384"/>
      <c r="BM106" s="387"/>
      <c r="BN106" s="383"/>
      <c r="BO106" s="384">
        <v>1</v>
      </c>
      <c r="BP106" s="384"/>
      <c r="BQ106" s="385"/>
      <c r="BR106" s="383"/>
      <c r="BS106" s="384"/>
      <c r="BT106" s="384"/>
      <c r="BU106" s="387"/>
      <c r="BV106" s="383"/>
      <c r="BW106" s="384"/>
      <c r="BX106" s="384"/>
      <c r="BY106" s="385"/>
      <c r="BZ106" s="216">
        <f t="shared" si="4"/>
        <v>1</v>
      </c>
      <c r="CA106" s="216" t="str">
        <f t="shared" si="1"/>
        <v/>
      </c>
    </row>
    <row r="107" spans="3:79" ht="12">
      <c r="C107" s="217">
        <v>103</v>
      </c>
      <c r="D107" s="35" t="s">
        <v>1369</v>
      </c>
      <c r="E107" s="383"/>
      <c r="F107" s="384"/>
      <c r="G107" s="384"/>
      <c r="H107" s="385"/>
      <c r="I107" s="386"/>
      <c r="J107" s="384"/>
      <c r="K107" s="384"/>
      <c r="L107" s="384"/>
      <c r="M107" s="383"/>
      <c r="N107" s="384"/>
      <c r="O107" s="384"/>
      <c r="P107" s="387"/>
      <c r="Q107" s="383"/>
      <c r="R107" s="384"/>
      <c r="S107" s="384"/>
      <c r="T107" s="385"/>
      <c r="U107" s="383"/>
      <c r="V107" s="384"/>
      <c r="W107" s="384"/>
      <c r="X107" s="385"/>
      <c r="Y107" s="386"/>
      <c r="Z107" s="384"/>
      <c r="AA107" s="384"/>
      <c r="AB107" s="384"/>
      <c r="AC107" s="383"/>
      <c r="AD107" s="384"/>
      <c r="AE107" s="384"/>
      <c r="AF107" s="387"/>
      <c r="AG107" s="383"/>
      <c r="AH107" s="384"/>
      <c r="AI107" s="384"/>
      <c r="AJ107" s="387"/>
      <c r="AK107" s="383"/>
      <c r="AL107" s="384"/>
      <c r="AM107" s="384"/>
      <c r="AN107" s="385"/>
      <c r="AO107" s="386"/>
      <c r="AP107" s="384"/>
      <c r="AQ107" s="384"/>
      <c r="AR107" s="384"/>
      <c r="AS107" s="383"/>
      <c r="AT107" s="384"/>
      <c r="AU107" s="384"/>
      <c r="AV107" s="387"/>
      <c r="AW107" s="388"/>
      <c r="AX107" s="383"/>
      <c r="AY107" s="384"/>
      <c r="AZ107" s="384"/>
      <c r="BA107" s="385"/>
      <c r="BB107" s="383"/>
      <c r="BC107" s="384"/>
      <c r="BD107" s="384"/>
      <c r="BE107" s="385"/>
      <c r="BF107" s="386"/>
      <c r="BG107" s="384"/>
      <c r="BH107" s="384"/>
      <c r="BI107" s="384"/>
      <c r="BJ107" s="383"/>
      <c r="BK107" s="384"/>
      <c r="BL107" s="384"/>
      <c r="BM107" s="387"/>
      <c r="BN107" s="383"/>
      <c r="BO107" s="384">
        <v>1</v>
      </c>
      <c r="BP107" s="384"/>
      <c r="BQ107" s="385"/>
      <c r="BR107" s="383"/>
      <c r="BS107" s="384"/>
      <c r="BT107" s="384"/>
      <c r="BU107" s="387"/>
      <c r="BV107" s="383"/>
      <c r="BW107" s="384"/>
      <c r="BX107" s="384"/>
      <c r="BY107" s="385"/>
      <c r="BZ107" s="216">
        <f t="shared" si="4"/>
        <v>1</v>
      </c>
      <c r="CA107" s="216" t="str">
        <f t="shared" si="1"/>
        <v/>
      </c>
    </row>
    <row r="108" spans="3:79" ht="12">
      <c r="C108" s="217">
        <v>104</v>
      </c>
      <c r="D108" s="35" t="s">
        <v>1370</v>
      </c>
      <c r="E108" s="383"/>
      <c r="F108" s="384"/>
      <c r="G108" s="384"/>
      <c r="H108" s="385"/>
      <c r="I108" s="386"/>
      <c r="J108" s="384"/>
      <c r="K108" s="384"/>
      <c r="L108" s="384"/>
      <c r="M108" s="383"/>
      <c r="N108" s="384"/>
      <c r="O108" s="384"/>
      <c r="P108" s="387"/>
      <c r="Q108" s="383"/>
      <c r="R108" s="384"/>
      <c r="S108" s="384"/>
      <c r="T108" s="385"/>
      <c r="U108" s="383"/>
      <c r="V108" s="384"/>
      <c r="W108" s="384"/>
      <c r="X108" s="385"/>
      <c r="Y108" s="386"/>
      <c r="Z108" s="384"/>
      <c r="AA108" s="384"/>
      <c r="AB108" s="384"/>
      <c r="AC108" s="383"/>
      <c r="AD108" s="384"/>
      <c r="AE108" s="384"/>
      <c r="AF108" s="387"/>
      <c r="AG108" s="383"/>
      <c r="AH108" s="384"/>
      <c r="AI108" s="384"/>
      <c r="AJ108" s="387"/>
      <c r="AK108" s="383"/>
      <c r="AL108" s="384"/>
      <c r="AM108" s="384"/>
      <c r="AN108" s="385"/>
      <c r="AO108" s="386"/>
      <c r="AP108" s="384"/>
      <c r="AQ108" s="384"/>
      <c r="AR108" s="384"/>
      <c r="AS108" s="383"/>
      <c r="AT108" s="384"/>
      <c r="AU108" s="384"/>
      <c r="AV108" s="387"/>
      <c r="AW108" s="388"/>
      <c r="AX108" s="383"/>
      <c r="AY108" s="384"/>
      <c r="AZ108" s="384"/>
      <c r="BA108" s="385"/>
      <c r="BB108" s="383"/>
      <c r="BC108" s="384"/>
      <c r="BD108" s="384"/>
      <c r="BE108" s="385"/>
      <c r="BF108" s="386"/>
      <c r="BG108" s="384"/>
      <c r="BH108" s="384"/>
      <c r="BI108" s="384"/>
      <c r="BJ108" s="383"/>
      <c r="BK108" s="384"/>
      <c r="BL108" s="384"/>
      <c r="BM108" s="387"/>
      <c r="BN108" s="383"/>
      <c r="BO108" s="384">
        <v>1</v>
      </c>
      <c r="BP108" s="384"/>
      <c r="BQ108" s="385"/>
      <c r="BR108" s="383"/>
      <c r="BS108" s="384"/>
      <c r="BT108" s="384"/>
      <c r="BU108" s="387"/>
      <c r="BV108" s="383"/>
      <c r="BW108" s="384"/>
      <c r="BX108" s="384"/>
      <c r="BY108" s="385"/>
      <c r="BZ108" s="216">
        <f t="shared" si="4"/>
        <v>1</v>
      </c>
    </row>
    <row r="109" spans="3:79" ht="12">
      <c r="C109" s="217">
        <v>105</v>
      </c>
      <c r="D109" s="35" t="s">
        <v>1371</v>
      </c>
      <c r="E109" s="383"/>
      <c r="F109" s="384"/>
      <c r="G109" s="384"/>
      <c r="H109" s="385"/>
      <c r="I109" s="386"/>
      <c r="J109" s="384"/>
      <c r="K109" s="384"/>
      <c r="L109" s="384"/>
      <c r="M109" s="383"/>
      <c r="N109" s="384"/>
      <c r="O109" s="384"/>
      <c r="P109" s="387"/>
      <c r="Q109" s="383"/>
      <c r="R109" s="384"/>
      <c r="S109" s="384"/>
      <c r="T109" s="385"/>
      <c r="U109" s="383"/>
      <c r="V109" s="384"/>
      <c r="W109" s="384"/>
      <c r="X109" s="385"/>
      <c r="Y109" s="386"/>
      <c r="Z109" s="384"/>
      <c r="AA109" s="384"/>
      <c r="AB109" s="384"/>
      <c r="AC109" s="383"/>
      <c r="AD109" s="384"/>
      <c r="AE109" s="384"/>
      <c r="AF109" s="387"/>
      <c r="AG109" s="383"/>
      <c r="AH109" s="384"/>
      <c r="AI109" s="384"/>
      <c r="AJ109" s="387"/>
      <c r="AK109" s="383"/>
      <c r="AL109" s="384"/>
      <c r="AM109" s="384"/>
      <c r="AN109" s="385"/>
      <c r="AO109" s="386"/>
      <c r="AP109" s="384"/>
      <c r="AQ109" s="384"/>
      <c r="AR109" s="384"/>
      <c r="AS109" s="383"/>
      <c r="AT109" s="384"/>
      <c r="AU109" s="384"/>
      <c r="AV109" s="387"/>
      <c r="AW109" s="388"/>
      <c r="AX109" s="383"/>
      <c r="AY109" s="384"/>
      <c r="AZ109" s="384"/>
      <c r="BA109" s="385"/>
      <c r="BB109" s="383"/>
      <c r="BC109" s="384"/>
      <c r="BD109" s="384"/>
      <c r="BE109" s="385"/>
      <c r="BF109" s="386"/>
      <c r="BG109" s="384"/>
      <c r="BH109" s="384"/>
      <c r="BI109" s="384"/>
      <c r="BJ109" s="383"/>
      <c r="BK109" s="384"/>
      <c r="BL109" s="384"/>
      <c r="BM109" s="387"/>
      <c r="BN109" s="383"/>
      <c r="BO109" s="384">
        <v>1</v>
      </c>
      <c r="BP109" s="384"/>
      <c r="BQ109" s="385"/>
      <c r="BR109" s="383"/>
      <c r="BS109" s="384"/>
      <c r="BT109" s="384"/>
      <c r="BU109" s="387"/>
      <c r="BV109" s="383"/>
      <c r="BW109" s="384"/>
      <c r="BX109" s="384"/>
      <c r="BY109" s="385"/>
      <c r="BZ109" s="216">
        <f t="shared" si="4"/>
        <v>1</v>
      </c>
      <c r="CA109" s="216" t="str">
        <f t="shared" si="1"/>
        <v/>
      </c>
    </row>
    <row r="110" spans="3:79" ht="12">
      <c r="C110" s="217">
        <v>106</v>
      </c>
      <c r="D110" s="35" t="s">
        <v>1372</v>
      </c>
      <c r="E110" s="383"/>
      <c r="F110" s="384"/>
      <c r="G110" s="384"/>
      <c r="H110" s="385"/>
      <c r="I110" s="386"/>
      <c r="J110" s="384"/>
      <c r="K110" s="384"/>
      <c r="L110" s="384"/>
      <c r="M110" s="383"/>
      <c r="N110" s="384"/>
      <c r="O110" s="384"/>
      <c r="P110" s="387"/>
      <c r="Q110" s="383"/>
      <c r="R110" s="384"/>
      <c r="S110" s="384"/>
      <c r="T110" s="385"/>
      <c r="U110" s="383"/>
      <c r="V110" s="384"/>
      <c r="W110" s="384"/>
      <c r="X110" s="385"/>
      <c r="Y110" s="386"/>
      <c r="Z110" s="384"/>
      <c r="AA110" s="384"/>
      <c r="AB110" s="384"/>
      <c r="AC110" s="383"/>
      <c r="AD110" s="384"/>
      <c r="AE110" s="384"/>
      <c r="AF110" s="387"/>
      <c r="AG110" s="383"/>
      <c r="AH110" s="384"/>
      <c r="AI110" s="384"/>
      <c r="AJ110" s="387"/>
      <c r="AK110" s="383"/>
      <c r="AL110" s="384"/>
      <c r="AM110" s="384"/>
      <c r="AN110" s="385"/>
      <c r="AO110" s="386"/>
      <c r="AP110" s="384"/>
      <c r="AQ110" s="384"/>
      <c r="AR110" s="384"/>
      <c r="AS110" s="383"/>
      <c r="AT110" s="384"/>
      <c r="AU110" s="384"/>
      <c r="AV110" s="387"/>
      <c r="AW110" s="388"/>
      <c r="AX110" s="383"/>
      <c r="AY110" s="384"/>
      <c r="AZ110" s="384"/>
      <c r="BA110" s="385"/>
      <c r="BB110" s="383"/>
      <c r="BC110" s="384"/>
      <c r="BD110" s="384"/>
      <c r="BE110" s="385"/>
      <c r="BF110" s="386"/>
      <c r="BG110" s="384"/>
      <c r="BH110" s="384"/>
      <c r="BI110" s="384"/>
      <c r="BJ110" s="383"/>
      <c r="BK110" s="384"/>
      <c r="BL110" s="384"/>
      <c r="BM110" s="387"/>
      <c r="BN110" s="383"/>
      <c r="BO110" s="384">
        <v>1</v>
      </c>
      <c r="BP110" s="384"/>
      <c r="BQ110" s="385"/>
      <c r="BR110" s="383"/>
      <c r="BS110" s="384"/>
      <c r="BT110" s="384"/>
      <c r="BU110" s="387"/>
      <c r="BV110" s="383"/>
      <c r="BW110" s="384"/>
      <c r="BX110" s="384"/>
      <c r="BY110" s="385"/>
      <c r="BZ110" s="216">
        <f t="shared" si="4"/>
        <v>1</v>
      </c>
    </row>
    <row r="111" spans="3:79" ht="12">
      <c r="C111" s="217">
        <v>107</v>
      </c>
      <c r="D111" s="35" t="s">
        <v>1373</v>
      </c>
      <c r="E111" s="383"/>
      <c r="F111" s="384"/>
      <c r="G111" s="384"/>
      <c r="H111" s="385"/>
      <c r="I111" s="386"/>
      <c r="J111" s="384"/>
      <c r="K111" s="384"/>
      <c r="L111" s="384"/>
      <c r="M111" s="383"/>
      <c r="N111" s="384"/>
      <c r="O111" s="384"/>
      <c r="P111" s="387"/>
      <c r="Q111" s="383"/>
      <c r="R111" s="384"/>
      <c r="S111" s="384"/>
      <c r="T111" s="385"/>
      <c r="U111" s="383"/>
      <c r="V111" s="384"/>
      <c r="W111" s="384"/>
      <c r="X111" s="385"/>
      <c r="Y111" s="386"/>
      <c r="Z111" s="384"/>
      <c r="AA111" s="384"/>
      <c r="AB111" s="384"/>
      <c r="AC111" s="383"/>
      <c r="AD111" s="384"/>
      <c r="AE111" s="384"/>
      <c r="AF111" s="387"/>
      <c r="AG111" s="383"/>
      <c r="AH111" s="384"/>
      <c r="AI111" s="384"/>
      <c r="AJ111" s="387"/>
      <c r="AK111" s="383"/>
      <c r="AL111" s="384"/>
      <c r="AM111" s="384"/>
      <c r="AN111" s="385"/>
      <c r="AO111" s="386"/>
      <c r="AP111" s="384"/>
      <c r="AQ111" s="384"/>
      <c r="AR111" s="384"/>
      <c r="AS111" s="383"/>
      <c r="AT111" s="384"/>
      <c r="AU111" s="384"/>
      <c r="AV111" s="387"/>
      <c r="AW111" s="388"/>
      <c r="AX111" s="383"/>
      <c r="AY111" s="384"/>
      <c r="AZ111" s="384"/>
      <c r="BA111" s="385"/>
      <c r="BB111" s="383"/>
      <c r="BC111" s="384"/>
      <c r="BD111" s="384"/>
      <c r="BE111" s="385"/>
      <c r="BF111" s="386"/>
      <c r="BG111" s="384"/>
      <c r="BH111" s="384"/>
      <c r="BI111" s="384"/>
      <c r="BJ111" s="383"/>
      <c r="BK111" s="384">
        <v>1</v>
      </c>
      <c r="BL111" s="384"/>
      <c r="BM111" s="387"/>
      <c r="BN111" s="383"/>
      <c r="BO111" s="384"/>
      <c r="BP111" s="384"/>
      <c r="BQ111" s="385"/>
      <c r="BR111" s="383"/>
      <c r="BS111" s="384"/>
      <c r="BT111" s="384"/>
      <c r="BU111" s="387"/>
      <c r="BV111" s="383"/>
      <c r="BW111" s="384"/>
      <c r="BX111" s="384"/>
      <c r="BY111" s="385"/>
      <c r="BZ111" s="216">
        <f t="shared" si="4"/>
        <v>1</v>
      </c>
      <c r="CA111" s="216" t="str">
        <f t="shared" si="1"/>
        <v/>
      </c>
    </row>
    <row r="112" spans="3:79" ht="12">
      <c r="C112" s="217">
        <v>108</v>
      </c>
      <c r="D112" s="35" t="s">
        <v>1374</v>
      </c>
      <c r="E112" s="383"/>
      <c r="F112" s="384"/>
      <c r="G112" s="384"/>
      <c r="H112" s="385"/>
      <c r="I112" s="386"/>
      <c r="J112" s="384"/>
      <c r="K112" s="384"/>
      <c r="L112" s="384"/>
      <c r="M112" s="383"/>
      <c r="N112" s="384"/>
      <c r="O112" s="384"/>
      <c r="P112" s="387"/>
      <c r="Q112" s="383"/>
      <c r="R112" s="384"/>
      <c r="S112" s="384"/>
      <c r="T112" s="385"/>
      <c r="U112" s="383"/>
      <c r="V112" s="384"/>
      <c r="W112" s="384"/>
      <c r="X112" s="385"/>
      <c r="Y112" s="386"/>
      <c r="Z112" s="384"/>
      <c r="AA112" s="384"/>
      <c r="AB112" s="384"/>
      <c r="AC112" s="383"/>
      <c r="AD112" s="384"/>
      <c r="AE112" s="384"/>
      <c r="AF112" s="387"/>
      <c r="AG112" s="383"/>
      <c r="AH112" s="384"/>
      <c r="AI112" s="384"/>
      <c r="AJ112" s="387"/>
      <c r="AK112" s="383"/>
      <c r="AL112" s="384"/>
      <c r="AM112" s="384"/>
      <c r="AN112" s="385"/>
      <c r="AO112" s="386"/>
      <c r="AP112" s="384"/>
      <c r="AQ112" s="384"/>
      <c r="AR112" s="384"/>
      <c r="AS112" s="383"/>
      <c r="AT112" s="384"/>
      <c r="AU112" s="384"/>
      <c r="AV112" s="387"/>
      <c r="AW112" s="388"/>
      <c r="AX112" s="383"/>
      <c r="AY112" s="384"/>
      <c r="AZ112" s="384"/>
      <c r="BA112" s="385"/>
      <c r="BB112" s="383"/>
      <c r="BC112" s="384"/>
      <c r="BD112" s="384"/>
      <c r="BE112" s="385"/>
      <c r="BF112" s="386"/>
      <c r="BG112" s="384"/>
      <c r="BH112" s="384"/>
      <c r="BI112" s="384"/>
      <c r="BJ112" s="383"/>
      <c r="BK112" s="384">
        <v>1</v>
      </c>
      <c r="BL112" s="384"/>
      <c r="BM112" s="387"/>
      <c r="BN112" s="383"/>
      <c r="BO112" s="384"/>
      <c r="BP112" s="384"/>
      <c r="BQ112" s="385"/>
      <c r="BR112" s="383"/>
      <c r="BS112" s="384"/>
      <c r="BT112" s="384"/>
      <c r="BU112" s="387"/>
      <c r="BV112" s="383"/>
      <c r="BW112" s="384"/>
      <c r="BX112" s="384"/>
      <c r="BY112" s="385"/>
      <c r="BZ112" s="216">
        <f t="shared" si="4"/>
        <v>1</v>
      </c>
    </row>
    <row r="113" spans="3:79" ht="12">
      <c r="C113" s="217">
        <v>109</v>
      </c>
      <c r="D113" s="35" t="s">
        <v>1375</v>
      </c>
      <c r="E113" s="383"/>
      <c r="F113" s="384"/>
      <c r="G113" s="384"/>
      <c r="H113" s="385"/>
      <c r="I113" s="386"/>
      <c r="J113" s="384"/>
      <c r="K113" s="384"/>
      <c r="L113" s="384"/>
      <c r="M113" s="383"/>
      <c r="N113" s="384"/>
      <c r="O113" s="384"/>
      <c r="P113" s="387"/>
      <c r="Q113" s="383"/>
      <c r="R113" s="384"/>
      <c r="S113" s="384"/>
      <c r="T113" s="385"/>
      <c r="U113" s="383"/>
      <c r="V113" s="384"/>
      <c r="W113" s="384"/>
      <c r="X113" s="385"/>
      <c r="Y113" s="386"/>
      <c r="Z113" s="384"/>
      <c r="AA113" s="384"/>
      <c r="AB113" s="384"/>
      <c r="AC113" s="383"/>
      <c r="AD113" s="384"/>
      <c r="AE113" s="384"/>
      <c r="AF113" s="387"/>
      <c r="AG113" s="383"/>
      <c r="AH113" s="384"/>
      <c r="AI113" s="384"/>
      <c r="AJ113" s="387"/>
      <c r="AK113" s="383"/>
      <c r="AL113" s="384"/>
      <c r="AM113" s="384"/>
      <c r="AN113" s="385"/>
      <c r="AO113" s="386"/>
      <c r="AP113" s="384"/>
      <c r="AQ113" s="384"/>
      <c r="AR113" s="384"/>
      <c r="AS113" s="383"/>
      <c r="AT113" s="384"/>
      <c r="AU113" s="384"/>
      <c r="AV113" s="387"/>
      <c r="AW113" s="388"/>
      <c r="AX113" s="383"/>
      <c r="AY113" s="384"/>
      <c r="AZ113" s="384"/>
      <c r="BA113" s="385"/>
      <c r="BB113" s="383"/>
      <c r="BC113" s="384"/>
      <c r="BD113" s="384"/>
      <c r="BE113" s="385"/>
      <c r="BF113" s="386"/>
      <c r="BG113" s="384"/>
      <c r="BH113" s="384"/>
      <c r="BI113" s="384"/>
      <c r="BJ113" s="383"/>
      <c r="BK113" s="384">
        <v>1</v>
      </c>
      <c r="BL113" s="384"/>
      <c r="BM113" s="387"/>
      <c r="BN113" s="383"/>
      <c r="BO113" s="384"/>
      <c r="BP113" s="384"/>
      <c r="BQ113" s="385"/>
      <c r="BR113" s="383"/>
      <c r="BS113" s="384"/>
      <c r="BT113" s="384"/>
      <c r="BU113" s="387"/>
      <c r="BV113" s="383"/>
      <c r="BW113" s="384"/>
      <c r="BX113" s="384"/>
      <c r="BY113" s="385"/>
      <c r="BZ113" s="216">
        <f t="shared" si="4"/>
        <v>1</v>
      </c>
      <c r="CA113" s="216" t="str">
        <f t="shared" si="1"/>
        <v/>
      </c>
    </row>
    <row r="114" spans="3:79" ht="12">
      <c r="C114" s="217">
        <v>110</v>
      </c>
      <c r="D114" s="35" t="s">
        <v>1376</v>
      </c>
      <c r="E114" s="383"/>
      <c r="F114" s="384"/>
      <c r="G114" s="384"/>
      <c r="H114" s="385"/>
      <c r="I114" s="386"/>
      <c r="J114" s="384"/>
      <c r="K114" s="384"/>
      <c r="L114" s="384"/>
      <c r="M114" s="383"/>
      <c r="N114" s="384"/>
      <c r="O114" s="384"/>
      <c r="P114" s="387"/>
      <c r="Q114" s="383"/>
      <c r="R114" s="384"/>
      <c r="S114" s="384"/>
      <c r="T114" s="385"/>
      <c r="U114" s="383"/>
      <c r="V114" s="384"/>
      <c r="W114" s="384"/>
      <c r="X114" s="385"/>
      <c r="Y114" s="386"/>
      <c r="Z114" s="384"/>
      <c r="AA114" s="384"/>
      <c r="AB114" s="384"/>
      <c r="AC114" s="383"/>
      <c r="AD114" s="384"/>
      <c r="AE114" s="384"/>
      <c r="AF114" s="387"/>
      <c r="AG114" s="383"/>
      <c r="AH114" s="384"/>
      <c r="AI114" s="384"/>
      <c r="AJ114" s="387"/>
      <c r="AK114" s="383"/>
      <c r="AL114" s="384"/>
      <c r="AM114" s="384"/>
      <c r="AN114" s="385"/>
      <c r="AO114" s="386"/>
      <c r="AP114" s="384"/>
      <c r="AQ114" s="384"/>
      <c r="AR114" s="384"/>
      <c r="AS114" s="383"/>
      <c r="AT114" s="384"/>
      <c r="AU114" s="384"/>
      <c r="AV114" s="387"/>
      <c r="AW114" s="388"/>
      <c r="AX114" s="383"/>
      <c r="AY114" s="384"/>
      <c r="AZ114" s="384"/>
      <c r="BA114" s="385"/>
      <c r="BB114" s="383"/>
      <c r="BC114" s="384"/>
      <c r="BD114" s="384"/>
      <c r="BE114" s="385"/>
      <c r="BF114" s="386"/>
      <c r="BG114" s="384"/>
      <c r="BH114" s="384"/>
      <c r="BI114" s="384"/>
      <c r="BJ114" s="383"/>
      <c r="BK114" s="384">
        <v>1</v>
      </c>
      <c r="BL114" s="384"/>
      <c r="BM114" s="387"/>
      <c r="BN114" s="383"/>
      <c r="BO114" s="384"/>
      <c r="BP114" s="384"/>
      <c r="BQ114" s="385"/>
      <c r="BR114" s="383"/>
      <c r="BS114" s="384"/>
      <c r="BT114" s="384"/>
      <c r="BU114" s="387"/>
      <c r="BV114" s="383"/>
      <c r="BW114" s="384"/>
      <c r="BX114" s="384"/>
      <c r="BY114" s="385"/>
      <c r="BZ114" s="216">
        <f t="shared" si="4"/>
        <v>1</v>
      </c>
    </row>
    <row r="115" spans="3:79" ht="12">
      <c r="C115" s="217">
        <v>111</v>
      </c>
      <c r="D115" s="35" t="s">
        <v>1377</v>
      </c>
      <c r="E115" s="383"/>
      <c r="F115" s="384"/>
      <c r="G115" s="384"/>
      <c r="H115" s="385"/>
      <c r="I115" s="386"/>
      <c r="J115" s="384"/>
      <c r="K115" s="384"/>
      <c r="L115" s="384"/>
      <c r="M115" s="383"/>
      <c r="N115" s="384"/>
      <c r="O115" s="384"/>
      <c r="P115" s="387"/>
      <c r="Q115" s="383"/>
      <c r="R115" s="384"/>
      <c r="S115" s="384"/>
      <c r="T115" s="385"/>
      <c r="U115" s="383"/>
      <c r="V115" s="384"/>
      <c r="W115" s="384"/>
      <c r="X115" s="385"/>
      <c r="Y115" s="386"/>
      <c r="Z115" s="384"/>
      <c r="AA115" s="384"/>
      <c r="AB115" s="384"/>
      <c r="AC115" s="383"/>
      <c r="AD115" s="384"/>
      <c r="AE115" s="384"/>
      <c r="AF115" s="387"/>
      <c r="AG115" s="383"/>
      <c r="AH115" s="384"/>
      <c r="AI115" s="384"/>
      <c r="AJ115" s="387"/>
      <c r="AK115" s="383"/>
      <c r="AL115" s="384"/>
      <c r="AM115" s="384"/>
      <c r="AN115" s="385"/>
      <c r="AO115" s="386"/>
      <c r="AP115" s="384"/>
      <c r="AQ115" s="384"/>
      <c r="AR115" s="384"/>
      <c r="AS115" s="383"/>
      <c r="AT115" s="384"/>
      <c r="AU115" s="384"/>
      <c r="AV115" s="387"/>
      <c r="AW115" s="388"/>
      <c r="AX115" s="383"/>
      <c r="AY115" s="384"/>
      <c r="AZ115" s="384"/>
      <c r="BA115" s="385"/>
      <c r="BB115" s="383"/>
      <c r="BC115" s="384"/>
      <c r="BD115" s="384"/>
      <c r="BE115" s="385"/>
      <c r="BF115" s="386"/>
      <c r="BG115" s="384"/>
      <c r="BH115" s="384"/>
      <c r="BI115" s="384"/>
      <c r="BJ115" s="383"/>
      <c r="BK115" s="384">
        <v>1</v>
      </c>
      <c r="BL115" s="384"/>
      <c r="BM115" s="387"/>
      <c r="BN115" s="383"/>
      <c r="BO115" s="384"/>
      <c r="BP115" s="384"/>
      <c r="BQ115" s="385"/>
      <c r="BR115" s="383"/>
      <c r="BS115" s="384"/>
      <c r="BT115" s="384"/>
      <c r="BU115" s="387"/>
      <c r="BV115" s="383"/>
      <c r="BW115" s="384"/>
      <c r="BX115" s="384"/>
      <c r="BY115" s="385"/>
      <c r="BZ115" s="216">
        <f t="shared" si="4"/>
        <v>1</v>
      </c>
      <c r="CA115" s="216" t="str">
        <f t="shared" si="1"/>
        <v/>
      </c>
    </row>
    <row r="116" spans="3:79" ht="12">
      <c r="C116" s="217">
        <v>112</v>
      </c>
      <c r="D116" s="35" t="s">
        <v>1378</v>
      </c>
      <c r="E116" s="383"/>
      <c r="F116" s="384"/>
      <c r="G116" s="384"/>
      <c r="H116" s="385"/>
      <c r="I116" s="386"/>
      <c r="J116" s="384"/>
      <c r="K116" s="384"/>
      <c r="L116" s="384"/>
      <c r="M116" s="383"/>
      <c r="N116" s="384"/>
      <c r="O116" s="384"/>
      <c r="P116" s="387"/>
      <c r="Q116" s="383"/>
      <c r="R116" s="384"/>
      <c r="S116" s="384"/>
      <c r="T116" s="385"/>
      <c r="U116" s="383"/>
      <c r="V116" s="384"/>
      <c r="W116" s="384"/>
      <c r="X116" s="385"/>
      <c r="Y116" s="386"/>
      <c r="Z116" s="384"/>
      <c r="AA116" s="384"/>
      <c r="AB116" s="384"/>
      <c r="AC116" s="383"/>
      <c r="AD116" s="384"/>
      <c r="AE116" s="384"/>
      <c r="AF116" s="387"/>
      <c r="AG116" s="383"/>
      <c r="AH116" s="384"/>
      <c r="AI116" s="384"/>
      <c r="AJ116" s="387"/>
      <c r="AK116" s="383"/>
      <c r="AL116" s="384"/>
      <c r="AM116" s="384"/>
      <c r="AN116" s="385"/>
      <c r="AO116" s="386"/>
      <c r="AP116" s="384"/>
      <c r="AQ116" s="384"/>
      <c r="AR116" s="384"/>
      <c r="AS116" s="383"/>
      <c r="AT116" s="384"/>
      <c r="AU116" s="384"/>
      <c r="AV116" s="387"/>
      <c r="AW116" s="388"/>
      <c r="AX116" s="383"/>
      <c r="AY116" s="384"/>
      <c r="AZ116" s="384"/>
      <c r="BA116" s="385"/>
      <c r="BB116" s="383"/>
      <c r="BC116" s="384"/>
      <c r="BD116" s="384"/>
      <c r="BE116" s="385"/>
      <c r="BF116" s="386"/>
      <c r="BG116" s="384"/>
      <c r="BH116" s="384"/>
      <c r="BI116" s="384"/>
      <c r="BJ116" s="383"/>
      <c r="BK116" s="384">
        <v>1</v>
      </c>
      <c r="BL116" s="384"/>
      <c r="BM116" s="387"/>
      <c r="BN116" s="383"/>
      <c r="BO116" s="384"/>
      <c r="BP116" s="384"/>
      <c r="BQ116" s="385"/>
      <c r="BR116" s="383"/>
      <c r="BS116" s="384"/>
      <c r="BT116" s="384"/>
      <c r="BU116" s="387"/>
      <c r="BV116" s="383"/>
      <c r="BW116" s="384"/>
      <c r="BX116" s="384"/>
      <c r="BY116" s="385"/>
      <c r="BZ116" s="216">
        <f t="shared" si="4"/>
        <v>1</v>
      </c>
    </row>
    <row r="117" spans="3:79" ht="12">
      <c r="C117" s="217">
        <v>113</v>
      </c>
      <c r="D117" s="35" t="s">
        <v>1379</v>
      </c>
      <c r="E117" s="383"/>
      <c r="F117" s="384"/>
      <c r="G117" s="384"/>
      <c r="H117" s="385"/>
      <c r="I117" s="386"/>
      <c r="J117" s="384"/>
      <c r="K117" s="384"/>
      <c r="L117" s="384"/>
      <c r="M117" s="383"/>
      <c r="N117" s="384"/>
      <c r="O117" s="384"/>
      <c r="P117" s="387"/>
      <c r="Q117" s="383"/>
      <c r="R117" s="384"/>
      <c r="S117" s="384"/>
      <c r="T117" s="385"/>
      <c r="U117" s="383"/>
      <c r="V117" s="384"/>
      <c r="W117" s="384"/>
      <c r="X117" s="385"/>
      <c r="Y117" s="386"/>
      <c r="Z117" s="384"/>
      <c r="AA117" s="384"/>
      <c r="AB117" s="384"/>
      <c r="AC117" s="383"/>
      <c r="AD117" s="384"/>
      <c r="AE117" s="384"/>
      <c r="AF117" s="387"/>
      <c r="AG117" s="383"/>
      <c r="AH117" s="384"/>
      <c r="AI117" s="384"/>
      <c r="AJ117" s="387"/>
      <c r="AK117" s="383"/>
      <c r="AL117" s="384"/>
      <c r="AM117" s="384"/>
      <c r="AN117" s="385"/>
      <c r="AO117" s="386"/>
      <c r="AP117" s="384"/>
      <c r="AQ117" s="384"/>
      <c r="AR117" s="384"/>
      <c r="AS117" s="383"/>
      <c r="AT117" s="384"/>
      <c r="AU117" s="384"/>
      <c r="AV117" s="387"/>
      <c r="AW117" s="388"/>
      <c r="AX117" s="383"/>
      <c r="AY117" s="384"/>
      <c r="AZ117" s="384"/>
      <c r="BA117" s="385"/>
      <c r="BB117" s="383"/>
      <c r="BC117" s="384"/>
      <c r="BD117" s="384"/>
      <c r="BE117" s="385"/>
      <c r="BF117" s="386"/>
      <c r="BG117" s="384"/>
      <c r="BH117" s="384"/>
      <c r="BI117" s="384"/>
      <c r="BJ117" s="383"/>
      <c r="BK117" s="384">
        <v>1</v>
      </c>
      <c r="BL117" s="384"/>
      <c r="BM117" s="387"/>
      <c r="BN117" s="383"/>
      <c r="BO117" s="384"/>
      <c r="BP117" s="384"/>
      <c r="BQ117" s="385"/>
      <c r="BR117" s="383"/>
      <c r="BS117" s="384"/>
      <c r="BT117" s="384"/>
      <c r="BU117" s="387"/>
      <c r="BV117" s="383"/>
      <c r="BW117" s="384"/>
      <c r="BX117" s="384"/>
      <c r="BY117" s="385"/>
      <c r="BZ117" s="216">
        <f t="shared" si="4"/>
        <v>1</v>
      </c>
      <c r="CA117" s="216" t="str">
        <f t="shared" si="1"/>
        <v/>
      </c>
    </row>
    <row r="118" spans="3:79" ht="12">
      <c r="C118" s="217">
        <v>114</v>
      </c>
      <c r="D118" s="35" t="s">
        <v>1380</v>
      </c>
      <c r="E118" s="383"/>
      <c r="F118" s="384"/>
      <c r="G118" s="384"/>
      <c r="H118" s="385"/>
      <c r="I118" s="386"/>
      <c r="J118" s="384"/>
      <c r="K118" s="384"/>
      <c r="L118" s="384"/>
      <c r="M118" s="383"/>
      <c r="N118" s="384"/>
      <c r="O118" s="384"/>
      <c r="P118" s="387"/>
      <c r="Q118" s="383"/>
      <c r="R118" s="384"/>
      <c r="S118" s="384"/>
      <c r="T118" s="385"/>
      <c r="U118" s="383"/>
      <c r="V118" s="384"/>
      <c r="W118" s="384"/>
      <c r="X118" s="385"/>
      <c r="Y118" s="386"/>
      <c r="Z118" s="384"/>
      <c r="AA118" s="384"/>
      <c r="AB118" s="384"/>
      <c r="AC118" s="383"/>
      <c r="AD118" s="384"/>
      <c r="AE118" s="384"/>
      <c r="AF118" s="387"/>
      <c r="AG118" s="383"/>
      <c r="AH118" s="384"/>
      <c r="AI118" s="384"/>
      <c r="AJ118" s="387"/>
      <c r="AK118" s="383"/>
      <c r="AL118" s="384"/>
      <c r="AM118" s="384"/>
      <c r="AN118" s="385"/>
      <c r="AO118" s="386"/>
      <c r="AP118" s="384"/>
      <c r="AQ118" s="384"/>
      <c r="AR118" s="384"/>
      <c r="AS118" s="383"/>
      <c r="AT118" s="384"/>
      <c r="AU118" s="384"/>
      <c r="AV118" s="387"/>
      <c r="AW118" s="388"/>
      <c r="AX118" s="383"/>
      <c r="AY118" s="384"/>
      <c r="AZ118" s="384"/>
      <c r="BA118" s="385"/>
      <c r="BB118" s="383"/>
      <c r="BC118" s="384"/>
      <c r="BD118" s="384"/>
      <c r="BE118" s="385"/>
      <c r="BF118" s="386"/>
      <c r="BG118" s="384">
        <v>1</v>
      </c>
      <c r="BH118" s="384"/>
      <c r="BI118" s="384"/>
      <c r="BJ118" s="383"/>
      <c r="BK118" s="384"/>
      <c r="BL118" s="384"/>
      <c r="BM118" s="387"/>
      <c r="BN118" s="383"/>
      <c r="BO118" s="384"/>
      <c r="BP118" s="384"/>
      <c r="BQ118" s="385"/>
      <c r="BR118" s="383"/>
      <c r="BS118" s="384"/>
      <c r="BT118" s="384"/>
      <c r="BU118" s="387"/>
      <c r="BV118" s="383"/>
      <c r="BW118" s="384"/>
      <c r="BX118" s="384"/>
      <c r="BY118" s="385"/>
      <c r="BZ118" s="216">
        <f t="shared" si="4"/>
        <v>1</v>
      </c>
    </row>
    <row r="119" spans="3:79" ht="12">
      <c r="C119" s="217">
        <v>115</v>
      </c>
      <c r="D119" s="35" t="s">
        <v>1381</v>
      </c>
      <c r="E119" s="383"/>
      <c r="F119" s="384"/>
      <c r="G119" s="384"/>
      <c r="H119" s="385"/>
      <c r="I119" s="386"/>
      <c r="J119" s="384"/>
      <c r="K119" s="384"/>
      <c r="L119" s="384"/>
      <c r="M119" s="383"/>
      <c r="N119" s="384"/>
      <c r="O119" s="384"/>
      <c r="P119" s="387"/>
      <c r="Q119" s="383"/>
      <c r="R119" s="384"/>
      <c r="S119" s="384"/>
      <c r="T119" s="385"/>
      <c r="U119" s="383"/>
      <c r="V119" s="384"/>
      <c r="W119" s="384"/>
      <c r="X119" s="385"/>
      <c r="Y119" s="386"/>
      <c r="Z119" s="384"/>
      <c r="AA119" s="384"/>
      <c r="AB119" s="384"/>
      <c r="AC119" s="383"/>
      <c r="AD119" s="384"/>
      <c r="AE119" s="384"/>
      <c r="AF119" s="387"/>
      <c r="AG119" s="383"/>
      <c r="AH119" s="384"/>
      <c r="AI119" s="384"/>
      <c r="AJ119" s="387"/>
      <c r="AK119" s="383"/>
      <c r="AL119" s="384"/>
      <c r="AM119" s="384"/>
      <c r="AN119" s="385"/>
      <c r="AO119" s="386"/>
      <c r="AP119" s="384"/>
      <c r="AQ119" s="384"/>
      <c r="AR119" s="384"/>
      <c r="AS119" s="383"/>
      <c r="AT119" s="384"/>
      <c r="AU119" s="384"/>
      <c r="AV119" s="387"/>
      <c r="AW119" s="388"/>
      <c r="AX119" s="383"/>
      <c r="AY119" s="384"/>
      <c r="AZ119" s="384"/>
      <c r="BA119" s="385"/>
      <c r="BB119" s="383"/>
      <c r="BC119" s="384"/>
      <c r="BD119" s="384"/>
      <c r="BE119" s="385"/>
      <c r="BF119" s="386"/>
      <c r="BG119" s="384">
        <v>1</v>
      </c>
      <c r="BH119" s="384"/>
      <c r="BI119" s="384"/>
      <c r="BJ119" s="383"/>
      <c r="BK119" s="384"/>
      <c r="BL119" s="384"/>
      <c r="BM119" s="387"/>
      <c r="BN119" s="383"/>
      <c r="BO119" s="384"/>
      <c r="BP119" s="384"/>
      <c r="BQ119" s="385"/>
      <c r="BR119" s="383"/>
      <c r="BS119" s="384"/>
      <c r="BT119" s="384"/>
      <c r="BU119" s="387"/>
      <c r="BV119" s="383"/>
      <c r="BW119" s="384"/>
      <c r="BX119" s="384"/>
      <c r="BY119" s="385"/>
      <c r="BZ119" s="216">
        <f t="shared" si="4"/>
        <v>1</v>
      </c>
      <c r="CA119" s="216" t="str">
        <f t="shared" si="1"/>
        <v/>
      </c>
    </row>
    <row r="120" spans="3:79" ht="12">
      <c r="C120" s="217">
        <v>116</v>
      </c>
      <c r="D120" s="35" t="s">
        <v>1382</v>
      </c>
      <c r="E120" s="383"/>
      <c r="F120" s="384"/>
      <c r="G120" s="384"/>
      <c r="H120" s="385"/>
      <c r="I120" s="386"/>
      <c r="J120" s="384"/>
      <c r="K120" s="384"/>
      <c r="L120" s="384"/>
      <c r="M120" s="383"/>
      <c r="N120" s="384"/>
      <c r="O120" s="384"/>
      <c r="P120" s="387"/>
      <c r="Q120" s="383"/>
      <c r="R120" s="384"/>
      <c r="S120" s="384"/>
      <c r="T120" s="385"/>
      <c r="U120" s="383"/>
      <c r="V120" s="384"/>
      <c r="W120" s="384"/>
      <c r="X120" s="385"/>
      <c r="Y120" s="386"/>
      <c r="Z120" s="384"/>
      <c r="AA120" s="384"/>
      <c r="AB120" s="384"/>
      <c r="AC120" s="383"/>
      <c r="AD120" s="384"/>
      <c r="AE120" s="384"/>
      <c r="AF120" s="387"/>
      <c r="AG120" s="383"/>
      <c r="AH120" s="384"/>
      <c r="AI120" s="384"/>
      <c r="AJ120" s="387"/>
      <c r="AK120" s="383"/>
      <c r="AL120" s="384"/>
      <c r="AM120" s="384"/>
      <c r="AN120" s="385"/>
      <c r="AO120" s="386"/>
      <c r="AP120" s="384"/>
      <c r="AQ120" s="384"/>
      <c r="AR120" s="384"/>
      <c r="AS120" s="383"/>
      <c r="AT120" s="384"/>
      <c r="AU120" s="384"/>
      <c r="AV120" s="387"/>
      <c r="AW120" s="388"/>
      <c r="AX120" s="383"/>
      <c r="AY120" s="384"/>
      <c r="AZ120" s="384"/>
      <c r="BA120" s="385"/>
      <c r="BB120" s="383"/>
      <c r="BC120" s="384"/>
      <c r="BD120" s="384"/>
      <c r="BE120" s="385"/>
      <c r="BF120" s="386"/>
      <c r="BG120" s="384">
        <v>1</v>
      </c>
      <c r="BH120" s="384"/>
      <c r="BI120" s="384"/>
      <c r="BJ120" s="383"/>
      <c r="BK120" s="384"/>
      <c r="BL120" s="384"/>
      <c r="BM120" s="387"/>
      <c r="BN120" s="383"/>
      <c r="BO120" s="384"/>
      <c r="BP120" s="384"/>
      <c r="BQ120" s="385"/>
      <c r="BR120" s="383"/>
      <c r="BS120" s="384"/>
      <c r="BT120" s="384"/>
      <c r="BU120" s="387"/>
      <c r="BV120" s="383"/>
      <c r="BW120" s="384"/>
      <c r="BX120" s="384"/>
      <c r="BY120" s="385"/>
      <c r="BZ120" s="216">
        <f t="shared" si="4"/>
        <v>1</v>
      </c>
      <c r="CA120" s="216" t="str">
        <f t="shared" si="1"/>
        <v/>
      </c>
    </row>
    <row r="121" spans="3:79" ht="12">
      <c r="C121" s="217">
        <v>117</v>
      </c>
      <c r="D121" s="35" t="s">
        <v>1383</v>
      </c>
      <c r="E121" s="383"/>
      <c r="F121" s="384"/>
      <c r="G121" s="384"/>
      <c r="H121" s="385"/>
      <c r="I121" s="386"/>
      <c r="J121" s="384"/>
      <c r="K121" s="384"/>
      <c r="L121" s="384"/>
      <c r="M121" s="383"/>
      <c r="N121" s="384"/>
      <c r="O121" s="384"/>
      <c r="P121" s="387"/>
      <c r="Q121" s="383"/>
      <c r="R121" s="384"/>
      <c r="S121" s="384"/>
      <c r="T121" s="385"/>
      <c r="U121" s="383"/>
      <c r="V121" s="384"/>
      <c r="W121" s="384"/>
      <c r="X121" s="385"/>
      <c r="Y121" s="386"/>
      <c r="Z121" s="384"/>
      <c r="AA121" s="384"/>
      <c r="AB121" s="384"/>
      <c r="AC121" s="383"/>
      <c r="AD121" s="384"/>
      <c r="AE121" s="384"/>
      <c r="AF121" s="387"/>
      <c r="AG121" s="383"/>
      <c r="AH121" s="384"/>
      <c r="AI121" s="384"/>
      <c r="AJ121" s="387"/>
      <c r="AK121" s="383"/>
      <c r="AL121" s="384"/>
      <c r="AM121" s="384"/>
      <c r="AN121" s="385"/>
      <c r="AO121" s="386"/>
      <c r="AP121" s="384"/>
      <c r="AQ121" s="384"/>
      <c r="AR121" s="384"/>
      <c r="AS121" s="383"/>
      <c r="AT121" s="384"/>
      <c r="AU121" s="384"/>
      <c r="AV121" s="387"/>
      <c r="AW121" s="388"/>
      <c r="AX121" s="383"/>
      <c r="AY121" s="384"/>
      <c r="AZ121" s="384"/>
      <c r="BA121" s="385"/>
      <c r="BB121" s="383"/>
      <c r="BC121" s="384"/>
      <c r="BD121" s="384"/>
      <c r="BE121" s="385"/>
      <c r="BF121" s="386"/>
      <c r="BG121" s="384">
        <v>1</v>
      </c>
      <c r="BH121" s="384"/>
      <c r="BI121" s="384"/>
      <c r="BJ121" s="383"/>
      <c r="BK121" s="384"/>
      <c r="BL121" s="384"/>
      <c r="BM121" s="387"/>
      <c r="BN121" s="383"/>
      <c r="BO121" s="384"/>
      <c r="BP121" s="384"/>
      <c r="BQ121" s="385"/>
      <c r="BR121" s="383"/>
      <c r="BS121" s="384"/>
      <c r="BT121" s="384"/>
      <c r="BU121" s="387"/>
      <c r="BV121" s="383"/>
      <c r="BW121" s="384"/>
      <c r="BX121" s="384"/>
      <c r="BY121" s="385"/>
      <c r="BZ121" s="216">
        <f t="shared" si="4"/>
        <v>1</v>
      </c>
    </row>
    <row r="122" spans="3:79" ht="12">
      <c r="C122" s="217">
        <v>118</v>
      </c>
      <c r="D122" s="35" t="s">
        <v>1384</v>
      </c>
      <c r="E122" s="383"/>
      <c r="F122" s="384"/>
      <c r="G122" s="384"/>
      <c r="H122" s="385"/>
      <c r="I122" s="386"/>
      <c r="J122" s="384"/>
      <c r="K122" s="384"/>
      <c r="L122" s="384"/>
      <c r="M122" s="383"/>
      <c r="N122" s="384"/>
      <c r="O122" s="384"/>
      <c r="P122" s="387"/>
      <c r="Q122" s="383"/>
      <c r="R122" s="384"/>
      <c r="S122" s="384"/>
      <c r="T122" s="385"/>
      <c r="U122" s="383"/>
      <c r="V122" s="384"/>
      <c r="W122" s="384"/>
      <c r="X122" s="385"/>
      <c r="Y122" s="386"/>
      <c r="Z122" s="384"/>
      <c r="AA122" s="384"/>
      <c r="AB122" s="384"/>
      <c r="AC122" s="383"/>
      <c r="AD122" s="384"/>
      <c r="AE122" s="384"/>
      <c r="AF122" s="387"/>
      <c r="AG122" s="383"/>
      <c r="AH122" s="384"/>
      <c r="AI122" s="384"/>
      <c r="AJ122" s="387"/>
      <c r="AK122" s="383"/>
      <c r="AL122" s="384"/>
      <c r="AM122" s="384"/>
      <c r="AN122" s="385"/>
      <c r="AO122" s="386"/>
      <c r="AP122" s="384"/>
      <c r="AQ122" s="384"/>
      <c r="AR122" s="384"/>
      <c r="AS122" s="383"/>
      <c r="AT122" s="384"/>
      <c r="AU122" s="384"/>
      <c r="AV122" s="387"/>
      <c r="AW122" s="388"/>
      <c r="AX122" s="383"/>
      <c r="AY122" s="384"/>
      <c r="AZ122" s="384"/>
      <c r="BA122" s="385"/>
      <c r="BB122" s="383"/>
      <c r="BC122" s="384"/>
      <c r="BD122" s="384"/>
      <c r="BE122" s="385"/>
      <c r="BF122" s="386"/>
      <c r="BG122" s="384">
        <v>1</v>
      </c>
      <c r="BH122" s="384"/>
      <c r="BI122" s="384"/>
      <c r="BJ122" s="383"/>
      <c r="BK122" s="384"/>
      <c r="BL122" s="384"/>
      <c r="BM122" s="387"/>
      <c r="BN122" s="383"/>
      <c r="BO122" s="384"/>
      <c r="BP122" s="384"/>
      <c r="BQ122" s="385"/>
      <c r="BR122" s="383"/>
      <c r="BS122" s="384"/>
      <c r="BT122" s="384"/>
      <c r="BU122" s="387"/>
      <c r="BV122" s="383"/>
      <c r="BW122" s="384"/>
      <c r="BX122" s="384"/>
      <c r="BY122" s="385"/>
      <c r="BZ122" s="216">
        <f t="shared" si="4"/>
        <v>1</v>
      </c>
      <c r="CA122" s="216" t="str">
        <f t="shared" si="1"/>
        <v/>
      </c>
    </row>
    <row r="123" spans="3:79" ht="12">
      <c r="C123" s="217">
        <v>119</v>
      </c>
      <c r="D123" s="35" t="s">
        <v>1385</v>
      </c>
      <c r="E123" s="383"/>
      <c r="F123" s="384"/>
      <c r="G123" s="384"/>
      <c r="H123" s="385"/>
      <c r="I123" s="386"/>
      <c r="J123" s="384"/>
      <c r="K123" s="384"/>
      <c r="L123" s="384"/>
      <c r="M123" s="383"/>
      <c r="N123" s="384"/>
      <c r="O123" s="384"/>
      <c r="P123" s="387"/>
      <c r="Q123" s="383"/>
      <c r="R123" s="384"/>
      <c r="S123" s="384"/>
      <c r="T123" s="385"/>
      <c r="U123" s="383"/>
      <c r="V123" s="384"/>
      <c r="W123" s="384"/>
      <c r="X123" s="385"/>
      <c r="Y123" s="386"/>
      <c r="Z123" s="384"/>
      <c r="AA123" s="384"/>
      <c r="AB123" s="384"/>
      <c r="AC123" s="383"/>
      <c r="AD123" s="384"/>
      <c r="AE123" s="384"/>
      <c r="AF123" s="387"/>
      <c r="AG123" s="383"/>
      <c r="AH123" s="384"/>
      <c r="AI123" s="384"/>
      <c r="AJ123" s="387"/>
      <c r="AK123" s="383"/>
      <c r="AL123" s="384"/>
      <c r="AM123" s="384"/>
      <c r="AN123" s="385"/>
      <c r="AO123" s="386"/>
      <c r="AP123" s="384"/>
      <c r="AQ123" s="384"/>
      <c r="AR123" s="384"/>
      <c r="AS123" s="383"/>
      <c r="AT123" s="384"/>
      <c r="AU123" s="384"/>
      <c r="AV123" s="387"/>
      <c r="AW123" s="388"/>
      <c r="AX123" s="383"/>
      <c r="AY123" s="384"/>
      <c r="AZ123" s="384"/>
      <c r="BA123" s="385"/>
      <c r="BB123" s="383"/>
      <c r="BC123" s="384"/>
      <c r="BD123" s="384"/>
      <c r="BE123" s="385"/>
      <c r="BF123" s="386"/>
      <c r="BG123" s="384">
        <v>1</v>
      </c>
      <c r="BH123" s="384"/>
      <c r="BI123" s="384"/>
      <c r="BJ123" s="383"/>
      <c r="BK123" s="384"/>
      <c r="BL123" s="384"/>
      <c r="BM123" s="387"/>
      <c r="BN123" s="383"/>
      <c r="BO123" s="384"/>
      <c r="BP123" s="384"/>
      <c r="BQ123" s="385"/>
      <c r="BR123" s="383"/>
      <c r="BS123" s="384"/>
      <c r="BT123" s="384"/>
      <c r="BU123" s="387"/>
      <c r="BV123" s="383"/>
      <c r="BW123" s="384"/>
      <c r="BX123" s="384"/>
      <c r="BY123" s="385"/>
      <c r="BZ123" s="216">
        <f t="shared" si="4"/>
        <v>1</v>
      </c>
      <c r="CA123" s="216" t="str">
        <f t="shared" si="1"/>
        <v/>
      </c>
    </row>
    <row r="124" spans="3:79" ht="12">
      <c r="C124" s="217">
        <v>120</v>
      </c>
      <c r="D124" s="35" t="s">
        <v>1386</v>
      </c>
      <c r="E124" s="383"/>
      <c r="F124" s="384"/>
      <c r="G124" s="384"/>
      <c r="H124" s="385"/>
      <c r="I124" s="386"/>
      <c r="J124" s="384"/>
      <c r="K124" s="384"/>
      <c r="L124" s="384"/>
      <c r="M124" s="383"/>
      <c r="N124" s="384"/>
      <c r="O124" s="384"/>
      <c r="P124" s="387"/>
      <c r="Q124" s="383"/>
      <c r="R124" s="384"/>
      <c r="S124" s="384"/>
      <c r="T124" s="385"/>
      <c r="U124" s="383"/>
      <c r="V124" s="384"/>
      <c r="W124" s="384"/>
      <c r="X124" s="385"/>
      <c r="Y124" s="386"/>
      <c r="Z124" s="384"/>
      <c r="AA124" s="384"/>
      <c r="AB124" s="384"/>
      <c r="AC124" s="383"/>
      <c r="AD124" s="384"/>
      <c r="AE124" s="384"/>
      <c r="AF124" s="387"/>
      <c r="AG124" s="383"/>
      <c r="AH124" s="384"/>
      <c r="AI124" s="384"/>
      <c r="AJ124" s="387"/>
      <c r="AK124" s="383"/>
      <c r="AL124" s="384"/>
      <c r="AM124" s="384"/>
      <c r="AN124" s="385"/>
      <c r="AO124" s="386"/>
      <c r="AP124" s="384"/>
      <c r="AQ124" s="384"/>
      <c r="AR124" s="384"/>
      <c r="AS124" s="383"/>
      <c r="AT124" s="384"/>
      <c r="AU124" s="384"/>
      <c r="AV124" s="387"/>
      <c r="AW124" s="388"/>
      <c r="AX124" s="383"/>
      <c r="AY124" s="384"/>
      <c r="AZ124" s="384"/>
      <c r="BA124" s="385"/>
      <c r="BB124" s="383"/>
      <c r="BC124" s="384"/>
      <c r="BD124" s="384"/>
      <c r="BE124" s="385"/>
      <c r="BF124" s="386"/>
      <c r="BG124" s="384">
        <v>1</v>
      </c>
      <c r="BH124" s="384"/>
      <c r="BI124" s="384"/>
      <c r="BJ124" s="383"/>
      <c r="BK124" s="384"/>
      <c r="BL124" s="384"/>
      <c r="BM124" s="387"/>
      <c r="BN124" s="383"/>
      <c r="BO124" s="384"/>
      <c r="BP124" s="384"/>
      <c r="BQ124" s="385"/>
      <c r="BR124" s="383"/>
      <c r="BS124" s="384"/>
      <c r="BT124" s="384"/>
      <c r="BU124" s="387"/>
      <c r="BV124" s="383"/>
      <c r="BW124" s="384"/>
      <c r="BX124" s="384"/>
      <c r="BY124" s="385"/>
      <c r="BZ124" s="216">
        <f t="shared" si="4"/>
        <v>1</v>
      </c>
    </row>
    <row r="125" spans="3:79" ht="12">
      <c r="C125" s="217">
        <v>121</v>
      </c>
      <c r="D125" s="35" t="s">
        <v>1387</v>
      </c>
      <c r="E125" s="383"/>
      <c r="F125" s="384"/>
      <c r="G125" s="384"/>
      <c r="H125" s="385"/>
      <c r="I125" s="386"/>
      <c r="J125" s="384"/>
      <c r="K125" s="384"/>
      <c r="L125" s="384"/>
      <c r="M125" s="383"/>
      <c r="N125" s="384"/>
      <c r="O125" s="384"/>
      <c r="P125" s="387"/>
      <c r="Q125" s="383"/>
      <c r="R125" s="384"/>
      <c r="S125" s="384"/>
      <c r="T125" s="385"/>
      <c r="U125" s="383"/>
      <c r="V125" s="384"/>
      <c r="W125" s="384"/>
      <c r="X125" s="385"/>
      <c r="Y125" s="386"/>
      <c r="Z125" s="384"/>
      <c r="AA125" s="384"/>
      <c r="AB125" s="384"/>
      <c r="AC125" s="383"/>
      <c r="AD125" s="384"/>
      <c r="AE125" s="384"/>
      <c r="AF125" s="387"/>
      <c r="AG125" s="383"/>
      <c r="AH125" s="384"/>
      <c r="AI125" s="384"/>
      <c r="AJ125" s="387"/>
      <c r="AK125" s="383"/>
      <c r="AL125" s="384"/>
      <c r="AM125" s="384"/>
      <c r="AN125" s="385"/>
      <c r="AO125" s="386"/>
      <c r="AP125" s="384"/>
      <c r="AQ125" s="384"/>
      <c r="AR125" s="384"/>
      <c r="AS125" s="383"/>
      <c r="AT125" s="384"/>
      <c r="AU125" s="384"/>
      <c r="AV125" s="387"/>
      <c r="AW125" s="388"/>
      <c r="AX125" s="383"/>
      <c r="AY125" s="384"/>
      <c r="AZ125" s="384"/>
      <c r="BA125" s="385"/>
      <c r="BB125" s="383"/>
      <c r="BC125" s="384"/>
      <c r="BD125" s="384"/>
      <c r="BE125" s="385"/>
      <c r="BF125" s="386"/>
      <c r="BG125" s="384">
        <v>1</v>
      </c>
      <c r="BH125" s="384"/>
      <c r="BI125" s="384"/>
      <c r="BJ125" s="383"/>
      <c r="BK125" s="384"/>
      <c r="BL125" s="384"/>
      <c r="BM125" s="387"/>
      <c r="BN125" s="383"/>
      <c r="BO125" s="384"/>
      <c r="BP125" s="384"/>
      <c r="BQ125" s="385"/>
      <c r="BR125" s="383"/>
      <c r="BS125" s="384"/>
      <c r="BT125" s="384"/>
      <c r="BU125" s="387"/>
      <c r="BV125" s="383"/>
      <c r="BW125" s="384"/>
      <c r="BX125" s="384"/>
      <c r="BY125" s="385"/>
      <c r="BZ125" s="216">
        <f t="shared" si="4"/>
        <v>1</v>
      </c>
      <c r="CA125" s="216" t="str">
        <f t="shared" ref="CA125:CA173" si="5">IF(BZ125=0,"NO SE ENCONTRO",IF(BZ125&gt;1,"ERROR",""))</f>
        <v/>
      </c>
    </row>
    <row r="126" spans="3:79" ht="12">
      <c r="C126" s="217">
        <v>122</v>
      </c>
      <c r="D126" s="35" t="s">
        <v>1388</v>
      </c>
      <c r="E126" s="383"/>
      <c r="F126" s="384"/>
      <c r="G126" s="384"/>
      <c r="H126" s="385"/>
      <c r="I126" s="386"/>
      <c r="J126" s="384"/>
      <c r="K126" s="384"/>
      <c r="L126" s="384"/>
      <c r="M126" s="383"/>
      <c r="N126" s="384"/>
      <c r="O126" s="384"/>
      <c r="P126" s="387"/>
      <c r="Q126" s="383"/>
      <c r="R126" s="384"/>
      <c r="S126" s="384"/>
      <c r="T126" s="385"/>
      <c r="U126" s="383"/>
      <c r="V126" s="384"/>
      <c r="W126" s="384"/>
      <c r="X126" s="385"/>
      <c r="Y126" s="386"/>
      <c r="Z126" s="384"/>
      <c r="AA126" s="384"/>
      <c r="AB126" s="384"/>
      <c r="AC126" s="383"/>
      <c r="AD126" s="384"/>
      <c r="AE126" s="384"/>
      <c r="AF126" s="387"/>
      <c r="AG126" s="383"/>
      <c r="AH126" s="384"/>
      <c r="AI126" s="384"/>
      <c r="AJ126" s="387"/>
      <c r="AK126" s="383"/>
      <c r="AL126" s="384"/>
      <c r="AM126" s="384"/>
      <c r="AN126" s="385"/>
      <c r="AO126" s="386"/>
      <c r="AP126" s="384"/>
      <c r="AQ126" s="384"/>
      <c r="AR126" s="384"/>
      <c r="AS126" s="383"/>
      <c r="AT126" s="384"/>
      <c r="AU126" s="384"/>
      <c r="AV126" s="387"/>
      <c r="AW126" s="388"/>
      <c r="AX126" s="383"/>
      <c r="AY126" s="384"/>
      <c r="AZ126" s="384"/>
      <c r="BA126" s="385"/>
      <c r="BB126" s="383"/>
      <c r="BC126" s="384"/>
      <c r="BD126" s="384"/>
      <c r="BE126" s="385"/>
      <c r="BF126" s="386"/>
      <c r="BG126" s="384">
        <v>1</v>
      </c>
      <c r="BH126" s="384"/>
      <c r="BI126" s="384"/>
      <c r="BJ126" s="383"/>
      <c r="BK126" s="384"/>
      <c r="BL126" s="384"/>
      <c r="BM126" s="387"/>
      <c r="BN126" s="383"/>
      <c r="BO126" s="384"/>
      <c r="BP126" s="384"/>
      <c r="BQ126" s="385"/>
      <c r="BR126" s="383"/>
      <c r="BS126" s="384"/>
      <c r="BT126" s="384"/>
      <c r="BU126" s="387"/>
      <c r="BV126" s="383"/>
      <c r="BW126" s="384"/>
      <c r="BX126" s="384"/>
      <c r="BY126" s="385"/>
      <c r="BZ126" s="216">
        <f t="shared" si="4"/>
        <v>1</v>
      </c>
    </row>
    <row r="127" spans="3:79" ht="12">
      <c r="C127" s="217">
        <v>123</v>
      </c>
      <c r="D127" s="35" t="s">
        <v>1389</v>
      </c>
      <c r="E127" s="383"/>
      <c r="F127" s="384"/>
      <c r="G127" s="384"/>
      <c r="H127" s="385"/>
      <c r="I127" s="386"/>
      <c r="J127" s="384"/>
      <c r="K127" s="384"/>
      <c r="L127" s="384"/>
      <c r="M127" s="383"/>
      <c r="N127" s="384"/>
      <c r="O127" s="384"/>
      <c r="P127" s="387"/>
      <c r="Q127" s="383"/>
      <c r="R127" s="384"/>
      <c r="S127" s="384"/>
      <c r="T127" s="385"/>
      <c r="U127" s="383"/>
      <c r="V127" s="384"/>
      <c r="W127" s="384"/>
      <c r="X127" s="385"/>
      <c r="Y127" s="386"/>
      <c r="Z127" s="384"/>
      <c r="AA127" s="384"/>
      <c r="AB127" s="384"/>
      <c r="AC127" s="383"/>
      <c r="AD127" s="384"/>
      <c r="AE127" s="384"/>
      <c r="AF127" s="387"/>
      <c r="AG127" s="383"/>
      <c r="AH127" s="384"/>
      <c r="AI127" s="384"/>
      <c r="AJ127" s="387"/>
      <c r="AK127" s="383"/>
      <c r="AL127" s="384"/>
      <c r="AM127" s="384"/>
      <c r="AN127" s="385"/>
      <c r="AO127" s="386"/>
      <c r="AP127" s="384"/>
      <c r="AQ127" s="384"/>
      <c r="AR127" s="384"/>
      <c r="AS127" s="383"/>
      <c r="AT127" s="384"/>
      <c r="AU127" s="384"/>
      <c r="AV127" s="387"/>
      <c r="AW127" s="388"/>
      <c r="AX127" s="383"/>
      <c r="AY127" s="384"/>
      <c r="AZ127" s="384"/>
      <c r="BA127" s="385"/>
      <c r="BB127" s="383"/>
      <c r="BC127" s="384"/>
      <c r="BD127" s="384"/>
      <c r="BE127" s="385"/>
      <c r="BF127" s="386"/>
      <c r="BG127" s="384">
        <v>1</v>
      </c>
      <c r="BH127" s="384"/>
      <c r="BI127" s="384"/>
      <c r="BJ127" s="383"/>
      <c r="BK127" s="384"/>
      <c r="BL127" s="384"/>
      <c r="BM127" s="387"/>
      <c r="BN127" s="383"/>
      <c r="BO127" s="384"/>
      <c r="BP127" s="384"/>
      <c r="BQ127" s="385"/>
      <c r="BR127" s="383"/>
      <c r="BS127" s="384"/>
      <c r="BT127" s="384"/>
      <c r="BU127" s="387"/>
      <c r="BV127" s="383"/>
      <c r="BW127" s="384"/>
      <c r="BX127" s="384"/>
      <c r="BY127" s="385"/>
      <c r="BZ127" s="216">
        <f t="shared" si="4"/>
        <v>1</v>
      </c>
      <c r="CA127" s="216" t="str">
        <f t="shared" si="5"/>
        <v/>
      </c>
    </row>
    <row r="128" spans="3:79" ht="12">
      <c r="C128" s="217">
        <v>124</v>
      </c>
      <c r="D128" s="35" t="s">
        <v>1390</v>
      </c>
      <c r="E128" s="383"/>
      <c r="F128" s="384"/>
      <c r="G128" s="384"/>
      <c r="H128" s="385"/>
      <c r="I128" s="386"/>
      <c r="J128" s="384"/>
      <c r="K128" s="384"/>
      <c r="L128" s="384"/>
      <c r="M128" s="383"/>
      <c r="N128" s="384"/>
      <c r="O128" s="384"/>
      <c r="P128" s="387"/>
      <c r="Q128" s="383"/>
      <c r="R128" s="384"/>
      <c r="S128" s="384"/>
      <c r="T128" s="385"/>
      <c r="U128" s="383"/>
      <c r="V128" s="384"/>
      <c r="W128" s="384"/>
      <c r="X128" s="385"/>
      <c r="Y128" s="386"/>
      <c r="Z128" s="384"/>
      <c r="AA128" s="384"/>
      <c r="AB128" s="384"/>
      <c r="AC128" s="383"/>
      <c r="AD128" s="384"/>
      <c r="AE128" s="384"/>
      <c r="AF128" s="387"/>
      <c r="AG128" s="383"/>
      <c r="AH128" s="384"/>
      <c r="AI128" s="384"/>
      <c r="AJ128" s="387"/>
      <c r="AK128" s="383"/>
      <c r="AL128" s="384"/>
      <c r="AM128" s="384"/>
      <c r="AN128" s="385"/>
      <c r="AO128" s="386"/>
      <c r="AP128" s="384"/>
      <c r="AQ128" s="384"/>
      <c r="AR128" s="384"/>
      <c r="AS128" s="383"/>
      <c r="AT128" s="384"/>
      <c r="AU128" s="384"/>
      <c r="AV128" s="387"/>
      <c r="AW128" s="388"/>
      <c r="AX128" s="383"/>
      <c r="AY128" s="384"/>
      <c r="AZ128" s="384"/>
      <c r="BA128" s="385"/>
      <c r="BB128" s="383"/>
      <c r="BC128" s="384"/>
      <c r="BD128" s="384"/>
      <c r="BE128" s="385"/>
      <c r="BF128" s="386"/>
      <c r="BG128" s="384">
        <v>1</v>
      </c>
      <c r="BH128" s="384"/>
      <c r="BI128" s="384"/>
      <c r="BJ128" s="383"/>
      <c r="BK128" s="384"/>
      <c r="BL128" s="384"/>
      <c r="BM128" s="387"/>
      <c r="BN128" s="383"/>
      <c r="BO128" s="384"/>
      <c r="BP128" s="384"/>
      <c r="BQ128" s="385"/>
      <c r="BR128" s="383"/>
      <c r="BS128" s="384"/>
      <c r="BT128" s="384"/>
      <c r="BU128" s="387"/>
      <c r="BV128" s="383"/>
      <c r="BW128" s="384"/>
      <c r="BX128" s="384"/>
      <c r="BY128" s="385"/>
      <c r="BZ128" s="216">
        <f t="shared" si="4"/>
        <v>1</v>
      </c>
    </row>
    <row r="129" spans="3:79" ht="12">
      <c r="C129" s="217">
        <v>125</v>
      </c>
      <c r="D129" s="35" t="s">
        <v>1391</v>
      </c>
      <c r="E129" s="383"/>
      <c r="F129" s="384"/>
      <c r="G129" s="384"/>
      <c r="H129" s="385"/>
      <c r="I129" s="386"/>
      <c r="J129" s="384"/>
      <c r="K129" s="384"/>
      <c r="L129" s="384"/>
      <c r="M129" s="383"/>
      <c r="N129" s="384"/>
      <c r="O129" s="384"/>
      <c r="P129" s="387"/>
      <c r="Q129" s="383"/>
      <c r="R129" s="384"/>
      <c r="S129" s="384"/>
      <c r="T129" s="385"/>
      <c r="U129" s="383"/>
      <c r="V129" s="384"/>
      <c r="W129" s="384"/>
      <c r="X129" s="385"/>
      <c r="Y129" s="386"/>
      <c r="Z129" s="384"/>
      <c r="AA129" s="384"/>
      <c r="AB129" s="384"/>
      <c r="AC129" s="383"/>
      <c r="AD129" s="384"/>
      <c r="AE129" s="384"/>
      <c r="AF129" s="387"/>
      <c r="AG129" s="383"/>
      <c r="AH129" s="384"/>
      <c r="AI129" s="384"/>
      <c r="AJ129" s="387"/>
      <c r="AK129" s="383"/>
      <c r="AL129" s="384"/>
      <c r="AM129" s="384"/>
      <c r="AN129" s="385"/>
      <c r="AO129" s="386"/>
      <c r="AP129" s="384"/>
      <c r="AQ129" s="384"/>
      <c r="AR129" s="384"/>
      <c r="AS129" s="383"/>
      <c r="AT129" s="384"/>
      <c r="AU129" s="384"/>
      <c r="AV129" s="387"/>
      <c r="AW129" s="388"/>
      <c r="AX129" s="383"/>
      <c r="AY129" s="384"/>
      <c r="AZ129" s="384"/>
      <c r="BA129" s="385"/>
      <c r="BB129" s="383"/>
      <c r="BC129" s="384">
        <v>1</v>
      </c>
      <c r="BD129" s="384"/>
      <c r="BE129" s="385"/>
      <c r="BF129" s="386"/>
      <c r="BG129" s="384"/>
      <c r="BH129" s="384"/>
      <c r="BI129" s="384"/>
      <c r="BJ129" s="383"/>
      <c r="BK129" s="384"/>
      <c r="BL129" s="384"/>
      <c r="BM129" s="387"/>
      <c r="BN129" s="383"/>
      <c r="BO129" s="384"/>
      <c r="BP129" s="384"/>
      <c r="BQ129" s="385"/>
      <c r="BR129" s="383"/>
      <c r="BS129" s="384"/>
      <c r="BT129" s="384"/>
      <c r="BU129" s="387"/>
      <c r="BV129" s="383"/>
      <c r="BW129" s="384"/>
      <c r="BX129" s="384"/>
      <c r="BY129" s="385"/>
      <c r="BZ129" s="216">
        <f t="shared" si="4"/>
        <v>1</v>
      </c>
      <c r="CA129" s="216" t="str">
        <f t="shared" si="5"/>
        <v/>
      </c>
    </row>
    <row r="130" spans="3:79" ht="12">
      <c r="C130" s="217">
        <v>126</v>
      </c>
      <c r="D130" s="35" t="s">
        <v>1392</v>
      </c>
      <c r="E130" s="383"/>
      <c r="F130" s="384"/>
      <c r="G130" s="384"/>
      <c r="H130" s="385"/>
      <c r="I130" s="386"/>
      <c r="J130" s="384"/>
      <c r="K130" s="384"/>
      <c r="L130" s="384"/>
      <c r="M130" s="383"/>
      <c r="N130" s="384"/>
      <c r="O130" s="384"/>
      <c r="P130" s="387"/>
      <c r="Q130" s="383"/>
      <c r="R130" s="384"/>
      <c r="S130" s="384"/>
      <c r="T130" s="385"/>
      <c r="U130" s="383"/>
      <c r="V130" s="384"/>
      <c r="W130" s="384"/>
      <c r="X130" s="385"/>
      <c r="Y130" s="386"/>
      <c r="Z130" s="384"/>
      <c r="AA130" s="384"/>
      <c r="AB130" s="384"/>
      <c r="AC130" s="383"/>
      <c r="AD130" s="384"/>
      <c r="AE130" s="384"/>
      <c r="AF130" s="387"/>
      <c r="AG130" s="383"/>
      <c r="AH130" s="384"/>
      <c r="AI130" s="384"/>
      <c r="AJ130" s="387"/>
      <c r="AK130" s="383"/>
      <c r="AL130" s="384"/>
      <c r="AM130" s="384"/>
      <c r="AN130" s="385"/>
      <c r="AO130" s="386"/>
      <c r="AP130" s="384"/>
      <c r="AQ130" s="384"/>
      <c r="AR130" s="384"/>
      <c r="AS130" s="383"/>
      <c r="AT130" s="384"/>
      <c r="AU130" s="384"/>
      <c r="AV130" s="387"/>
      <c r="AW130" s="388"/>
      <c r="AX130" s="383"/>
      <c r="AY130" s="384"/>
      <c r="AZ130" s="384"/>
      <c r="BA130" s="385"/>
      <c r="BB130" s="383"/>
      <c r="BC130" s="384">
        <v>1</v>
      </c>
      <c r="BD130" s="384"/>
      <c r="BE130" s="385"/>
      <c r="BF130" s="386"/>
      <c r="BG130" s="384"/>
      <c r="BH130" s="384"/>
      <c r="BI130" s="384"/>
      <c r="BJ130" s="383"/>
      <c r="BK130" s="384"/>
      <c r="BL130" s="384"/>
      <c r="BM130" s="387"/>
      <c r="BN130" s="383"/>
      <c r="BO130" s="384"/>
      <c r="BP130" s="384"/>
      <c r="BQ130" s="385"/>
      <c r="BR130" s="383"/>
      <c r="BS130" s="384"/>
      <c r="BT130" s="384"/>
      <c r="BU130" s="387"/>
      <c r="BV130" s="383"/>
      <c r="BW130" s="384"/>
      <c r="BX130" s="384"/>
      <c r="BY130" s="385"/>
      <c r="BZ130" s="216">
        <f t="shared" si="4"/>
        <v>1</v>
      </c>
    </row>
    <row r="131" spans="3:79" ht="12">
      <c r="C131" s="217">
        <v>127</v>
      </c>
      <c r="D131" s="35" t="s">
        <v>1393</v>
      </c>
      <c r="E131" s="383"/>
      <c r="F131" s="384"/>
      <c r="G131" s="384"/>
      <c r="H131" s="385"/>
      <c r="I131" s="386"/>
      <c r="J131" s="384"/>
      <c r="K131" s="384"/>
      <c r="L131" s="384"/>
      <c r="M131" s="383"/>
      <c r="N131" s="384"/>
      <c r="O131" s="384"/>
      <c r="P131" s="387"/>
      <c r="Q131" s="383"/>
      <c r="R131" s="384"/>
      <c r="S131" s="384"/>
      <c r="T131" s="385"/>
      <c r="U131" s="383"/>
      <c r="V131" s="384"/>
      <c r="W131" s="384"/>
      <c r="X131" s="385"/>
      <c r="Y131" s="386"/>
      <c r="Z131" s="384"/>
      <c r="AA131" s="384"/>
      <c r="AB131" s="384"/>
      <c r="AC131" s="383"/>
      <c r="AD131" s="384"/>
      <c r="AE131" s="384"/>
      <c r="AF131" s="387"/>
      <c r="AG131" s="383"/>
      <c r="AH131" s="384"/>
      <c r="AI131" s="384"/>
      <c r="AJ131" s="387"/>
      <c r="AK131" s="383"/>
      <c r="AL131" s="384"/>
      <c r="AM131" s="384"/>
      <c r="AN131" s="385"/>
      <c r="AO131" s="386"/>
      <c r="AP131" s="384"/>
      <c r="AQ131" s="384"/>
      <c r="AR131" s="384"/>
      <c r="AS131" s="383"/>
      <c r="AT131" s="384"/>
      <c r="AU131" s="384"/>
      <c r="AV131" s="387"/>
      <c r="AW131" s="388"/>
      <c r="AX131" s="383"/>
      <c r="AY131" s="384"/>
      <c r="AZ131" s="384"/>
      <c r="BA131" s="385"/>
      <c r="BB131" s="383"/>
      <c r="BC131" s="384">
        <v>1</v>
      </c>
      <c r="BD131" s="384"/>
      <c r="BE131" s="385"/>
      <c r="BF131" s="386"/>
      <c r="BG131" s="384"/>
      <c r="BH131" s="384"/>
      <c r="BI131" s="384"/>
      <c r="BJ131" s="383"/>
      <c r="BK131" s="384"/>
      <c r="BL131" s="384"/>
      <c r="BM131" s="387"/>
      <c r="BN131" s="383"/>
      <c r="BO131" s="384"/>
      <c r="BP131" s="384"/>
      <c r="BQ131" s="385"/>
      <c r="BR131" s="383"/>
      <c r="BS131" s="384"/>
      <c r="BT131" s="384"/>
      <c r="BU131" s="387"/>
      <c r="BV131" s="383"/>
      <c r="BW131" s="384"/>
      <c r="BX131" s="384"/>
      <c r="BY131" s="385"/>
      <c r="BZ131" s="216">
        <f t="shared" si="4"/>
        <v>1</v>
      </c>
      <c r="CA131" s="216" t="str">
        <f t="shared" si="5"/>
        <v/>
      </c>
    </row>
    <row r="132" spans="3:79" ht="12">
      <c r="C132" s="217">
        <v>128</v>
      </c>
      <c r="D132" s="35" t="s">
        <v>1394</v>
      </c>
      <c r="E132" s="383"/>
      <c r="F132" s="384"/>
      <c r="G132" s="384"/>
      <c r="H132" s="385"/>
      <c r="I132" s="386"/>
      <c r="J132" s="384"/>
      <c r="K132" s="384"/>
      <c r="L132" s="384"/>
      <c r="M132" s="383"/>
      <c r="N132" s="384"/>
      <c r="O132" s="384"/>
      <c r="P132" s="387"/>
      <c r="Q132" s="383"/>
      <c r="R132" s="384"/>
      <c r="S132" s="384"/>
      <c r="T132" s="385"/>
      <c r="U132" s="383"/>
      <c r="V132" s="384"/>
      <c r="W132" s="384"/>
      <c r="X132" s="385"/>
      <c r="Y132" s="386"/>
      <c r="Z132" s="384"/>
      <c r="AA132" s="384"/>
      <c r="AB132" s="384"/>
      <c r="AC132" s="383"/>
      <c r="AD132" s="384"/>
      <c r="AE132" s="384"/>
      <c r="AF132" s="387"/>
      <c r="AG132" s="383"/>
      <c r="AH132" s="384"/>
      <c r="AI132" s="384"/>
      <c r="AJ132" s="387"/>
      <c r="AK132" s="383"/>
      <c r="AL132" s="384"/>
      <c r="AM132" s="384"/>
      <c r="AN132" s="385"/>
      <c r="AO132" s="386"/>
      <c r="AP132" s="384"/>
      <c r="AQ132" s="384"/>
      <c r="AR132" s="384"/>
      <c r="AS132" s="383"/>
      <c r="AT132" s="384"/>
      <c r="AU132" s="384"/>
      <c r="AV132" s="387"/>
      <c r="AW132" s="388"/>
      <c r="AX132" s="383"/>
      <c r="AY132" s="384"/>
      <c r="AZ132" s="384"/>
      <c r="BA132" s="385"/>
      <c r="BB132" s="383"/>
      <c r="BC132" s="384">
        <v>1</v>
      </c>
      <c r="BD132" s="384"/>
      <c r="BE132" s="385"/>
      <c r="BF132" s="386"/>
      <c r="BG132" s="384"/>
      <c r="BH132" s="384"/>
      <c r="BI132" s="384"/>
      <c r="BJ132" s="383"/>
      <c r="BK132" s="384"/>
      <c r="BL132" s="384"/>
      <c r="BM132" s="387"/>
      <c r="BN132" s="383"/>
      <c r="BO132" s="384"/>
      <c r="BP132" s="384"/>
      <c r="BQ132" s="385"/>
      <c r="BR132" s="383"/>
      <c r="BS132" s="384"/>
      <c r="BT132" s="384"/>
      <c r="BU132" s="387"/>
      <c r="BV132" s="383"/>
      <c r="BW132" s="384"/>
      <c r="BX132" s="384"/>
      <c r="BY132" s="385"/>
      <c r="BZ132" s="216">
        <f t="shared" si="4"/>
        <v>1</v>
      </c>
      <c r="CA132" s="216" t="str">
        <f t="shared" si="5"/>
        <v/>
      </c>
    </row>
    <row r="133" spans="3:79" ht="12">
      <c r="C133" s="217">
        <v>129</v>
      </c>
      <c r="D133" s="35" t="s">
        <v>1395</v>
      </c>
      <c r="E133" s="383"/>
      <c r="F133" s="384"/>
      <c r="G133" s="384"/>
      <c r="H133" s="385"/>
      <c r="I133" s="386"/>
      <c r="J133" s="384"/>
      <c r="K133" s="384"/>
      <c r="L133" s="384"/>
      <c r="M133" s="383"/>
      <c r="N133" s="384"/>
      <c r="O133" s="384"/>
      <c r="P133" s="387"/>
      <c r="Q133" s="383"/>
      <c r="R133" s="384"/>
      <c r="S133" s="384"/>
      <c r="T133" s="385"/>
      <c r="U133" s="383"/>
      <c r="V133" s="384"/>
      <c r="W133" s="384"/>
      <c r="X133" s="385"/>
      <c r="Y133" s="386"/>
      <c r="Z133" s="384"/>
      <c r="AA133" s="384"/>
      <c r="AB133" s="384"/>
      <c r="AC133" s="383"/>
      <c r="AD133" s="384"/>
      <c r="AE133" s="384"/>
      <c r="AF133" s="387"/>
      <c r="AG133" s="383"/>
      <c r="AH133" s="384"/>
      <c r="AI133" s="384"/>
      <c r="AJ133" s="387"/>
      <c r="AK133" s="383"/>
      <c r="AL133" s="384"/>
      <c r="AM133" s="384"/>
      <c r="AN133" s="385"/>
      <c r="AO133" s="386"/>
      <c r="AP133" s="384"/>
      <c r="AQ133" s="384"/>
      <c r="AR133" s="384"/>
      <c r="AS133" s="383"/>
      <c r="AT133" s="384"/>
      <c r="AU133" s="384"/>
      <c r="AV133" s="387"/>
      <c r="AW133" s="388"/>
      <c r="AX133" s="383"/>
      <c r="AY133" s="384"/>
      <c r="AZ133" s="384"/>
      <c r="BA133" s="385"/>
      <c r="BB133" s="383"/>
      <c r="BC133" s="384">
        <v>1</v>
      </c>
      <c r="BD133" s="384"/>
      <c r="BE133" s="385"/>
      <c r="BF133" s="386"/>
      <c r="BG133" s="384"/>
      <c r="BH133" s="384"/>
      <c r="BI133" s="384"/>
      <c r="BJ133" s="383"/>
      <c r="BK133" s="384"/>
      <c r="BL133" s="384"/>
      <c r="BM133" s="387"/>
      <c r="BN133" s="383"/>
      <c r="BO133" s="384"/>
      <c r="BP133" s="384"/>
      <c r="BQ133" s="385"/>
      <c r="BR133" s="383"/>
      <c r="BS133" s="384"/>
      <c r="BT133" s="384"/>
      <c r="BU133" s="387"/>
      <c r="BV133" s="383"/>
      <c r="BW133" s="384"/>
      <c r="BX133" s="384"/>
      <c r="BY133" s="385"/>
      <c r="BZ133" s="216">
        <f t="shared" ref="BZ133:BZ164" si="6">SUM(E133:BY133)</f>
        <v>1</v>
      </c>
    </row>
    <row r="134" spans="3:79" ht="12">
      <c r="C134" s="217">
        <v>130</v>
      </c>
      <c r="D134" s="35" t="s">
        <v>1396</v>
      </c>
      <c r="E134" s="383"/>
      <c r="F134" s="384"/>
      <c r="G134" s="384"/>
      <c r="H134" s="385"/>
      <c r="I134" s="386"/>
      <c r="J134" s="384"/>
      <c r="K134" s="384"/>
      <c r="L134" s="384"/>
      <c r="M134" s="383"/>
      <c r="N134" s="384"/>
      <c r="O134" s="384"/>
      <c r="P134" s="387"/>
      <c r="Q134" s="383"/>
      <c r="R134" s="384"/>
      <c r="S134" s="384"/>
      <c r="T134" s="385"/>
      <c r="U134" s="383"/>
      <c r="V134" s="384"/>
      <c r="W134" s="384"/>
      <c r="X134" s="385"/>
      <c r="Y134" s="386"/>
      <c r="Z134" s="384"/>
      <c r="AA134" s="384"/>
      <c r="AB134" s="384"/>
      <c r="AC134" s="383"/>
      <c r="AD134" s="384"/>
      <c r="AE134" s="384"/>
      <c r="AF134" s="387"/>
      <c r="AG134" s="383"/>
      <c r="AH134" s="384"/>
      <c r="AI134" s="384"/>
      <c r="AJ134" s="387"/>
      <c r="AK134" s="383"/>
      <c r="AL134" s="384"/>
      <c r="AM134" s="384"/>
      <c r="AN134" s="385"/>
      <c r="AO134" s="386"/>
      <c r="AP134" s="384"/>
      <c r="AQ134" s="384"/>
      <c r="AR134" s="384"/>
      <c r="AS134" s="383"/>
      <c r="AT134" s="384"/>
      <c r="AU134" s="384"/>
      <c r="AV134" s="387"/>
      <c r="AW134" s="388"/>
      <c r="AX134" s="383"/>
      <c r="AY134" s="384"/>
      <c r="AZ134" s="384"/>
      <c r="BA134" s="385"/>
      <c r="BB134" s="383"/>
      <c r="BC134" s="384">
        <v>1</v>
      </c>
      <c r="BD134" s="384"/>
      <c r="BE134" s="385"/>
      <c r="BF134" s="386"/>
      <c r="BG134" s="384"/>
      <c r="BH134" s="384"/>
      <c r="BI134" s="384"/>
      <c r="BJ134" s="383"/>
      <c r="BK134" s="384"/>
      <c r="BL134" s="384"/>
      <c r="BM134" s="387"/>
      <c r="BN134" s="383"/>
      <c r="BO134" s="384"/>
      <c r="BP134" s="384"/>
      <c r="BQ134" s="385"/>
      <c r="BR134" s="383"/>
      <c r="BS134" s="384"/>
      <c r="BT134" s="384"/>
      <c r="BU134" s="387"/>
      <c r="BV134" s="383"/>
      <c r="BW134" s="384"/>
      <c r="BX134" s="384"/>
      <c r="BY134" s="385"/>
      <c r="BZ134" s="216">
        <f t="shared" si="6"/>
        <v>1</v>
      </c>
      <c r="CA134" s="216" t="str">
        <f t="shared" si="5"/>
        <v/>
      </c>
    </row>
    <row r="135" spans="3:79" ht="12">
      <c r="C135" s="217">
        <v>131</v>
      </c>
      <c r="D135" s="35" t="s">
        <v>1397</v>
      </c>
      <c r="E135" s="383"/>
      <c r="F135" s="384"/>
      <c r="G135" s="384"/>
      <c r="H135" s="385"/>
      <c r="I135" s="386"/>
      <c r="J135" s="384"/>
      <c r="K135" s="384"/>
      <c r="L135" s="384"/>
      <c r="M135" s="383"/>
      <c r="N135" s="384"/>
      <c r="O135" s="384"/>
      <c r="P135" s="387"/>
      <c r="Q135" s="383"/>
      <c r="R135" s="384"/>
      <c r="S135" s="384"/>
      <c r="T135" s="385"/>
      <c r="U135" s="383"/>
      <c r="V135" s="384"/>
      <c r="W135" s="384"/>
      <c r="X135" s="385"/>
      <c r="Y135" s="386"/>
      <c r="Z135" s="384"/>
      <c r="AA135" s="384"/>
      <c r="AB135" s="384"/>
      <c r="AC135" s="383"/>
      <c r="AD135" s="384"/>
      <c r="AE135" s="384"/>
      <c r="AF135" s="387"/>
      <c r="AG135" s="383"/>
      <c r="AH135" s="384"/>
      <c r="AI135" s="384"/>
      <c r="AJ135" s="387"/>
      <c r="AK135" s="383"/>
      <c r="AL135" s="384"/>
      <c r="AM135" s="384"/>
      <c r="AN135" s="385"/>
      <c r="AO135" s="386"/>
      <c r="AP135" s="384"/>
      <c r="AQ135" s="384"/>
      <c r="AR135" s="384"/>
      <c r="AS135" s="383"/>
      <c r="AT135" s="384"/>
      <c r="AU135" s="384"/>
      <c r="AV135" s="387"/>
      <c r="AW135" s="388"/>
      <c r="AX135" s="383"/>
      <c r="AY135" s="384"/>
      <c r="AZ135" s="384"/>
      <c r="BA135" s="385"/>
      <c r="BB135" s="383"/>
      <c r="BC135" s="384">
        <v>1</v>
      </c>
      <c r="BD135" s="384"/>
      <c r="BE135" s="385"/>
      <c r="BF135" s="386"/>
      <c r="BG135" s="384"/>
      <c r="BH135" s="384"/>
      <c r="BI135" s="384"/>
      <c r="BJ135" s="383"/>
      <c r="BK135" s="384"/>
      <c r="BL135" s="384"/>
      <c r="BM135" s="387"/>
      <c r="BN135" s="383"/>
      <c r="BO135" s="384"/>
      <c r="BP135" s="384"/>
      <c r="BQ135" s="385"/>
      <c r="BR135" s="383"/>
      <c r="BS135" s="384"/>
      <c r="BT135" s="384"/>
      <c r="BU135" s="387"/>
      <c r="BV135" s="383"/>
      <c r="BW135" s="384"/>
      <c r="BX135" s="384"/>
      <c r="BY135" s="385"/>
      <c r="BZ135" s="216">
        <f t="shared" si="6"/>
        <v>1</v>
      </c>
    </row>
    <row r="136" spans="3:79" ht="12">
      <c r="C136" s="217">
        <v>132</v>
      </c>
      <c r="D136" s="35" t="s">
        <v>1398</v>
      </c>
      <c r="E136" s="383"/>
      <c r="F136" s="384"/>
      <c r="G136" s="384"/>
      <c r="H136" s="385"/>
      <c r="I136" s="386"/>
      <c r="J136" s="384"/>
      <c r="K136" s="384"/>
      <c r="L136" s="384"/>
      <c r="M136" s="383"/>
      <c r="N136" s="384"/>
      <c r="O136" s="384"/>
      <c r="P136" s="387"/>
      <c r="Q136" s="383"/>
      <c r="R136" s="384"/>
      <c r="S136" s="384"/>
      <c r="T136" s="385"/>
      <c r="U136" s="383"/>
      <c r="V136" s="384"/>
      <c r="W136" s="384"/>
      <c r="X136" s="385"/>
      <c r="Y136" s="386"/>
      <c r="Z136" s="384"/>
      <c r="AA136" s="384"/>
      <c r="AB136" s="384"/>
      <c r="AC136" s="383"/>
      <c r="AD136" s="384"/>
      <c r="AE136" s="384"/>
      <c r="AF136" s="387"/>
      <c r="AG136" s="383"/>
      <c r="AH136" s="384"/>
      <c r="AI136" s="384"/>
      <c r="AJ136" s="387"/>
      <c r="AK136" s="383"/>
      <c r="AL136" s="384"/>
      <c r="AM136" s="384"/>
      <c r="AN136" s="385"/>
      <c r="AO136" s="386"/>
      <c r="AP136" s="384"/>
      <c r="AQ136" s="384"/>
      <c r="AR136" s="384"/>
      <c r="AS136" s="383"/>
      <c r="AT136" s="384"/>
      <c r="AU136" s="384"/>
      <c r="AV136" s="387"/>
      <c r="AW136" s="388"/>
      <c r="AX136" s="383"/>
      <c r="AY136" s="384"/>
      <c r="AZ136" s="384"/>
      <c r="BA136" s="385"/>
      <c r="BB136" s="383"/>
      <c r="BC136" s="384">
        <v>1</v>
      </c>
      <c r="BD136" s="384"/>
      <c r="BE136" s="385"/>
      <c r="BF136" s="386"/>
      <c r="BG136" s="384"/>
      <c r="BH136" s="384"/>
      <c r="BI136" s="384"/>
      <c r="BJ136" s="383"/>
      <c r="BK136" s="384"/>
      <c r="BL136" s="384"/>
      <c r="BM136" s="387"/>
      <c r="BN136" s="383"/>
      <c r="BO136" s="384"/>
      <c r="BP136" s="384"/>
      <c r="BQ136" s="385"/>
      <c r="BR136" s="383"/>
      <c r="BS136" s="384"/>
      <c r="BT136" s="384"/>
      <c r="BU136" s="387"/>
      <c r="BV136" s="383"/>
      <c r="BW136" s="384"/>
      <c r="BX136" s="384"/>
      <c r="BY136" s="385"/>
      <c r="BZ136" s="216">
        <f t="shared" si="6"/>
        <v>1</v>
      </c>
      <c r="CA136" s="216" t="str">
        <f t="shared" si="5"/>
        <v/>
      </c>
    </row>
    <row r="137" spans="3:79" ht="12">
      <c r="C137" s="217">
        <v>133</v>
      </c>
      <c r="D137" s="35" t="s">
        <v>1399</v>
      </c>
      <c r="E137" s="383"/>
      <c r="F137" s="384"/>
      <c r="G137" s="384"/>
      <c r="H137" s="385"/>
      <c r="I137" s="386"/>
      <c r="J137" s="384"/>
      <c r="K137" s="384"/>
      <c r="L137" s="384"/>
      <c r="M137" s="383"/>
      <c r="N137" s="384"/>
      <c r="O137" s="384"/>
      <c r="P137" s="387"/>
      <c r="Q137" s="383"/>
      <c r="R137" s="384"/>
      <c r="S137" s="384"/>
      <c r="T137" s="385"/>
      <c r="U137" s="383"/>
      <c r="V137" s="384"/>
      <c r="W137" s="384"/>
      <c r="X137" s="385"/>
      <c r="Y137" s="386"/>
      <c r="Z137" s="384"/>
      <c r="AA137" s="384"/>
      <c r="AB137" s="384"/>
      <c r="AC137" s="383"/>
      <c r="AD137" s="384"/>
      <c r="AE137" s="384"/>
      <c r="AF137" s="387"/>
      <c r="AG137" s="383"/>
      <c r="AH137" s="384"/>
      <c r="AI137" s="384"/>
      <c r="AJ137" s="387"/>
      <c r="AK137" s="383"/>
      <c r="AL137" s="384"/>
      <c r="AM137" s="384"/>
      <c r="AN137" s="385"/>
      <c r="AO137" s="386"/>
      <c r="AP137" s="384"/>
      <c r="AQ137" s="384"/>
      <c r="AR137" s="384"/>
      <c r="AS137" s="383"/>
      <c r="AT137" s="384"/>
      <c r="AU137" s="384"/>
      <c r="AV137" s="387"/>
      <c r="AW137" s="388"/>
      <c r="AX137" s="383"/>
      <c r="AY137" s="384"/>
      <c r="AZ137" s="384"/>
      <c r="BA137" s="385"/>
      <c r="BB137" s="383"/>
      <c r="BC137" s="384">
        <v>1</v>
      </c>
      <c r="BD137" s="384"/>
      <c r="BE137" s="385"/>
      <c r="BF137" s="386"/>
      <c r="BG137" s="384"/>
      <c r="BH137" s="384"/>
      <c r="BI137" s="384"/>
      <c r="BJ137" s="383"/>
      <c r="BK137" s="384"/>
      <c r="BL137" s="384"/>
      <c r="BM137" s="387"/>
      <c r="BN137" s="383"/>
      <c r="BO137" s="384"/>
      <c r="BP137" s="384"/>
      <c r="BQ137" s="385"/>
      <c r="BR137" s="383"/>
      <c r="BS137" s="384"/>
      <c r="BT137" s="384"/>
      <c r="BU137" s="387"/>
      <c r="BV137" s="383"/>
      <c r="BW137" s="384"/>
      <c r="BX137" s="384"/>
      <c r="BY137" s="385"/>
      <c r="BZ137" s="216">
        <f t="shared" si="6"/>
        <v>1</v>
      </c>
    </row>
    <row r="138" spans="3:79" ht="12">
      <c r="C138" s="217">
        <v>134</v>
      </c>
      <c r="D138" s="35" t="s">
        <v>1400</v>
      </c>
      <c r="E138" s="383"/>
      <c r="F138" s="384"/>
      <c r="G138" s="384"/>
      <c r="H138" s="385"/>
      <c r="I138" s="386"/>
      <c r="J138" s="384"/>
      <c r="K138" s="384"/>
      <c r="L138" s="384"/>
      <c r="M138" s="383"/>
      <c r="N138" s="384"/>
      <c r="O138" s="384"/>
      <c r="P138" s="387"/>
      <c r="Q138" s="383"/>
      <c r="R138" s="384"/>
      <c r="S138" s="384"/>
      <c r="T138" s="385"/>
      <c r="U138" s="383"/>
      <c r="V138" s="384"/>
      <c r="W138" s="384"/>
      <c r="X138" s="385"/>
      <c r="Y138" s="386"/>
      <c r="Z138" s="384"/>
      <c r="AA138" s="384"/>
      <c r="AB138" s="384"/>
      <c r="AC138" s="383"/>
      <c r="AD138" s="384"/>
      <c r="AE138" s="384"/>
      <c r="AF138" s="387"/>
      <c r="AG138" s="383"/>
      <c r="AH138" s="384"/>
      <c r="AI138" s="384"/>
      <c r="AJ138" s="387"/>
      <c r="AK138" s="383"/>
      <c r="AL138" s="384"/>
      <c r="AM138" s="384"/>
      <c r="AN138" s="385"/>
      <c r="AO138" s="386"/>
      <c r="AP138" s="384"/>
      <c r="AQ138" s="384"/>
      <c r="AR138" s="384"/>
      <c r="AS138" s="383"/>
      <c r="AT138" s="384"/>
      <c r="AU138" s="384"/>
      <c r="AV138" s="387"/>
      <c r="AW138" s="388"/>
      <c r="AX138" s="383"/>
      <c r="AY138" s="384">
        <v>1</v>
      </c>
      <c r="AZ138" s="384"/>
      <c r="BA138" s="385"/>
      <c r="BB138" s="383"/>
      <c r="BC138" s="384"/>
      <c r="BD138" s="384"/>
      <c r="BE138" s="385"/>
      <c r="BF138" s="386"/>
      <c r="BG138" s="384"/>
      <c r="BH138" s="384"/>
      <c r="BI138" s="384"/>
      <c r="BJ138" s="383"/>
      <c r="BK138" s="384"/>
      <c r="BL138" s="384"/>
      <c r="BM138" s="387"/>
      <c r="BN138" s="383"/>
      <c r="BO138" s="384"/>
      <c r="BP138" s="384"/>
      <c r="BQ138" s="385"/>
      <c r="BR138" s="383"/>
      <c r="BS138" s="384"/>
      <c r="BT138" s="384"/>
      <c r="BU138" s="387"/>
      <c r="BV138" s="383"/>
      <c r="BW138" s="384"/>
      <c r="BX138" s="384"/>
      <c r="BY138" s="385"/>
      <c r="BZ138" s="216">
        <f t="shared" si="6"/>
        <v>1</v>
      </c>
      <c r="CA138" s="216" t="str">
        <f t="shared" si="5"/>
        <v/>
      </c>
    </row>
    <row r="139" spans="3:79" ht="12">
      <c r="C139" s="217">
        <v>135</v>
      </c>
      <c r="D139" s="35" t="s">
        <v>1401</v>
      </c>
      <c r="E139" s="383"/>
      <c r="F139" s="384"/>
      <c r="G139" s="384"/>
      <c r="H139" s="385"/>
      <c r="I139" s="386"/>
      <c r="J139" s="384"/>
      <c r="K139" s="384"/>
      <c r="L139" s="384"/>
      <c r="M139" s="383"/>
      <c r="N139" s="384"/>
      <c r="O139" s="384"/>
      <c r="P139" s="387"/>
      <c r="Q139" s="383"/>
      <c r="R139" s="384"/>
      <c r="S139" s="384"/>
      <c r="T139" s="385"/>
      <c r="U139" s="383"/>
      <c r="V139" s="384"/>
      <c r="W139" s="384"/>
      <c r="X139" s="385"/>
      <c r="Y139" s="386"/>
      <c r="Z139" s="384"/>
      <c r="AA139" s="384"/>
      <c r="AB139" s="384"/>
      <c r="AC139" s="383"/>
      <c r="AD139" s="384"/>
      <c r="AE139" s="384"/>
      <c r="AF139" s="387"/>
      <c r="AG139" s="383"/>
      <c r="AH139" s="384"/>
      <c r="AI139" s="384"/>
      <c r="AJ139" s="387"/>
      <c r="AK139" s="383"/>
      <c r="AL139" s="384"/>
      <c r="AM139" s="384"/>
      <c r="AN139" s="385"/>
      <c r="AO139" s="386"/>
      <c r="AP139" s="384"/>
      <c r="AQ139" s="384"/>
      <c r="AR139" s="384"/>
      <c r="AS139" s="383"/>
      <c r="AT139" s="384"/>
      <c r="AU139" s="384"/>
      <c r="AV139" s="387"/>
      <c r="AW139" s="388"/>
      <c r="AX139" s="383"/>
      <c r="AY139" s="384">
        <v>1</v>
      </c>
      <c r="AZ139" s="384"/>
      <c r="BA139" s="385"/>
      <c r="BB139" s="383"/>
      <c r="BC139" s="384"/>
      <c r="BD139" s="384"/>
      <c r="BE139" s="385"/>
      <c r="BF139" s="386"/>
      <c r="BG139" s="384"/>
      <c r="BH139" s="384"/>
      <c r="BI139" s="384"/>
      <c r="BJ139" s="383"/>
      <c r="BK139" s="384"/>
      <c r="BL139" s="384"/>
      <c r="BM139" s="387"/>
      <c r="BN139" s="383"/>
      <c r="BO139" s="384"/>
      <c r="BP139" s="384"/>
      <c r="BQ139" s="385"/>
      <c r="BR139" s="383"/>
      <c r="BS139" s="384"/>
      <c r="BT139" s="384"/>
      <c r="BU139" s="387"/>
      <c r="BV139" s="383"/>
      <c r="BW139" s="384"/>
      <c r="BX139" s="384"/>
      <c r="BY139" s="385"/>
      <c r="BZ139" s="216">
        <f t="shared" si="6"/>
        <v>1</v>
      </c>
    </row>
    <row r="140" spans="3:79" ht="12">
      <c r="C140" s="217">
        <v>136</v>
      </c>
      <c r="D140" s="35" t="s">
        <v>1402</v>
      </c>
      <c r="E140" s="383"/>
      <c r="F140" s="384"/>
      <c r="G140" s="384"/>
      <c r="H140" s="385"/>
      <c r="I140" s="386"/>
      <c r="J140" s="384"/>
      <c r="K140" s="384"/>
      <c r="L140" s="384"/>
      <c r="M140" s="383"/>
      <c r="N140" s="384"/>
      <c r="O140" s="384"/>
      <c r="P140" s="387"/>
      <c r="Q140" s="383"/>
      <c r="R140" s="384"/>
      <c r="S140" s="384"/>
      <c r="T140" s="385"/>
      <c r="U140" s="383"/>
      <c r="V140" s="384"/>
      <c r="W140" s="384"/>
      <c r="X140" s="385"/>
      <c r="Y140" s="386"/>
      <c r="Z140" s="384"/>
      <c r="AA140" s="384"/>
      <c r="AB140" s="384"/>
      <c r="AC140" s="383"/>
      <c r="AD140" s="384"/>
      <c r="AE140" s="384"/>
      <c r="AF140" s="387"/>
      <c r="AG140" s="383"/>
      <c r="AH140" s="384"/>
      <c r="AI140" s="384"/>
      <c r="AJ140" s="387"/>
      <c r="AK140" s="383"/>
      <c r="AL140" s="384"/>
      <c r="AM140" s="384"/>
      <c r="AN140" s="385"/>
      <c r="AO140" s="386"/>
      <c r="AP140" s="384"/>
      <c r="AQ140" s="384"/>
      <c r="AR140" s="384"/>
      <c r="AS140" s="383"/>
      <c r="AT140" s="384"/>
      <c r="AU140" s="384"/>
      <c r="AV140" s="387"/>
      <c r="AW140" s="388"/>
      <c r="AX140" s="383"/>
      <c r="AY140" s="384">
        <v>1</v>
      </c>
      <c r="AZ140" s="384"/>
      <c r="BA140" s="385"/>
      <c r="BB140" s="383"/>
      <c r="BC140" s="384"/>
      <c r="BD140" s="384"/>
      <c r="BE140" s="385"/>
      <c r="BF140" s="386"/>
      <c r="BG140" s="384"/>
      <c r="BH140" s="384"/>
      <c r="BI140" s="384"/>
      <c r="BJ140" s="383"/>
      <c r="BK140" s="384"/>
      <c r="BL140" s="384"/>
      <c r="BM140" s="387"/>
      <c r="BN140" s="383"/>
      <c r="BO140" s="384"/>
      <c r="BP140" s="384"/>
      <c r="BQ140" s="385"/>
      <c r="BR140" s="383"/>
      <c r="BS140" s="384"/>
      <c r="BT140" s="384"/>
      <c r="BU140" s="387"/>
      <c r="BV140" s="383"/>
      <c r="BW140" s="384"/>
      <c r="BX140" s="384"/>
      <c r="BY140" s="385"/>
      <c r="BZ140" s="216">
        <f t="shared" si="6"/>
        <v>1</v>
      </c>
      <c r="CA140" s="216" t="str">
        <f t="shared" si="5"/>
        <v/>
      </c>
    </row>
    <row r="141" spans="3:79" ht="12">
      <c r="C141" s="217">
        <v>137</v>
      </c>
      <c r="D141" s="35" t="s">
        <v>1403</v>
      </c>
      <c r="E141" s="383"/>
      <c r="F141" s="384"/>
      <c r="G141" s="384"/>
      <c r="H141" s="385"/>
      <c r="I141" s="386"/>
      <c r="J141" s="384"/>
      <c r="K141" s="384"/>
      <c r="L141" s="384"/>
      <c r="M141" s="383"/>
      <c r="N141" s="384"/>
      <c r="O141" s="384"/>
      <c r="P141" s="387"/>
      <c r="Q141" s="383"/>
      <c r="R141" s="384"/>
      <c r="S141" s="384"/>
      <c r="T141" s="385"/>
      <c r="U141" s="383"/>
      <c r="V141" s="384"/>
      <c r="W141" s="384"/>
      <c r="X141" s="385"/>
      <c r="Y141" s="386"/>
      <c r="Z141" s="384"/>
      <c r="AA141" s="384"/>
      <c r="AB141" s="384"/>
      <c r="AC141" s="383"/>
      <c r="AD141" s="384"/>
      <c r="AE141" s="384"/>
      <c r="AF141" s="387"/>
      <c r="AG141" s="383"/>
      <c r="AH141" s="384"/>
      <c r="AI141" s="384"/>
      <c r="AJ141" s="387"/>
      <c r="AK141" s="383"/>
      <c r="AL141" s="384"/>
      <c r="AM141" s="384"/>
      <c r="AN141" s="385"/>
      <c r="AO141" s="386"/>
      <c r="AP141" s="384"/>
      <c r="AQ141" s="384"/>
      <c r="AR141" s="384"/>
      <c r="AS141" s="383"/>
      <c r="AT141" s="384"/>
      <c r="AU141" s="384"/>
      <c r="AV141" s="387"/>
      <c r="AW141" s="388"/>
      <c r="AX141" s="383"/>
      <c r="AY141" s="384">
        <v>1</v>
      </c>
      <c r="AZ141" s="384"/>
      <c r="BA141" s="385"/>
      <c r="BB141" s="383"/>
      <c r="BC141" s="384"/>
      <c r="BD141" s="384"/>
      <c r="BE141" s="385"/>
      <c r="BF141" s="386"/>
      <c r="BG141" s="384"/>
      <c r="BH141" s="384"/>
      <c r="BI141" s="384"/>
      <c r="BJ141" s="383"/>
      <c r="BK141" s="384"/>
      <c r="BL141" s="384"/>
      <c r="BM141" s="387"/>
      <c r="BN141" s="383"/>
      <c r="BO141" s="384"/>
      <c r="BP141" s="384"/>
      <c r="BQ141" s="385"/>
      <c r="BR141" s="383"/>
      <c r="BS141" s="384"/>
      <c r="BT141" s="384"/>
      <c r="BU141" s="387"/>
      <c r="BV141" s="383"/>
      <c r="BW141" s="384"/>
      <c r="BX141" s="384"/>
      <c r="BY141" s="385"/>
      <c r="BZ141" s="216">
        <f t="shared" si="6"/>
        <v>1</v>
      </c>
    </row>
    <row r="142" spans="3:79" ht="12">
      <c r="C142" s="217">
        <v>138</v>
      </c>
      <c r="D142" s="35" t="s">
        <v>1404</v>
      </c>
      <c r="E142" s="383"/>
      <c r="F142" s="384"/>
      <c r="G142" s="384"/>
      <c r="H142" s="385"/>
      <c r="I142" s="386"/>
      <c r="J142" s="384"/>
      <c r="K142" s="384"/>
      <c r="L142" s="384"/>
      <c r="M142" s="383"/>
      <c r="N142" s="384"/>
      <c r="O142" s="384"/>
      <c r="P142" s="387"/>
      <c r="Q142" s="383"/>
      <c r="R142" s="384"/>
      <c r="S142" s="384"/>
      <c r="T142" s="385"/>
      <c r="U142" s="383"/>
      <c r="V142" s="384"/>
      <c r="W142" s="384"/>
      <c r="X142" s="385"/>
      <c r="Y142" s="386"/>
      <c r="Z142" s="384"/>
      <c r="AA142" s="384"/>
      <c r="AB142" s="384"/>
      <c r="AC142" s="383"/>
      <c r="AD142" s="384"/>
      <c r="AE142" s="384"/>
      <c r="AF142" s="387"/>
      <c r="AG142" s="383"/>
      <c r="AH142" s="384"/>
      <c r="AI142" s="384"/>
      <c r="AJ142" s="387"/>
      <c r="AK142" s="383"/>
      <c r="AL142" s="384"/>
      <c r="AM142" s="384"/>
      <c r="AN142" s="385"/>
      <c r="AO142" s="386"/>
      <c r="AP142" s="384"/>
      <c r="AQ142" s="384"/>
      <c r="AR142" s="384"/>
      <c r="AS142" s="383"/>
      <c r="AT142" s="384"/>
      <c r="AU142" s="384"/>
      <c r="AV142" s="387"/>
      <c r="AW142" s="388"/>
      <c r="AX142" s="383"/>
      <c r="AY142" s="384">
        <v>1</v>
      </c>
      <c r="AZ142" s="384"/>
      <c r="BA142" s="385"/>
      <c r="BB142" s="383"/>
      <c r="BC142" s="384"/>
      <c r="BD142" s="384"/>
      <c r="BE142" s="385"/>
      <c r="BF142" s="386"/>
      <c r="BG142" s="384"/>
      <c r="BH142" s="384"/>
      <c r="BI142" s="384"/>
      <c r="BJ142" s="383"/>
      <c r="BK142" s="384"/>
      <c r="BL142" s="384"/>
      <c r="BM142" s="387"/>
      <c r="BN142" s="383"/>
      <c r="BO142" s="384"/>
      <c r="BP142" s="384"/>
      <c r="BQ142" s="385"/>
      <c r="BR142" s="383"/>
      <c r="BS142" s="384"/>
      <c r="BT142" s="384"/>
      <c r="BU142" s="387"/>
      <c r="BV142" s="383"/>
      <c r="BW142" s="384"/>
      <c r="BX142" s="384"/>
      <c r="BY142" s="385"/>
      <c r="BZ142" s="216">
        <f t="shared" si="6"/>
        <v>1</v>
      </c>
      <c r="CA142" s="216" t="str">
        <f t="shared" si="5"/>
        <v/>
      </c>
    </row>
    <row r="143" spans="3:79" ht="12">
      <c r="C143" s="217">
        <v>139</v>
      </c>
      <c r="D143" s="35" t="s">
        <v>1405</v>
      </c>
      <c r="E143" s="383"/>
      <c r="F143" s="384"/>
      <c r="G143" s="384"/>
      <c r="H143" s="385"/>
      <c r="I143" s="386"/>
      <c r="J143" s="384"/>
      <c r="K143" s="384"/>
      <c r="L143" s="384"/>
      <c r="M143" s="383"/>
      <c r="N143" s="384"/>
      <c r="O143" s="384"/>
      <c r="P143" s="387"/>
      <c r="Q143" s="383"/>
      <c r="R143" s="384"/>
      <c r="S143" s="384"/>
      <c r="T143" s="385"/>
      <c r="U143" s="383"/>
      <c r="V143" s="384"/>
      <c r="W143" s="384"/>
      <c r="X143" s="385"/>
      <c r="Y143" s="386"/>
      <c r="Z143" s="384"/>
      <c r="AA143" s="384"/>
      <c r="AB143" s="384"/>
      <c r="AC143" s="383"/>
      <c r="AD143" s="384"/>
      <c r="AE143" s="384"/>
      <c r="AF143" s="387"/>
      <c r="AG143" s="383"/>
      <c r="AH143" s="384"/>
      <c r="AI143" s="384"/>
      <c r="AJ143" s="387"/>
      <c r="AK143" s="383"/>
      <c r="AL143" s="384"/>
      <c r="AM143" s="384"/>
      <c r="AN143" s="385"/>
      <c r="AO143" s="386"/>
      <c r="AP143" s="384"/>
      <c r="AQ143" s="384"/>
      <c r="AR143" s="384"/>
      <c r="AS143" s="383"/>
      <c r="AT143" s="384"/>
      <c r="AU143" s="384"/>
      <c r="AV143" s="387"/>
      <c r="AW143" s="388"/>
      <c r="AX143" s="383"/>
      <c r="AY143" s="384">
        <v>1</v>
      </c>
      <c r="AZ143" s="384"/>
      <c r="BA143" s="385"/>
      <c r="BB143" s="383"/>
      <c r="BC143" s="384"/>
      <c r="BD143" s="384"/>
      <c r="BE143" s="385"/>
      <c r="BF143" s="386"/>
      <c r="BG143" s="384"/>
      <c r="BH143" s="384"/>
      <c r="BI143" s="384"/>
      <c r="BJ143" s="383"/>
      <c r="BK143" s="384"/>
      <c r="BL143" s="384"/>
      <c r="BM143" s="387"/>
      <c r="BN143" s="383"/>
      <c r="BO143" s="384"/>
      <c r="BP143" s="384"/>
      <c r="BQ143" s="385"/>
      <c r="BR143" s="383"/>
      <c r="BS143" s="384"/>
      <c r="BT143" s="384"/>
      <c r="BU143" s="387"/>
      <c r="BV143" s="383"/>
      <c r="BW143" s="384"/>
      <c r="BX143" s="384"/>
      <c r="BY143" s="385"/>
      <c r="BZ143" s="216">
        <f t="shared" si="6"/>
        <v>1</v>
      </c>
    </row>
    <row r="144" spans="3:79" ht="12">
      <c r="C144" s="217">
        <v>140</v>
      </c>
      <c r="D144" s="35" t="s">
        <v>1406</v>
      </c>
      <c r="E144" s="383"/>
      <c r="F144" s="384"/>
      <c r="G144" s="384"/>
      <c r="H144" s="385"/>
      <c r="I144" s="386"/>
      <c r="J144" s="384"/>
      <c r="K144" s="384"/>
      <c r="L144" s="384"/>
      <c r="M144" s="383"/>
      <c r="N144" s="384"/>
      <c r="O144" s="384"/>
      <c r="P144" s="387"/>
      <c r="Q144" s="383"/>
      <c r="R144" s="384"/>
      <c r="S144" s="384"/>
      <c r="T144" s="385"/>
      <c r="U144" s="383"/>
      <c r="V144" s="384"/>
      <c r="W144" s="384"/>
      <c r="X144" s="385"/>
      <c r="Y144" s="386"/>
      <c r="Z144" s="384"/>
      <c r="AA144" s="384"/>
      <c r="AB144" s="384"/>
      <c r="AC144" s="383"/>
      <c r="AD144" s="384"/>
      <c r="AE144" s="384"/>
      <c r="AF144" s="387"/>
      <c r="AG144" s="383"/>
      <c r="AH144" s="384"/>
      <c r="AI144" s="384"/>
      <c r="AJ144" s="387"/>
      <c r="AK144" s="383"/>
      <c r="AL144" s="384"/>
      <c r="AM144" s="384"/>
      <c r="AN144" s="385"/>
      <c r="AO144" s="386"/>
      <c r="AP144" s="384"/>
      <c r="AQ144" s="384"/>
      <c r="AR144" s="384"/>
      <c r="AS144" s="383"/>
      <c r="AT144" s="384"/>
      <c r="AU144" s="384"/>
      <c r="AV144" s="387"/>
      <c r="AW144" s="388"/>
      <c r="AX144" s="383"/>
      <c r="AY144" s="384">
        <v>1</v>
      </c>
      <c r="AZ144" s="384"/>
      <c r="BA144" s="385"/>
      <c r="BB144" s="383"/>
      <c r="BC144" s="384"/>
      <c r="BD144" s="384"/>
      <c r="BE144" s="385"/>
      <c r="BF144" s="386"/>
      <c r="BG144" s="384"/>
      <c r="BH144" s="384"/>
      <c r="BI144" s="384"/>
      <c r="BJ144" s="383"/>
      <c r="BK144" s="384"/>
      <c r="BL144" s="384"/>
      <c r="BM144" s="387"/>
      <c r="BN144" s="383"/>
      <c r="BO144" s="384"/>
      <c r="BP144" s="384"/>
      <c r="BQ144" s="385"/>
      <c r="BR144" s="383"/>
      <c r="BS144" s="384"/>
      <c r="BT144" s="384"/>
      <c r="BU144" s="387"/>
      <c r="BV144" s="383"/>
      <c r="BW144" s="384"/>
      <c r="BX144" s="384"/>
      <c r="BY144" s="385"/>
      <c r="BZ144" s="216">
        <f t="shared" si="6"/>
        <v>1</v>
      </c>
      <c r="CA144" s="216" t="str">
        <f t="shared" si="5"/>
        <v/>
      </c>
    </row>
    <row r="145" spans="3:79" ht="12">
      <c r="C145" s="217">
        <v>141</v>
      </c>
      <c r="D145" s="35" t="s">
        <v>1407</v>
      </c>
      <c r="E145" s="383"/>
      <c r="F145" s="384"/>
      <c r="G145" s="384"/>
      <c r="H145" s="385"/>
      <c r="I145" s="386"/>
      <c r="J145" s="384"/>
      <c r="K145" s="384"/>
      <c r="L145" s="384"/>
      <c r="M145" s="383"/>
      <c r="N145" s="384"/>
      <c r="O145" s="384"/>
      <c r="P145" s="387"/>
      <c r="Q145" s="383"/>
      <c r="R145" s="384"/>
      <c r="S145" s="384"/>
      <c r="T145" s="385"/>
      <c r="U145" s="383"/>
      <c r="V145" s="384"/>
      <c r="W145" s="384"/>
      <c r="X145" s="385"/>
      <c r="Y145" s="386"/>
      <c r="Z145" s="384"/>
      <c r="AA145" s="384"/>
      <c r="AB145" s="384"/>
      <c r="AC145" s="383"/>
      <c r="AD145" s="384"/>
      <c r="AE145" s="384"/>
      <c r="AF145" s="387"/>
      <c r="AG145" s="383"/>
      <c r="AH145" s="384"/>
      <c r="AI145" s="384"/>
      <c r="AJ145" s="387"/>
      <c r="AK145" s="383"/>
      <c r="AL145" s="384"/>
      <c r="AM145" s="384"/>
      <c r="AN145" s="385"/>
      <c r="AO145" s="386"/>
      <c r="AP145" s="384"/>
      <c r="AQ145" s="384"/>
      <c r="AR145" s="384"/>
      <c r="AS145" s="383"/>
      <c r="AT145" s="384"/>
      <c r="AU145" s="384"/>
      <c r="AV145" s="387"/>
      <c r="AW145" s="388"/>
      <c r="AX145" s="383"/>
      <c r="AY145" s="384">
        <v>1</v>
      </c>
      <c r="AZ145" s="384"/>
      <c r="BA145" s="385"/>
      <c r="BB145" s="383"/>
      <c r="BC145" s="384"/>
      <c r="BD145" s="384"/>
      <c r="BE145" s="385"/>
      <c r="BF145" s="386"/>
      <c r="BG145" s="384"/>
      <c r="BH145" s="384"/>
      <c r="BI145" s="384"/>
      <c r="BJ145" s="383"/>
      <c r="BK145" s="384"/>
      <c r="BL145" s="384"/>
      <c r="BM145" s="387"/>
      <c r="BN145" s="383"/>
      <c r="BO145" s="384"/>
      <c r="BP145" s="384"/>
      <c r="BQ145" s="385"/>
      <c r="BR145" s="383"/>
      <c r="BS145" s="384"/>
      <c r="BT145" s="384"/>
      <c r="BU145" s="387"/>
      <c r="BV145" s="383"/>
      <c r="BW145" s="384"/>
      <c r="BX145" s="384"/>
      <c r="BY145" s="385"/>
      <c r="BZ145" s="216">
        <f t="shared" si="6"/>
        <v>1</v>
      </c>
    </row>
    <row r="146" spans="3:79" ht="12">
      <c r="C146" s="217">
        <v>142</v>
      </c>
      <c r="D146" s="35" t="s">
        <v>1408</v>
      </c>
      <c r="E146" s="383"/>
      <c r="F146" s="384"/>
      <c r="G146" s="384"/>
      <c r="H146" s="385"/>
      <c r="I146" s="386"/>
      <c r="J146" s="384"/>
      <c r="K146" s="384"/>
      <c r="L146" s="384"/>
      <c r="M146" s="383"/>
      <c r="N146" s="384"/>
      <c r="O146" s="384"/>
      <c r="P146" s="387"/>
      <c r="Q146" s="383"/>
      <c r="R146" s="384"/>
      <c r="S146" s="384"/>
      <c r="T146" s="385"/>
      <c r="U146" s="383"/>
      <c r="V146" s="384"/>
      <c r="W146" s="384"/>
      <c r="X146" s="385"/>
      <c r="Y146" s="386"/>
      <c r="Z146" s="384"/>
      <c r="AA146" s="384"/>
      <c r="AB146" s="384"/>
      <c r="AC146" s="383"/>
      <c r="AD146" s="384"/>
      <c r="AE146" s="384"/>
      <c r="AF146" s="387"/>
      <c r="AG146" s="383"/>
      <c r="AH146" s="384"/>
      <c r="AI146" s="384"/>
      <c r="AJ146" s="387"/>
      <c r="AK146" s="383"/>
      <c r="AL146" s="384"/>
      <c r="AM146" s="384"/>
      <c r="AN146" s="385"/>
      <c r="AO146" s="386"/>
      <c r="AP146" s="384"/>
      <c r="AQ146" s="384"/>
      <c r="AR146" s="384"/>
      <c r="AS146" s="383"/>
      <c r="AT146" s="384"/>
      <c r="AU146" s="384"/>
      <c r="AV146" s="387"/>
      <c r="AW146" s="388"/>
      <c r="AX146" s="383"/>
      <c r="AY146" s="384">
        <v>1</v>
      </c>
      <c r="AZ146" s="384"/>
      <c r="BA146" s="385"/>
      <c r="BB146" s="383"/>
      <c r="BC146" s="384"/>
      <c r="BD146" s="384"/>
      <c r="BE146" s="385"/>
      <c r="BF146" s="386"/>
      <c r="BG146" s="384"/>
      <c r="BH146" s="384"/>
      <c r="BI146" s="384"/>
      <c r="BJ146" s="383"/>
      <c r="BK146" s="384"/>
      <c r="BL146" s="384"/>
      <c r="BM146" s="387"/>
      <c r="BN146" s="383"/>
      <c r="BO146" s="384"/>
      <c r="BP146" s="384"/>
      <c r="BQ146" s="385"/>
      <c r="BR146" s="383"/>
      <c r="BS146" s="384"/>
      <c r="BT146" s="384"/>
      <c r="BU146" s="387"/>
      <c r="BV146" s="383"/>
      <c r="BW146" s="384"/>
      <c r="BX146" s="384"/>
      <c r="BY146" s="385"/>
      <c r="BZ146" s="216">
        <f t="shared" si="6"/>
        <v>1</v>
      </c>
      <c r="CA146" s="216" t="str">
        <f t="shared" si="5"/>
        <v/>
      </c>
    </row>
    <row r="147" spans="3:79" ht="12">
      <c r="C147" s="217">
        <v>143</v>
      </c>
      <c r="D147" s="35" t="s">
        <v>1409</v>
      </c>
      <c r="E147" s="383"/>
      <c r="F147" s="384"/>
      <c r="G147" s="384"/>
      <c r="H147" s="385"/>
      <c r="I147" s="386"/>
      <c r="J147" s="384"/>
      <c r="K147" s="384"/>
      <c r="L147" s="384"/>
      <c r="M147" s="383"/>
      <c r="N147" s="384"/>
      <c r="O147" s="384"/>
      <c r="P147" s="387"/>
      <c r="Q147" s="383"/>
      <c r="R147" s="384"/>
      <c r="S147" s="384"/>
      <c r="T147" s="385"/>
      <c r="U147" s="383"/>
      <c r="V147" s="384"/>
      <c r="W147" s="384"/>
      <c r="X147" s="385"/>
      <c r="Y147" s="386"/>
      <c r="Z147" s="384"/>
      <c r="AA147" s="384"/>
      <c r="AB147" s="384"/>
      <c r="AC147" s="383"/>
      <c r="AD147" s="384"/>
      <c r="AE147" s="384"/>
      <c r="AF147" s="387"/>
      <c r="AG147" s="383"/>
      <c r="AH147" s="384"/>
      <c r="AI147" s="384"/>
      <c r="AJ147" s="387"/>
      <c r="AK147" s="383"/>
      <c r="AL147" s="384"/>
      <c r="AM147" s="384"/>
      <c r="AN147" s="385"/>
      <c r="AO147" s="386"/>
      <c r="AP147" s="384"/>
      <c r="AQ147" s="384"/>
      <c r="AR147" s="384"/>
      <c r="AS147" s="383"/>
      <c r="AT147" s="384"/>
      <c r="AU147" s="384"/>
      <c r="AV147" s="387"/>
      <c r="AW147" s="388"/>
      <c r="AX147" s="383"/>
      <c r="AY147" s="384">
        <v>1</v>
      </c>
      <c r="AZ147" s="384"/>
      <c r="BA147" s="385"/>
      <c r="BB147" s="383"/>
      <c r="BC147" s="384"/>
      <c r="BD147" s="384"/>
      <c r="BE147" s="385"/>
      <c r="BF147" s="386"/>
      <c r="BG147" s="384"/>
      <c r="BH147" s="384"/>
      <c r="BI147" s="384"/>
      <c r="BJ147" s="383"/>
      <c r="BK147" s="384"/>
      <c r="BL147" s="384"/>
      <c r="BM147" s="387"/>
      <c r="BN147" s="383"/>
      <c r="BO147" s="384"/>
      <c r="BP147" s="384"/>
      <c r="BQ147" s="385"/>
      <c r="BR147" s="383"/>
      <c r="BS147" s="384"/>
      <c r="BT147" s="384"/>
      <c r="BU147" s="387"/>
      <c r="BV147" s="383"/>
      <c r="BW147" s="384"/>
      <c r="BX147" s="384"/>
      <c r="BY147" s="385"/>
      <c r="BZ147" s="216">
        <f t="shared" si="6"/>
        <v>1</v>
      </c>
    </row>
    <row r="148" spans="3:79" ht="12">
      <c r="C148" s="217">
        <v>144</v>
      </c>
      <c r="D148" s="35" t="s">
        <v>1410</v>
      </c>
      <c r="E148" s="383"/>
      <c r="F148" s="384"/>
      <c r="G148" s="384"/>
      <c r="H148" s="385"/>
      <c r="I148" s="386"/>
      <c r="J148" s="384"/>
      <c r="K148" s="384"/>
      <c r="L148" s="384"/>
      <c r="M148" s="383"/>
      <c r="N148" s="384"/>
      <c r="O148" s="384"/>
      <c r="P148" s="387"/>
      <c r="Q148" s="383"/>
      <c r="R148" s="384"/>
      <c r="S148" s="384"/>
      <c r="T148" s="385"/>
      <c r="U148" s="383"/>
      <c r="V148" s="384"/>
      <c r="W148" s="384"/>
      <c r="X148" s="385"/>
      <c r="Y148" s="386"/>
      <c r="Z148" s="384"/>
      <c r="AA148" s="384"/>
      <c r="AB148" s="384"/>
      <c r="AC148" s="383"/>
      <c r="AD148" s="384"/>
      <c r="AE148" s="384"/>
      <c r="AF148" s="387"/>
      <c r="AG148" s="383"/>
      <c r="AH148" s="384"/>
      <c r="AI148" s="384"/>
      <c r="AJ148" s="387"/>
      <c r="AK148" s="383"/>
      <c r="AL148" s="384"/>
      <c r="AM148" s="384"/>
      <c r="AN148" s="385"/>
      <c r="AO148" s="386"/>
      <c r="AP148" s="384"/>
      <c r="AQ148" s="384"/>
      <c r="AR148" s="384"/>
      <c r="AS148" s="383"/>
      <c r="AT148" s="384"/>
      <c r="AU148" s="384"/>
      <c r="AV148" s="387"/>
      <c r="AW148" s="388"/>
      <c r="AX148" s="383"/>
      <c r="AY148" s="384">
        <v>1</v>
      </c>
      <c r="AZ148" s="384"/>
      <c r="BA148" s="385"/>
      <c r="BB148" s="383"/>
      <c r="BC148" s="384"/>
      <c r="BD148" s="384"/>
      <c r="BE148" s="385"/>
      <c r="BF148" s="386"/>
      <c r="BG148" s="384"/>
      <c r="BH148" s="384"/>
      <c r="BI148" s="384"/>
      <c r="BJ148" s="383"/>
      <c r="BK148" s="384"/>
      <c r="BL148" s="384"/>
      <c r="BM148" s="387"/>
      <c r="BN148" s="383"/>
      <c r="BO148" s="384"/>
      <c r="BP148" s="384"/>
      <c r="BQ148" s="385"/>
      <c r="BR148" s="383"/>
      <c r="BS148" s="384"/>
      <c r="BT148" s="384"/>
      <c r="BU148" s="387"/>
      <c r="BV148" s="383"/>
      <c r="BW148" s="384"/>
      <c r="BX148" s="384"/>
      <c r="BY148" s="385"/>
      <c r="BZ148" s="216">
        <f t="shared" si="6"/>
        <v>1</v>
      </c>
      <c r="CA148" s="216" t="str">
        <f t="shared" si="5"/>
        <v/>
      </c>
    </row>
    <row r="149" spans="3:79" ht="12">
      <c r="C149" s="217">
        <v>145</v>
      </c>
      <c r="D149" s="35" t="s">
        <v>1411</v>
      </c>
      <c r="E149" s="383"/>
      <c r="F149" s="384"/>
      <c r="G149" s="384"/>
      <c r="H149" s="385"/>
      <c r="I149" s="386"/>
      <c r="J149" s="384"/>
      <c r="K149" s="384"/>
      <c r="L149" s="384"/>
      <c r="M149" s="383"/>
      <c r="N149" s="384"/>
      <c r="O149" s="384"/>
      <c r="P149" s="387"/>
      <c r="Q149" s="383"/>
      <c r="R149" s="384"/>
      <c r="S149" s="384"/>
      <c r="T149" s="385"/>
      <c r="U149" s="383"/>
      <c r="V149" s="384"/>
      <c r="W149" s="384"/>
      <c r="X149" s="385"/>
      <c r="Y149" s="386"/>
      <c r="Z149" s="384"/>
      <c r="AA149" s="384"/>
      <c r="AB149" s="384"/>
      <c r="AC149" s="383"/>
      <c r="AD149" s="384"/>
      <c r="AE149" s="384"/>
      <c r="AF149" s="387"/>
      <c r="AG149" s="383"/>
      <c r="AH149" s="384"/>
      <c r="AI149" s="384"/>
      <c r="AJ149" s="387"/>
      <c r="AK149" s="383"/>
      <c r="AL149" s="384"/>
      <c r="AM149" s="384"/>
      <c r="AN149" s="385"/>
      <c r="AO149" s="386"/>
      <c r="AP149" s="384"/>
      <c r="AQ149" s="384"/>
      <c r="AR149" s="384"/>
      <c r="AS149" s="383"/>
      <c r="AT149" s="384"/>
      <c r="AU149" s="384"/>
      <c r="AV149" s="387"/>
      <c r="AW149" s="388"/>
      <c r="AX149" s="383"/>
      <c r="AY149" s="384">
        <v>1</v>
      </c>
      <c r="AZ149" s="384"/>
      <c r="BA149" s="385"/>
      <c r="BB149" s="383"/>
      <c r="BC149" s="384"/>
      <c r="BD149" s="384"/>
      <c r="BE149" s="385"/>
      <c r="BF149" s="386"/>
      <c r="BG149" s="384"/>
      <c r="BH149" s="384"/>
      <c r="BI149" s="384"/>
      <c r="BJ149" s="383"/>
      <c r="BK149" s="384"/>
      <c r="BL149" s="384"/>
      <c r="BM149" s="387"/>
      <c r="BN149" s="383"/>
      <c r="BO149" s="384"/>
      <c r="BP149" s="384"/>
      <c r="BQ149" s="385"/>
      <c r="BR149" s="383"/>
      <c r="BS149" s="384"/>
      <c r="BT149" s="384"/>
      <c r="BU149" s="387"/>
      <c r="BV149" s="383"/>
      <c r="BW149" s="384"/>
      <c r="BX149" s="384"/>
      <c r="BY149" s="385"/>
      <c r="BZ149" s="216">
        <f t="shared" si="6"/>
        <v>1</v>
      </c>
    </row>
    <row r="150" spans="3:79" ht="12">
      <c r="C150" s="217">
        <v>146</v>
      </c>
      <c r="D150" s="35" t="s">
        <v>1412</v>
      </c>
      <c r="E150" s="383"/>
      <c r="F150" s="384"/>
      <c r="G150" s="384"/>
      <c r="H150" s="385"/>
      <c r="I150" s="386"/>
      <c r="J150" s="384"/>
      <c r="K150" s="384"/>
      <c r="L150" s="384"/>
      <c r="M150" s="383"/>
      <c r="N150" s="384"/>
      <c r="O150" s="384"/>
      <c r="P150" s="387"/>
      <c r="Q150" s="383"/>
      <c r="R150" s="384"/>
      <c r="S150" s="384"/>
      <c r="T150" s="385"/>
      <c r="U150" s="383"/>
      <c r="V150" s="384"/>
      <c r="W150" s="384"/>
      <c r="X150" s="385"/>
      <c r="Y150" s="386"/>
      <c r="Z150" s="384"/>
      <c r="AA150" s="384"/>
      <c r="AB150" s="384"/>
      <c r="AC150" s="383"/>
      <c r="AD150" s="384"/>
      <c r="AE150" s="384"/>
      <c r="AF150" s="387"/>
      <c r="AG150" s="383"/>
      <c r="AH150" s="384"/>
      <c r="AI150" s="384"/>
      <c r="AJ150" s="387"/>
      <c r="AK150" s="383"/>
      <c r="AL150" s="384"/>
      <c r="AM150" s="384"/>
      <c r="AN150" s="385"/>
      <c r="AO150" s="386"/>
      <c r="AP150" s="384"/>
      <c r="AQ150" s="384"/>
      <c r="AR150" s="384"/>
      <c r="AS150" s="383"/>
      <c r="AT150" s="384">
        <v>1</v>
      </c>
      <c r="AU150" s="384"/>
      <c r="AV150" s="387"/>
      <c r="AW150" s="388"/>
      <c r="AX150" s="383"/>
      <c r="AY150" s="384"/>
      <c r="AZ150" s="384"/>
      <c r="BA150" s="385"/>
      <c r="BB150" s="383"/>
      <c r="BC150" s="384"/>
      <c r="BD150" s="384"/>
      <c r="BE150" s="385"/>
      <c r="BF150" s="386"/>
      <c r="BG150" s="384"/>
      <c r="BH150" s="384"/>
      <c r="BI150" s="384"/>
      <c r="BJ150" s="383"/>
      <c r="BK150" s="384"/>
      <c r="BL150" s="384"/>
      <c r="BM150" s="387"/>
      <c r="BN150" s="383"/>
      <c r="BO150" s="384"/>
      <c r="BP150" s="384"/>
      <c r="BQ150" s="385"/>
      <c r="BR150" s="383"/>
      <c r="BS150" s="384"/>
      <c r="BT150" s="384"/>
      <c r="BU150" s="387"/>
      <c r="BV150" s="383"/>
      <c r="BW150" s="384"/>
      <c r="BX150" s="384"/>
      <c r="BY150" s="385"/>
      <c r="BZ150" s="216">
        <f t="shared" si="6"/>
        <v>1</v>
      </c>
    </row>
    <row r="151" spans="3:79" ht="12">
      <c r="C151" s="217">
        <v>147</v>
      </c>
      <c r="D151" s="35" t="s">
        <v>1413</v>
      </c>
      <c r="E151" s="383"/>
      <c r="F151" s="384"/>
      <c r="G151" s="384"/>
      <c r="H151" s="385"/>
      <c r="I151" s="386"/>
      <c r="J151" s="384"/>
      <c r="K151" s="384"/>
      <c r="L151" s="384"/>
      <c r="M151" s="383"/>
      <c r="N151" s="384"/>
      <c r="O151" s="384"/>
      <c r="P151" s="387"/>
      <c r="Q151" s="383"/>
      <c r="R151" s="384"/>
      <c r="S151" s="384"/>
      <c r="T151" s="385"/>
      <c r="U151" s="383"/>
      <c r="V151" s="384"/>
      <c r="W151" s="384"/>
      <c r="X151" s="385"/>
      <c r="Y151" s="386"/>
      <c r="Z151" s="384"/>
      <c r="AA151" s="384"/>
      <c r="AB151" s="384"/>
      <c r="AC151" s="383"/>
      <c r="AD151" s="384"/>
      <c r="AE151" s="384"/>
      <c r="AF151" s="387"/>
      <c r="AG151" s="383"/>
      <c r="AH151" s="384"/>
      <c r="AI151" s="384"/>
      <c r="AJ151" s="387"/>
      <c r="AK151" s="383"/>
      <c r="AL151" s="384"/>
      <c r="AM151" s="384"/>
      <c r="AN151" s="385"/>
      <c r="AO151" s="386"/>
      <c r="AP151" s="384"/>
      <c r="AQ151" s="384"/>
      <c r="AR151" s="384"/>
      <c r="AS151" s="383"/>
      <c r="AT151" s="384">
        <v>1</v>
      </c>
      <c r="AU151" s="384"/>
      <c r="AV151" s="387"/>
      <c r="AW151" s="388"/>
      <c r="AX151" s="383"/>
      <c r="AY151" s="384"/>
      <c r="AZ151" s="384"/>
      <c r="BA151" s="385"/>
      <c r="BB151" s="383"/>
      <c r="BC151" s="384"/>
      <c r="BD151" s="384"/>
      <c r="BE151" s="385"/>
      <c r="BF151" s="386"/>
      <c r="BG151" s="384"/>
      <c r="BH151" s="384"/>
      <c r="BI151" s="384"/>
      <c r="BJ151" s="383"/>
      <c r="BK151" s="384"/>
      <c r="BL151" s="384"/>
      <c r="BM151" s="387"/>
      <c r="BN151" s="383"/>
      <c r="BO151" s="384"/>
      <c r="BP151" s="384"/>
      <c r="BQ151" s="385"/>
      <c r="BR151" s="383"/>
      <c r="BS151" s="384"/>
      <c r="BT151" s="384"/>
      <c r="BU151" s="387"/>
      <c r="BV151" s="383"/>
      <c r="BW151" s="384"/>
      <c r="BX151" s="384"/>
      <c r="BY151" s="385"/>
      <c r="BZ151" s="216">
        <f t="shared" si="6"/>
        <v>1</v>
      </c>
      <c r="CA151" s="216" t="str">
        <f t="shared" si="5"/>
        <v/>
      </c>
    </row>
    <row r="152" spans="3:79" ht="12">
      <c r="C152" s="217">
        <v>148</v>
      </c>
      <c r="D152" s="35" t="s">
        <v>1414</v>
      </c>
      <c r="E152" s="383"/>
      <c r="F152" s="384"/>
      <c r="G152" s="384"/>
      <c r="H152" s="385"/>
      <c r="I152" s="386"/>
      <c r="J152" s="384"/>
      <c r="K152" s="384"/>
      <c r="L152" s="384"/>
      <c r="M152" s="383"/>
      <c r="N152" s="384"/>
      <c r="O152" s="384"/>
      <c r="P152" s="387"/>
      <c r="Q152" s="383"/>
      <c r="R152" s="384"/>
      <c r="S152" s="384"/>
      <c r="T152" s="385"/>
      <c r="U152" s="383"/>
      <c r="V152" s="384"/>
      <c r="W152" s="384"/>
      <c r="X152" s="385"/>
      <c r="Y152" s="386"/>
      <c r="Z152" s="384"/>
      <c r="AA152" s="384"/>
      <c r="AB152" s="384"/>
      <c r="AC152" s="383"/>
      <c r="AD152" s="384"/>
      <c r="AE152" s="384"/>
      <c r="AF152" s="387"/>
      <c r="AG152" s="383"/>
      <c r="AH152" s="384"/>
      <c r="AI152" s="384"/>
      <c r="AJ152" s="387"/>
      <c r="AK152" s="383"/>
      <c r="AL152" s="384"/>
      <c r="AM152" s="384"/>
      <c r="AN152" s="385"/>
      <c r="AO152" s="386"/>
      <c r="AP152" s="384"/>
      <c r="AQ152" s="384"/>
      <c r="AR152" s="384"/>
      <c r="AS152" s="383"/>
      <c r="AT152" s="384">
        <v>1</v>
      </c>
      <c r="AU152" s="384"/>
      <c r="AV152" s="387"/>
      <c r="AW152" s="388"/>
      <c r="AX152" s="383"/>
      <c r="AY152" s="384"/>
      <c r="AZ152" s="384"/>
      <c r="BA152" s="385"/>
      <c r="BB152" s="383"/>
      <c r="BC152" s="384"/>
      <c r="BD152" s="384"/>
      <c r="BE152" s="385"/>
      <c r="BF152" s="386"/>
      <c r="BG152" s="384"/>
      <c r="BH152" s="384"/>
      <c r="BI152" s="384"/>
      <c r="BJ152" s="383"/>
      <c r="BK152" s="384"/>
      <c r="BL152" s="384"/>
      <c r="BM152" s="387"/>
      <c r="BN152" s="383"/>
      <c r="BO152" s="384"/>
      <c r="BP152" s="384"/>
      <c r="BQ152" s="385"/>
      <c r="BR152" s="383"/>
      <c r="BS152" s="384"/>
      <c r="BT152" s="384"/>
      <c r="BU152" s="387"/>
      <c r="BV152" s="383"/>
      <c r="BW152" s="384"/>
      <c r="BX152" s="384"/>
      <c r="BY152" s="385"/>
      <c r="BZ152" s="216">
        <f t="shared" si="6"/>
        <v>1</v>
      </c>
    </row>
    <row r="153" spans="3:79" ht="12">
      <c r="C153" s="217">
        <v>149</v>
      </c>
      <c r="D153" s="35" t="s">
        <v>1415</v>
      </c>
      <c r="E153" s="383"/>
      <c r="F153" s="384"/>
      <c r="G153" s="384"/>
      <c r="H153" s="385"/>
      <c r="I153" s="386"/>
      <c r="J153" s="384"/>
      <c r="K153" s="384"/>
      <c r="L153" s="384"/>
      <c r="M153" s="383"/>
      <c r="N153" s="384"/>
      <c r="O153" s="384"/>
      <c r="P153" s="387"/>
      <c r="Q153" s="383"/>
      <c r="R153" s="384"/>
      <c r="S153" s="384"/>
      <c r="T153" s="385"/>
      <c r="U153" s="383"/>
      <c r="V153" s="384"/>
      <c r="W153" s="384"/>
      <c r="X153" s="385"/>
      <c r="Y153" s="386"/>
      <c r="Z153" s="384"/>
      <c r="AA153" s="384"/>
      <c r="AB153" s="384"/>
      <c r="AC153" s="383"/>
      <c r="AD153" s="384"/>
      <c r="AE153" s="384"/>
      <c r="AF153" s="387"/>
      <c r="AG153" s="383"/>
      <c r="AH153" s="384"/>
      <c r="AI153" s="384"/>
      <c r="AJ153" s="387"/>
      <c r="AK153" s="383"/>
      <c r="AL153" s="384"/>
      <c r="AM153" s="384"/>
      <c r="AN153" s="385"/>
      <c r="AO153" s="386"/>
      <c r="AP153" s="384"/>
      <c r="AQ153" s="384"/>
      <c r="AR153" s="384"/>
      <c r="AS153" s="383"/>
      <c r="AT153" s="384">
        <v>1</v>
      </c>
      <c r="AU153" s="384"/>
      <c r="AV153" s="387"/>
      <c r="AW153" s="388"/>
      <c r="AX153" s="383"/>
      <c r="AY153" s="384"/>
      <c r="AZ153" s="384"/>
      <c r="BA153" s="385"/>
      <c r="BB153" s="383"/>
      <c r="BC153" s="384"/>
      <c r="BD153" s="384"/>
      <c r="BE153" s="385"/>
      <c r="BF153" s="386"/>
      <c r="BG153" s="384"/>
      <c r="BH153" s="384"/>
      <c r="BI153" s="384"/>
      <c r="BJ153" s="383"/>
      <c r="BK153" s="384"/>
      <c r="BL153" s="384"/>
      <c r="BM153" s="387"/>
      <c r="BN153" s="383"/>
      <c r="BO153" s="384"/>
      <c r="BP153" s="384"/>
      <c r="BQ153" s="385"/>
      <c r="BR153" s="383"/>
      <c r="BS153" s="384"/>
      <c r="BT153" s="384"/>
      <c r="BU153" s="387"/>
      <c r="BV153" s="383"/>
      <c r="BW153" s="384"/>
      <c r="BX153" s="384"/>
      <c r="BY153" s="385"/>
      <c r="BZ153" s="216">
        <f t="shared" si="6"/>
        <v>1</v>
      </c>
      <c r="CA153" s="216" t="str">
        <f t="shared" si="5"/>
        <v/>
      </c>
    </row>
    <row r="154" spans="3:79" ht="12">
      <c r="C154" s="217">
        <v>150</v>
      </c>
      <c r="D154" s="35" t="s">
        <v>1416</v>
      </c>
      <c r="E154" s="383"/>
      <c r="F154" s="384"/>
      <c r="G154" s="384"/>
      <c r="H154" s="385"/>
      <c r="I154" s="386"/>
      <c r="J154" s="384"/>
      <c r="K154" s="384"/>
      <c r="L154" s="384"/>
      <c r="M154" s="383"/>
      <c r="N154" s="384"/>
      <c r="O154" s="384"/>
      <c r="P154" s="387"/>
      <c r="Q154" s="383"/>
      <c r="R154" s="384"/>
      <c r="S154" s="384"/>
      <c r="T154" s="385"/>
      <c r="U154" s="383"/>
      <c r="V154" s="384"/>
      <c r="W154" s="384"/>
      <c r="X154" s="385"/>
      <c r="Y154" s="386"/>
      <c r="Z154" s="384"/>
      <c r="AA154" s="384"/>
      <c r="AB154" s="384"/>
      <c r="AC154" s="383"/>
      <c r="AD154" s="384"/>
      <c r="AE154" s="384"/>
      <c r="AF154" s="387"/>
      <c r="AG154" s="383"/>
      <c r="AH154" s="384"/>
      <c r="AI154" s="384"/>
      <c r="AJ154" s="387"/>
      <c r="AK154" s="383"/>
      <c r="AL154" s="384"/>
      <c r="AM154" s="384"/>
      <c r="AN154" s="385"/>
      <c r="AO154" s="386"/>
      <c r="AP154" s="384"/>
      <c r="AQ154" s="384"/>
      <c r="AR154" s="384"/>
      <c r="AS154" s="383"/>
      <c r="AT154" s="384">
        <v>1</v>
      </c>
      <c r="AU154" s="384"/>
      <c r="AV154" s="387"/>
      <c r="AW154" s="388"/>
      <c r="AX154" s="383"/>
      <c r="AY154" s="384"/>
      <c r="AZ154" s="384"/>
      <c r="BA154" s="385"/>
      <c r="BB154" s="383"/>
      <c r="BC154" s="384"/>
      <c r="BD154" s="384"/>
      <c r="BE154" s="385"/>
      <c r="BF154" s="386"/>
      <c r="BG154" s="384"/>
      <c r="BH154" s="384"/>
      <c r="BI154" s="384"/>
      <c r="BJ154" s="383"/>
      <c r="BK154" s="384"/>
      <c r="BL154" s="384"/>
      <c r="BM154" s="387"/>
      <c r="BN154" s="383"/>
      <c r="BO154" s="384"/>
      <c r="BP154" s="384"/>
      <c r="BQ154" s="385"/>
      <c r="BR154" s="383"/>
      <c r="BS154" s="384"/>
      <c r="BT154" s="384"/>
      <c r="BU154" s="387"/>
      <c r="BV154" s="383"/>
      <c r="BW154" s="384"/>
      <c r="BX154" s="384"/>
      <c r="BY154" s="385"/>
      <c r="BZ154" s="216">
        <f t="shared" si="6"/>
        <v>1</v>
      </c>
    </row>
    <row r="155" spans="3:79" ht="12">
      <c r="C155" s="217">
        <v>151</v>
      </c>
      <c r="D155" s="35" t="s">
        <v>1417</v>
      </c>
      <c r="E155" s="383"/>
      <c r="F155" s="384"/>
      <c r="G155" s="384"/>
      <c r="H155" s="385"/>
      <c r="I155" s="386"/>
      <c r="J155" s="384"/>
      <c r="K155" s="384"/>
      <c r="L155" s="384"/>
      <c r="M155" s="383"/>
      <c r="N155" s="384"/>
      <c r="O155" s="384"/>
      <c r="P155" s="387"/>
      <c r="Q155" s="383"/>
      <c r="R155" s="384"/>
      <c r="S155" s="384"/>
      <c r="T155" s="385"/>
      <c r="U155" s="383"/>
      <c r="V155" s="384"/>
      <c r="W155" s="384"/>
      <c r="X155" s="385"/>
      <c r="Y155" s="386"/>
      <c r="Z155" s="384"/>
      <c r="AA155" s="384"/>
      <c r="AB155" s="384"/>
      <c r="AC155" s="383"/>
      <c r="AD155" s="384"/>
      <c r="AE155" s="384"/>
      <c r="AF155" s="387"/>
      <c r="AG155" s="383"/>
      <c r="AH155" s="384"/>
      <c r="AI155" s="384"/>
      <c r="AJ155" s="387"/>
      <c r="AK155" s="383"/>
      <c r="AL155" s="384"/>
      <c r="AM155" s="384"/>
      <c r="AN155" s="385"/>
      <c r="AO155" s="386"/>
      <c r="AP155" s="384"/>
      <c r="AQ155" s="384"/>
      <c r="AR155" s="384"/>
      <c r="AS155" s="383"/>
      <c r="AT155" s="384">
        <v>1</v>
      </c>
      <c r="AU155" s="384"/>
      <c r="AV155" s="387"/>
      <c r="AW155" s="388"/>
      <c r="AX155" s="383"/>
      <c r="AY155" s="384"/>
      <c r="AZ155" s="384"/>
      <c r="BA155" s="385"/>
      <c r="BB155" s="383"/>
      <c r="BC155" s="384"/>
      <c r="BD155" s="384"/>
      <c r="BE155" s="385"/>
      <c r="BF155" s="386"/>
      <c r="BG155" s="384"/>
      <c r="BH155" s="384"/>
      <c r="BI155" s="384"/>
      <c r="BJ155" s="383"/>
      <c r="BK155" s="384"/>
      <c r="BL155" s="384"/>
      <c r="BM155" s="387"/>
      <c r="BN155" s="383"/>
      <c r="BO155" s="384"/>
      <c r="BP155" s="384"/>
      <c r="BQ155" s="385"/>
      <c r="BR155" s="383"/>
      <c r="BS155" s="384"/>
      <c r="BT155" s="384"/>
      <c r="BU155" s="387"/>
      <c r="BV155" s="383"/>
      <c r="BW155" s="384"/>
      <c r="BX155" s="384"/>
      <c r="BY155" s="385"/>
      <c r="BZ155" s="216">
        <f t="shared" si="6"/>
        <v>1</v>
      </c>
      <c r="CA155" s="216" t="str">
        <f t="shared" si="5"/>
        <v/>
      </c>
    </row>
    <row r="156" spans="3:79" ht="12">
      <c r="C156" s="217">
        <v>152</v>
      </c>
      <c r="D156" s="35" t="s">
        <v>1418</v>
      </c>
      <c r="E156" s="383"/>
      <c r="F156" s="384"/>
      <c r="G156" s="384"/>
      <c r="H156" s="385"/>
      <c r="I156" s="386"/>
      <c r="J156" s="384"/>
      <c r="K156" s="384"/>
      <c r="L156" s="384"/>
      <c r="M156" s="383"/>
      <c r="N156" s="384"/>
      <c r="O156" s="384"/>
      <c r="P156" s="387"/>
      <c r="Q156" s="383"/>
      <c r="R156" s="384"/>
      <c r="S156" s="384"/>
      <c r="T156" s="385"/>
      <c r="U156" s="383"/>
      <c r="V156" s="384"/>
      <c r="W156" s="384"/>
      <c r="X156" s="385"/>
      <c r="Y156" s="386"/>
      <c r="Z156" s="384"/>
      <c r="AA156" s="384"/>
      <c r="AB156" s="384"/>
      <c r="AC156" s="383"/>
      <c r="AD156" s="384"/>
      <c r="AE156" s="384"/>
      <c r="AF156" s="387"/>
      <c r="AG156" s="383"/>
      <c r="AH156" s="384"/>
      <c r="AI156" s="384"/>
      <c r="AJ156" s="387"/>
      <c r="AK156" s="383"/>
      <c r="AL156" s="384"/>
      <c r="AM156" s="384"/>
      <c r="AN156" s="385"/>
      <c r="AO156" s="386"/>
      <c r="AP156" s="384"/>
      <c r="AQ156" s="384"/>
      <c r="AR156" s="384"/>
      <c r="AS156" s="383"/>
      <c r="AT156" s="384">
        <v>1</v>
      </c>
      <c r="AU156" s="384"/>
      <c r="AV156" s="387"/>
      <c r="AW156" s="388"/>
      <c r="AX156" s="383"/>
      <c r="AY156" s="384"/>
      <c r="AZ156" s="384"/>
      <c r="BA156" s="385"/>
      <c r="BB156" s="383"/>
      <c r="BC156" s="384"/>
      <c r="BD156" s="384"/>
      <c r="BE156" s="385"/>
      <c r="BF156" s="386"/>
      <c r="BG156" s="384"/>
      <c r="BH156" s="384"/>
      <c r="BI156" s="384"/>
      <c r="BJ156" s="383"/>
      <c r="BK156" s="384"/>
      <c r="BL156" s="384"/>
      <c r="BM156" s="387"/>
      <c r="BN156" s="383"/>
      <c r="BO156" s="384"/>
      <c r="BP156" s="384"/>
      <c r="BQ156" s="385"/>
      <c r="BR156" s="383"/>
      <c r="BS156" s="384"/>
      <c r="BT156" s="384"/>
      <c r="BU156" s="387"/>
      <c r="BV156" s="383"/>
      <c r="BW156" s="384"/>
      <c r="BX156" s="384"/>
      <c r="BY156" s="385"/>
      <c r="BZ156" s="216">
        <f t="shared" si="6"/>
        <v>1</v>
      </c>
    </row>
    <row r="157" spans="3:79" ht="12">
      <c r="C157" s="217">
        <v>153</v>
      </c>
      <c r="D157" s="35" t="s">
        <v>1419</v>
      </c>
      <c r="E157" s="383"/>
      <c r="F157" s="384"/>
      <c r="G157" s="384"/>
      <c r="H157" s="385"/>
      <c r="I157" s="386"/>
      <c r="J157" s="384"/>
      <c r="K157" s="384"/>
      <c r="L157" s="384"/>
      <c r="M157" s="383"/>
      <c r="N157" s="384"/>
      <c r="O157" s="384"/>
      <c r="P157" s="387"/>
      <c r="Q157" s="383"/>
      <c r="R157" s="384"/>
      <c r="S157" s="384"/>
      <c r="T157" s="385"/>
      <c r="U157" s="383"/>
      <c r="V157" s="384"/>
      <c r="W157" s="384"/>
      <c r="X157" s="385"/>
      <c r="Y157" s="386"/>
      <c r="Z157" s="384"/>
      <c r="AA157" s="384"/>
      <c r="AB157" s="384"/>
      <c r="AC157" s="383"/>
      <c r="AD157" s="384"/>
      <c r="AE157" s="384"/>
      <c r="AF157" s="387"/>
      <c r="AG157" s="383"/>
      <c r="AH157" s="384"/>
      <c r="AI157" s="384"/>
      <c r="AJ157" s="387"/>
      <c r="AK157" s="383"/>
      <c r="AL157" s="384"/>
      <c r="AM157" s="384"/>
      <c r="AN157" s="385"/>
      <c r="AO157" s="386"/>
      <c r="AP157" s="384"/>
      <c r="AQ157" s="384"/>
      <c r="AR157" s="384"/>
      <c r="AS157" s="383"/>
      <c r="AT157" s="384">
        <v>1</v>
      </c>
      <c r="AU157" s="384"/>
      <c r="AV157" s="387"/>
      <c r="AW157" s="388"/>
      <c r="AX157" s="383"/>
      <c r="AY157" s="384"/>
      <c r="AZ157" s="384"/>
      <c r="BA157" s="385"/>
      <c r="BB157" s="383"/>
      <c r="BC157" s="384"/>
      <c r="BD157" s="384"/>
      <c r="BE157" s="385"/>
      <c r="BF157" s="386"/>
      <c r="BG157" s="384"/>
      <c r="BH157" s="384"/>
      <c r="BI157" s="384"/>
      <c r="BJ157" s="383"/>
      <c r="BK157" s="384"/>
      <c r="BL157" s="384"/>
      <c r="BM157" s="387"/>
      <c r="BN157" s="383"/>
      <c r="BO157" s="384"/>
      <c r="BP157" s="384"/>
      <c r="BQ157" s="385"/>
      <c r="BR157" s="383"/>
      <c r="BS157" s="384"/>
      <c r="BT157" s="384"/>
      <c r="BU157" s="387"/>
      <c r="BV157" s="383"/>
      <c r="BW157" s="384"/>
      <c r="BX157" s="384"/>
      <c r="BY157" s="385"/>
      <c r="BZ157" s="216">
        <f t="shared" si="6"/>
        <v>1</v>
      </c>
      <c r="CA157" s="216" t="str">
        <f t="shared" si="5"/>
        <v/>
      </c>
    </row>
    <row r="158" spans="3:79" ht="12">
      <c r="C158" s="217">
        <v>154</v>
      </c>
      <c r="D158" s="35" t="s">
        <v>1420</v>
      </c>
      <c r="E158" s="383"/>
      <c r="F158" s="384"/>
      <c r="G158" s="384"/>
      <c r="H158" s="385"/>
      <c r="I158" s="386"/>
      <c r="J158" s="384"/>
      <c r="K158" s="384"/>
      <c r="L158" s="384"/>
      <c r="M158" s="383"/>
      <c r="N158" s="384"/>
      <c r="O158" s="384"/>
      <c r="P158" s="387"/>
      <c r="Q158" s="383"/>
      <c r="R158" s="384"/>
      <c r="S158" s="384"/>
      <c r="T158" s="385"/>
      <c r="U158" s="383"/>
      <c r="V158" s="384"/>
      <c r="W158" s="384"/>
      <c r="X158" s="385"/>
      <c r="Y158" s="386"/>
      <c r="Z158" s="384"/>
      <c r="AA158" s="384"/>
      <c r="AB158" s="384"/>
      <c r="AC158" s="383"/>
      <c r="AD158" s="384"/>
      <c r="AE158" s="384"/>
      <c r="AF158" s="387"/>
      <c r="AG158" s="383"/>
      <c r="AH158" s="384"/>
      <c r="AI158" s="384"/>
      <c r="AJ158" s="387"/>
      <c r="AK158" s="383"/>
      <c r="AL158" s="384"/>
      <c r="AM158" s="384"/>
      <c r="AN158" s="385"/>
      <c r="AO158" s="386"/>
      <c r="AP158" s="384"/>
      <c r="AQ158" s="384"/>
      <c r="AR158" s="384"/>
      <c r="AS158" s="383"/>
      <c r="AT158" s="384">
        <v>1</v>
      </c>
      <c r="AU158" s="384"/>
      <c r="AV158" s="387"/>
      <c r="AW158" s="388"/>
      <c r="AX158" s="383"/>
      <c r="AY158" s="384"/>
      <c r="AZ158" s="384"/>
      <c r="BA158" s="385"/>
      <c r="BB158" s="383"/>
      <c r="BC158" s="384"/>
      <c r="BD158" s="384"/>
      <c r="BE158" s="385"/>
      <c r="BF158" s="386"/>
      <c r="BG158" s="384"/>
      <c r="BH158" s="384"/>
      <c r="BI158" s="384"/>
      <c r="BJ158" s="383"/>
      <c r="BK158" s="384"/>
      <c r="BL158" s="384"/>
      <c r="BM158" s="387"/>
      <c r="BN158" s="383"/>
      <c r="BO158" s="384"/>
      <c r="BP158" s="384"/>
      <c r="BQ158" s="385"/>
      <c r="BR158" s="383"/>
      <c r="BS158" s="384"/>
      <c r="BT158" s="384"/>
      <c r="BU158" s="387"/>
      <c r="BV158" s="383"/>
      <c r="BW158" s="384"/>
      <c r="BX158" s="384"/>
      <c r="BY158" s="385"/>
      <c r="BZ158" s="216">
        <f t="shared" si="6"/>
        <v>1</v>
      </c>
    </row>
    <row r="159" spans="3:79" ht="12">
      <c r="C159" s="217">
        <v>155</v>
      </c>
      <c r="D159" s="35" t="s">
        <v>1421</v>
      </c>
      <c r="E159" s="383"/>
      <c r="F159" s="384"/>
      <c r="G159" s="384"/>
      <c r="H159" s="385"/>
      <c r="I159" s="386"/>
      <c r="J159" s="384"/>
      <c r="K159" s="384"/>
      <c r="L159" s="384"/>
      <c r="M159" s="383"/>
      <c r="N159" s="384"/>
      <c r="O159" s="384"/>
      <c r="P159" s="387"/>
      <c r="Q159" s="383"/>
      <c r="R159" s="384"/>
      <c r="S159" s="384"/>
      <c r="T159" s="385"/>
      <c r="U159" s="383"/>
      <c r="V159" s="384"/>
      <c r="W159" s="384"/>
      <c r="X159" s="385"/>
      <c r="Y159" s="386"/>
      <c r="Z159" s="384"/>
      <c r="AA159" s="384"/>
      <c r="AB159" s="384"/>
      <c r="AC159" s="383"/>
      <c r="AD159" s="384"/>
      <c r="AE159" s="384"/>
      <c r="AF159" s="387"/>
      <c r="AG159" s="383"/>
      <c r="AH159" s="384"/>
      <c r="AI159" s="384"/>
      <c r="AJ159" s="387"/>
      <c r="AK159" s="383"/>
      <c r="AL159" s="384"/>
      <c r="AM159" s="384"/>
      <c r="AN159" s="385"/>
      <c r="AO159" s="386"/>
      <c r="AP159" s="384"/>
      <c r="AQ159" s="384"/>
      <c r="AR159" s="384"/>
      <c r="AS159" s="383"/>
      <c r="AT159" s="384">
        <v>1</v>
      </c>
      <c r="AU159" s="384"/>
      <c r="AV159" s="387"/>
      <c r="AW159" s="388"/>
      <c r="AX159" s="383"/>
      <c r="AY159" s="384"/>
      <c r="AZ159" s="384"/>
      <c r="BA159" s="385"/>
      <c r="BB159" s="383"/>
      <c r="BC159" s="384"/>
      <c r="BD159" s="384"/>
      <c r="BE159" s="385"/>
      <c r="BF159" s="386"/>
      <c r="BG159" s="384"/>
      <c r="BH159" s="384"/>
      <c r="BI159" s="384"/>
      <c r="BJ159" s="383"/>
      <c r="BK159" s="384"/>
      <c r="BL159" s="384"/>
      <c r="BM159" s="387"/>
      <c r="BN159" s="383"/>
      <c r="BO159" s="384"/>
      <c r="BP159" s="384"/>
      <c r="BQ159" s="385"/>
      <c r="BR159" s="383"/>
      <c r="BS159" s="384"/>
      <c r="BT159" s="384"/>
      <c r="BU159" s="387"/>
      <c r="BV159" s="383"/>
      <c r="BW159" s="384"/>
      <c r="BX159" s="384"/>
      <c r="BY159" s="385"/>
      <c r="BZ159" s="216">
        <f t="shared" si="6"/>
        <v>1</v>
      </c>
      <c r="CA159" s="216" t="str">
        <f t="shared" si="5"/>
        <v/>
      </c>
    </row>
    <row r="160" spans="3:79" ht="12">
      <c r="C160" s="217">
        <v>156</v>
      </c>
      <c r="D160" s="35" t="s">
        <v>1422</v>
      </c>
      <c r="E160" s="383"/>
      <c r="F160" s="384"/>
      <c r="G160" s="384"/>
      <c r="H160" s="385"/>
      <c r="I160" s="386"/>
      <c r="J160" s="384"/>
      <c r="K160" s="384"/>
      <c r="L160" s="384"/>
      <c r="M160" s="383"/>
      <c r="N160" s="384"/>
      <c r="O160" s="384"/>
      <c r="P160" s="387"/>
      <c r="Q160" s="383"/>
      <c r="R160" s="384"/>
      <c r="S160" s="384"/>
      <c r="T160" s="385"/>
      <c r="U160" s="383"/>
      <c r="V160" s="384"/>
      <c r="W160" s="384"/>
      <c r="X160" s="385"/>
      <c r="Y160" s="386"/>
      <c r="Z160" s="384"/>
      <c r="AA160" s="384"/>
      <c r="AB160" s="384"/>
      <c r="AC160" s="383"/>
      <c r="AD160" s="384"/>
      <c r="AE160" s="384"/>
      <c r="AF160" s="387"/>
      <c r="AG160" s="383"/>
      <c r="AH160" s="384"/>
      <c r="AI160" s="384"/>
      <c r="AJ160" s="387"/>
      <c r="AK160" s="383"/>
      <c r="AL160" s="384"/>
      <c r="AM160" s="384"/>
      <c r="AN160" s="385"/>
      <c r="AO160" s="386"/>
      <c r="AP160" s="384"/>
      <c r="AQ160" s="384"/>
      <c r="AR160" s="384"/>
      <c r="AS160" s="383"/>
      <c r="AT160" s="384">
        <v>1</v>
      </c>
      <c r="AU160" s="384"/>
      <c r="AV160" s="387"/>
      <c r="AW160" s="388"/>
      <c r="AX160" s="383"/>
      <c r="AY160" s="384"/>
      <c r="AZ160" s="384"/>
      <c r="BA160" s="385"/>
      <c r="BB160" s="383"/>
      <c r="BC160" s="384"/>
      <c r="BD160" s="384"/>
      <c r="BE160" s="385"/>
      <c r="BF160" s="386"/>
      <c r="BG160" s="384"/>
      <c r="BH160" s="384"/>
      <c r="BI160" s="384"/>
      <c r="BJ160" s="383"/>
      <c r="BK160" s="384"/>
      <c r="BL160" s="384"/>
      <c r="BM160" s="387"/>
      <c r="BN160" s="383"/>
      <c r="BO160" s="384"/>
      <c r="BP160" s="384"/>
      <c r="BQ160" s="385"/>
      <c r="BR160" s="383"/>
      <c r="BS160" s="384"/>
      <c r="BT160" s="384"/>
      <c r="BU160" s="387"/>
      <c r="BV160" s="383"/>
      <c r="BW160" s="384"/>
      <c r="BX160" s="384"/>
      <c r="BY160" s="385"/>
      <c r="BZ160" s="216">
        <f t="shared" si="6"/>
        <v>1</v>
      </c>
    </row>
    <row r="161" spans="3:79" ht="12">
      <c r="C161" s="217">
        <v>157</v>
      </c>
      <c r="D161" s="35" t="s">
        <v>1423</v>
      </c>
      <c r="E161" s="383"/>
      <c r="F161" s="384"/>
      <c r="G161" s="384"/>
      <c r="H161" s="385"/>
      <c r="I161" s="386"/>
      <c r="J161" s="384"/>
      <c r="K161" s="384"/>
      <c r="L161" s="384"/>
      <c r="M161" s="383"/>
      <c r="N161" s="384"/>
      <c r="O161" s="384"/>
      <c r="P161" s="387"/>
      <c r="Q161" s="383"/>
      <c r="R161" s="384"/>
      <c r="S161" s="384"/>
      <c r="T161" s="385"/>
      <c r="U161" s="383"/>
      <c r="V161" s="384"/>
      <c r="W161" s="384"/>
      <c r="X161" s="385"/>
      <c r="Y161" s="386"/>
      <c r="Z161" s="384"/>
      <c r="AA161" s="384"/>
      <c r="AB161" s="384"/>
      <c r="AC161" s="383"/>
      <c r="AD161" s="384"/>
      <c r="AE161" s="384"/>
      <c r="AF161" s="387"/>
      <c r="AG161" s="383"/>
      <c r="AH161" s="384"/>
      <c r="AI161" s="384"/>
      <c r="AJ161" s="387"/>
      <c r="AK161" s="383"/>
      <c r="AL161" s="384"/>
      <c r="AM161" s="384"/>
      <c r="AN161" s="385"/>
      <c r="AO161" s="386"/>
      <c r="AP161" s="384"/>
      <c r="AQ161" s="384"/>
      <c r="AR161" s="384"/>
      <c r="AS161" s="383"/>
      <c r="AT161" s="384">
        <v>1</v>
      </c>
      <c r="AU161" s="384"/>
      <c r="AV161" s="387"/>
      <c r="AW161" s="388"/>
      <c r="AX161" s="383"/>
      <c r="AY161" s="384"/>
      <c r="AZ161" s="384"/>
      <c r="BA161" s="385"/>
      <c r="BB161" s="383"/>
      <c r="BC161" s="384"/>
      <c r="BD161" s="384"/>
      <c r="BE161" s="385"/>
      <c r="BF161" s="386"/>
      <c r="BG161" s="384"/>
      <c r="BH161" s="384"/>
      <c r="BI161" s="384"/>
      <c r="BJ161" s="383"/>
      <c r="BK161" s="384"/>
      <c r="BL161" s="384"/>
      <c r="BM161" s="387"/>
      <c r="BN161" s="383"/>
      <c r="BO161" s="384"/>
      <c r="BP161" s="384"/>
      <c r="BQ161" s="385"/>
      <c r="BR161" s="383"/>
      <c r="BS161" s="384"/>
      <c r="BT161" s="384"/>
      <c r="BU161" s="387"/>
      <c r="BV161" s="383"/>
      <c r="BW161" s="384"/>
      <c r="BX161" s="384"/>
      <c r="BY161" s="385"/>
      <c r="BZ161" s="216">
        <f t="shared" si="6"/>
        <v>1</v>
      </c>
      <c r="CA161" s="216" t="str">
        <f t="shared" si="5"/>
        <v/>
      </c>
    </row>
    <row r="162" spans="3:79" ht="12">
      <c r="C162" s="217">
        <v>158</v>
      </c>
      <c r="D162" s="35" t="s">
        <v>1424</v>
      </c>
      <c r="E162" s="383"/>
      <c r="F162" s="384"/>
      <c r="G162" s="384"/>
      <c r="H162" s="385"/>
      <c r="I162" s="386"/>
      <c r="J162" s="384"/>
      <c r="K162" s="384"/>
      <c r="L162" s="384"/>
      <c r="M162" s="383"/>
      <c r="N162" s="384"/>
      <c r="O162" s="384"/>
      <c r="P162" s="387"/>
      <c r="Q162" s="383"/>
      <c r="R162" s="384"/>
      <c r="S162" s="384"/>
      <c r="T162" s="385"/>
      <c r="U162" s="383"/>
      <c r="V162" s="384"/>
      <c r="W162" s="384"/>
      <c r="X162" s="385"/>
      <c r="Y162" s="386"/>
      <c r="Z162" s="384"/>
      <c r="AA162" s="384"/>
      <c r="AB162" s="384"/>
      <c r="AC162" s="383"/>
      <c r="AD162" s="384"/>
      <c r="AE162" s="384"/>
      <c r="AF162" s="387"/>
      <c r="AG162" s="383"/>
      <c r="AH162" s="384"/>
      <c r="AI162" s="384"/>
      <c r="AJ162" s="387"/>
      <c r="AK162" s="383"/>
      <c r="AL162" s="384">
        <v>1</v>
      </c>
      <c r="AM162" s="384"/>
      <c r="AN162" s="385"/>
      <c r="AO162" s="386"/>
      <c r="AP162" s="384"/>
      <c r="AQ162" s="384"/>
      <c r="AR162" s="384"/>
      <c r="AS162" s="383"/>
      <c r="AT162" s="384"/>
      <c r="AU162" s="384"/>
      <c r="AV162" s="387"/>
      <c r="AW162" s="388"/>
      <c r="AX162" s="383"/>
      <c r="AY162" s="384"/>
      <c r="AZ162" s="384"/>
      <c r="BA162" s="385"/>
      <c r="BB162" s="383"/>
      <c r="BC162" s="384"/>
      <c r="BD162" s="384"/>
      <c r="BE162" s="385"/>
      <c r="BF162" s="386"/>
      <c r="BG162" s="384"/>
      <c r="BH162" s="384"/>
      <c r="BI162" s="384"/>
      <c r="BJ162" s="383"/>
      <c r="BK162" s="384"/>
      <c r="BL162" s="384"/>
      <c r="BM162" s="387"/>
      <c r="BN162" s="383"/>
      <c r="BO162" s="384"/>
      <c r="BP162" s="384"/>
      <c r="BQ162" s="385"/>
      <c r="BR162" s="383"/>
      <c r="BS162" s="384"/>
      <c r="BT162" s="384"/>
      <c r="BU162" s="387"/>
      <c r="BV162" s="383"/>
      <c r="BW162" s="384"/>
      <c r="BX162" s="384"/>
      <c r="BY162" s="385"/>
      <c r="BZ162" s="216">
        <f t="shared" si="6"/>
        <v>1</v>
      </c>
      <c r="CA162" s="216" t="str">
        <f t="shared" si="5"/>
        <v/>
      </c>
    </row>
    <row r="163" spans="3:79" ht="12">
      <c r="C163" s="217">
        <v>159</v>
      </c>
      <c r="D163" s="35" t="s">
        <v>1425</v>
      </c>
      <c r="E163" s="383"/>
      <c r="F163" s="384"/>
      <c r="G163" s="384"/>
      <c r="H163" s="385"/>
      <c r="I163" s="386"/>
      <c r="J163" s="384"/>
      <c r="K163" s="384"/>
      <c r="L163" s="384"/>
      <c r="M163" s="383"/>
      <c r="N163" s="384"/>
      <c r="O163" s="384"/>
      <c r="P163" s="387"/>
      <c r="Q163" s="383"/>
      <c r="R163" s="384"/>
      <c r="S163" s="384"/>
      <c r="T163" s="385"/>
      <c r="U163" s="383"/>
      <c r="V163" s="384"/>
      <c r="W163" s="384"/>
      <c r="X163" s="385"/>
      <c r="Y163" s="386"/>
      <c r="Z163" s="384"/>
      <c r="AA163" s="384"/>
      <c r="AB163" s="384"/>
      <c r="AC163" s="383"/>
      <c r="AD163" s="384"/>
      <c r="AE163" s="384"/>
      <c r="AF163" s="387"/>
      <c r="AG163" s="383"/>
      <c r="AH163" s="384"/>
      <c r="AI163" s="384"/>
      <c r="AJ163" s="387"/>
      <c r="AK163" s="383">
        <v>1</v>
      </c>
      <c r="AL163" s="384"/>
      <c r="AM163" s="384"/>
      <c r="AN163" s="385"/>
      <c r="AO163" s="386"/>
      <c r="AP163" s="384"/>
      <c r="AQ163" s="384"/>
      <c r="AR163" s="384"/>
      <c r="AS163" s="383"/>
      <c r="AT163" s="384"/>
      <c r="AU163" s="384"/>
      <c r="AV163" s="387"/>
      <c r="AW163" s="388"/>
      <c r="AX163" s="383"/>
      <c r="AY163" s="384"/>
      <c r="AZ163" s="384"/>
      <c r="BA163" s="385"/>
      <c r="BB163" s="383"/>
      <c r="BC163" s="384"/>
      <c r="BD163" s="384"/>
      <c r="BE163" s="385"/>
      <c r="BF163" s="386"/>
      <c r="BG163" s="384"/>
      <c r="BH163" s="384"/>
      <c r="BI163" s="384"/>
      <c r="BJ163" s="383"/>
      <c r="BK163" s="384"/>
      <c r="BL163" s="384"/>
      <c r="BM163" s="387"/>
      <c r="BN163" s="383"/>
      <c r="BO163" s="384"/>
      <c r="BP163" s="384"/>
      <c r="BQ163" s="385"/>
      <c r="BR163" s="383"/>
      <c r="BS163" s="384"/>
      <c r="BT163" s="384"/>
      <c r="BU163" s="387"/>
      <c r="BV163" s="383"/>
      <c r="BW163" s="384"/>
      <c r="BX163" s="384"/>
      <c r="BY163" s="385"/>
      <c r="BZ163" s="216">
        <f t="shared" si="6"/>
        <v>1</v>
      </c>
      <c r="CA163" s="216" t="str">
        <f t="shared" si="5"/>
        <v/>
      </c>
    </row>
    <row r="164" spans="3:79" ht="12">
      <c r="C164" s="217">
        <v>160</v>
      </c>
      <c r="D164" s="35" t="s">
        <v>1426</v>
      </c>
      <c r="E164" s="383"/>
      <c r="F164" s="384"/>
      <c r="G164" s="384"/>
      <c r="H164" s="385"/>
      <c r="I164" s="386"/>
      <c r="J164" s="384"/>
      <c r="K164" s="384"/>
      <c r="L164" s="384"/>
      <c r="M164" s="383"/>
      <c r="N164" s="384"/>
      <c r="O164" s="384"/>
      <c r="P164" s="387"/>
      <c r="Q164" s="383"/>
      <c r="R164" s="384"/>
      <c r="S164" s="384"/>
      <c r="T164" s="385"/>
      <c r="U164" s="383"/>
      <c r="V164" s="384"/>
      <c r="W164" s="384"/>
      <c r="X164" s="385"/>
      <c r="Y164" s="386"/>
      <c r="Z164" s="384"/>
      <c r="AA164" s="384"/>
      <c r="AB164" s="384"/>
      <c r="AC164" s="383"/>
      <c r="AD164" s="384"/>
      <c r="AE164" s="384"/>
      <c r="AF164" s="387"/>
      <c r="AG164" s="383"/>
      <c r="AH164" s="384"/>
      <c r="AI164" s="384"/>
      <c r="AJ164" s="387"/>
      <c r="AK164" s="383"/>
      <c r="AL164" s="384">
        <v>1</v>
      </c>
      <c r="AM164" s="384"/>
      <c r="AN164" s="385"/>
      <c r="AO164" s="386"/>
      <c r="AP164" s="384"/>
      <c r="AQ164" s="384"/>
      <c r="AR164" s="384"/>
      <c r="AS164" s="383"/>
      <c r="AT164" s="384"/>
      <c r="AU164" s="384"/>
      <c r="AV164" s="387"/>
      <c r="AW164" s="388"/>
      <c r="AX164" s="383"/>
      <c r="AY164" s="384"/>
      <c r="AZ164" s="384"/>
      <c r="BA164" s="385"/>
      <c r="BB164" s="383"/>
      <c r="BC164" s="384"/>
      <c r="BD164" s="384"/>
      <c r="BE164" s="385"/>
      <c r="BF164" s="386"/>
      <c r="BG164" s="384"/>
      <c r="BH164" s="384"/>
      <c r="BI164" s="384"/>
      <c r="BJ164" s="383"/>
      <c r="BK164" s="384"/>
      <c r="BL164" s="384"/>
      <c r="BM164" s="387"/>
      <c r="BN164" s="383"/>
      <c r="BO164" s="384"/>
      <c r="BP164" s="384"/>
      <c r="BQ164" s="385"/>
      <c r="BR164" s="383"/>
      <c r="BS164" s="384"/>
      <c r="BT164" s="384"/>
      <c r="BU164" s="387"/>
      <c r="BV164" s="383"/>
      <c r="BW164" s="384"/>
      <c r="BX164" s="384"/>
      <c r="BY164" s="385"/>
      <c r="BZ164" s="216">
        <f t="shared" si="6"/>
        <v>1</v>
      </c>
      <c r="CA164" s="216" t="str">
        <f t="shared" si="5"/>
        <v/>
      </c>
    </row>
    <row r="165" spans="3:79" ht="12">
      <c r="C165" s="217">
        <v>161</v>
      </c>
      <c r="D165" s="35" t="s">
        <v>1427</v>
      </c>
      <c r="E165" s="383"/>
      <c r="F165" s="384"/>
      <c r="G165" s="384"/>
      <c r="H165" s="385"/>
      <c r="I165" s="386"/>
      <c r="J165" s="384"/>
      <c r="K165" s="384"/>
      <c r="L165" s="384"/>
      <c r="M165" s="383"/>
      <c r="N165" s="384"/>
      <c r="O165" s="384"/>
      <c r="P165" s="387"/>
      <c r="Q165" s="383"/>
      <c r="R165" s="384"/>
      <c r="S165" s="384"/>
      <c r="T165" s="385"/>
      <c r="U165" s="383"/>
      <c r="V165" s="384"/>
      <c r="W165" s="384"/>
      <c r="X165" s="385"/>
      <c r="Y165" s="386"/>
      <c r="Z165" s="384"/>
      <c r="AA165" s="384"/>
      <c r="AB165" s="384"/>
      <c r="AC165" s="383"/>
      <c r="AD165" s="384"/>
      <c r="AE165" s="384"/>
      <c r="AF165" s="387"/>
      <c r="AG165" s="383"/>
      <c r="AH165" s="384"/>
      <c r="AI165" s="384"/>
      <c r="AJ165" s="387"/>
      <c r="AK165" s="383"/>
      <c r="AL165" s="384"/>
      <c r="AM165" s="384">
        <v>1</v>
      </c>
      <c r="AN165" s="385"/>
      <c r="AO165" s="386"/>
      <c r="AP165" s="384"/>
      <c r="AQ165" s="384"/>
      <c r="AR165" s="384"/>
      <c r="AS165" s="383"/>
      <c r="AT165" s="384"/>
      <c r="AU165" s="384"/>
      <c r="AV165" s="387"/>
      <c r="AW165" s="388"/>
      <c r="AX165" s="383"/>
      <c r="AY165" s="384"/>
      <c r="AZ165" s="384"/>
      <c r="BA165" s="385"/>
      <c r="BB165" s="383"/>
      <c r="BC165" s="384"/>
      <c r="BD165" s="384"/>
      <c r="BE165" s="385"/>
      <c r="BF165" s="386"/>
      <c r="BG165" s="384"/>
      <c r="BH165" s="384"/>
      <c r="BI165" s="384"/>
      <c r="BJ165" s="383"/>
      <c r="BK165" s="384"/>
      <c r="BL165" s="384"/>
      <c r="BM165" s="387"/>
      <c r="BN165" s="383"/>
      <c r="BO165" s="384"/>
      <c r="BP165" s="384"/>
      <c r="BQ165" s="385"/>
      <c r="BR165" s="383"/>
      <c r="BS165" s="384"/>
      <c r="BT165" s="384"/>
      <c r="BU165" s="387"/>
      <c r="BV165" s="383"/>
      <c r="BW165" s="384"/>
      <c r="BX165" s="384"/>
      <c r="BY165" s="385"/>
      <c r="BZ165" s="216">
        <f t="shared" ref="BZ165:BZ196" si="7">SUM(E165:BY165)</f>
        <v>1</v>
      </c>
      <c r="CA165" s="216" t="str">
        <f t="shared" si="5"/>
        <v/>
      </c>
    </row>
    <row r="166" spans="3:79" ht="12">
      <c r="C166" s="217">
        <v>162</v>
      </c>
      <c r="D166" s="35" t="s">
        <v>1428</v>
      </c>
      <c r="E166" s="383"/>
      <c r="F166" s="384"/>
      <c r="G166" s="384"/>
      <c r="H166" s="385"/>
      <c r="I166" s="386"/>
      <c r="J166" s="384"/>
      <c r="K166" s="384"/>
      <c r="L166" s="384"/>
      <c r="M166" s="383"/>
      <c r="N166" s="384"/>
      <c r="O166" s="384"/>
      <c r="P166" s="387"/>
      <c r="Q166" s="383"/>
      <c r="R166" s="384"/>
      <c r="S166" s="384"/>
      <c r="T166" s="385"/>
      <c r="U166" s="383"/>
      <c r="V166" s="384"/>
      <c r="W166" s="384"/>
      <c r="X166" s="385"/>
      <c r="Y166" s="386"/>
      <c r="Z166" s="384"/>
      <c r="AA166" s="384"/>
      <c r="AB166" s="384"/>
      <c r="AC166" s="383"/>
      <c r="AD166" s="384"/>
      <c r="AE166" s="384"/>
      <c r="AF166" s="387"/>
      <c r="AG166" s="383"/>
      <c r="AH166" s="384"/>
      <c r="AI166" s="384"/>
      <c r="AJ166" s="387"/>
      <c r="AK166" s="383"/>
      <c r="AL166" s="384">
        <v>1</v>
      </c>
      <c r="AM166" s="384"/>
      <c r="AN166" s="385"/>
      <c r="AO166" s="386"/>
      <c r="AP166" s="384"/>
      <c r="AQ166" s="384"/>
      <c r="AR166" s="384"/>
      <c r="AS166" s="383"/>
      <c r="AT166" s="384"/>
      <c r="AU166" s="384"/>
      <c r="AV166" s="387"/>
      <c r="AW166" s="388"/>
      <c r="AX166" s="383"/>
      <c r="AY166" s="384"/>
      <c r="AZ166" s="384"/>
      <c r="BA166" s="385"/>
      <c r="BB166" s="383"/>
      <c r="BC166" s="384"/>
      <c r="BD166" s="384"/>
      <c r="BE166" s="385"/>
      <c r="BF166" s="386"/>
      <c r="BG166" s="384"/>
      <c r="BH166" s="384"/>
      <c r="BI166" s="384"/>
      <c r="BJ166" s="383"/>
      <c r="BK166" s="384"/>
      <c r="BL166" s="384"/>
      <c r="BM166" s="387"/>
      <c r="BN166" s="383"/>
      <c r="BO166" s="384"/>
      <c r="BP166" s="384"/>
      <c r="BQ166" s="385"/>
      <c r="BR166" s="383"/>
      <c r="BS166" s="384"/>
      <c r="BT166" s="384"/>
      <c r="BU166" s="387"/>
      <c r="BV166" s="383"/>
      <c r="BW166" s="384"/>
      <c r="BX166" s="384"/>
      <c r="BY166" s="385"/>
      <c r="BZ166" s="216">
        <f t="shared" si="7"/>
        <v>1</v>
      </c>
      <c r="CA166" s="216" t="str">
        <f t="shared" si="5"/>
        <v/>
      </c>
    </row>
    <row r="167" spans="3:79" ht="12">
      <c r="C167" s="217">
        <v>163</v>
      </c>
      <c r="D167" s="35" t="s">
        <v>1429</v>
      </c>
      <c r="E167" s="383"/>
      <c r="F167" s="384"/>
      <c r="G167" s="384"/>
      <c r="H167" s="385"/>
      <c r="I167" s="386"/>
      <c r="J167" s="384"/>
      <c r="K167" s="384"/>
      <c r="L167" s="384"/>
      <c r="M167" s="383"/>
      <c r="N167" s="384"/>
      <c r="O167" s="384"/>
      <c r="P167" s="387"/>
      <c r="Q167" s="383"/>
      <c r="R167" s="384"/>
      <c r="S167" s="384"/>
      <c r="T167" s="385"/>
      <c r="U167" s="383"/>
      <c r="V167" s="384"/>
      <c r="W167" s="384"/>
      <c r="X167" s="385"/>
      <c r="Y167" s="386"/>
      <c r="Z167" s="384"/>
      <c r="AA167" s="384"/>
      <c r="AB167" s="384"/>
      <c r="AC167" s="383"/>
      <c r="AD167" s="384"/>
      <c r="AE167" s="384"/>
      <c r="AF167" s="387"/>
      <c r="AG167" s="383"/>
      <c r="AH167" s="384"/>
      <c r="AI167" s="384"/>
      <c r="AJ167" s="387"/>
      <c r="AK167" s="383">
        <v>1</v>
      </c>
      <c r="AL167" s="384"/>
      <c r="AM167" s="384"/>
      <c r="AN167" s="385"/>
      <c r="AO167" s="386"/>
      <c r="AP167" s="384"/>
      <c r="AQ167" s="384"/>
      <c r="AR167" s="384"/>
      <c r="AS167" s="383"/>
      <c r="AT167" s="384"/>
      <c r="AU167" s="384"/>
      <c r="AV167" s="387"/>
      <c r="AW167" s="388"/>
      <c r="AX167" s="383"/>
      <c r="AY167" s="384"/>
      <c r="AZ167" s="384"/>
      <c r="BA167" s="385"/>
      <c r="BB167" s="383"/>
      <c r="BC167" s="384"/>
      <c r="BD167" s="384"/>
      <c r="BE167" s="385"/>
      <c r="BF167" s="386"/>
      <c r="BG167" s="384"/>
      <c r="BH167" s="384"/>
      <c r="BI167" s="384"/>
      <c r="BJ167" s="383"/>
      <c r="BK167" s="384"/>
      <c r="BL167" s="384"/>
      <c r="BM167" s="387"/>
      <c r="BN167" s="383"/>
      <c r="BO167" s="384"/>
      <c r="BP167" s="384"/>
      <c r="BQ167" s="385"/>
      <c r="BR167" s="383"/>
      <c r="BS167" s="384"/>
      <c r="BT167" s="384"/>
      <c r="BU167" s="387"/>
      <c r="BV167" s="383"/>
      <c r="BW167" s="384"/>
      <c r="BX167" s="384"/>
      <c r="BY167" s="385"/>
      <c r="BZ167" s="216">
        <f t="shared" si="7"/>
        <v>1</v>
      </c>
      <c r="CA167" s="216" t="str">
        <f t="shared" si="5"/>
        <v/>
      </c>
    </row>
    <row r="168" spans="3:79" ht="12">
      <c r="C168" s="217">
        <v>164</v>
      </c>
      <c r="D168" s="35" t="s">
        <v>1430</v>
      </c>
      <c r="E168" s="383"/>
      <c r="F168" s="384"/>
      <c r="G168" s="384"/>
      <c r="H168" s="385"/>
      <c r="I168" s="386"/>
      <c r="J168" s="384"/>
      <c r="K168" s="384"/>
      <c r="L168" s="384"/>
      <c r="M168" s="383"/>
      <c r="N168" s="384"/>
      <c r="O168" s="384"/>
      <c r="P168" s="387"/>
      <c r="Q168" s="383"/>
      <c r="R168" s="384"/>
      <c r="S168" s="384"/>
      <c r="T168" s="385"/>
      <c r="U168" s="383"/>
      <c r="V168" s="384"/>
      <c r="W168" s="384"/>
      <c r="X168" s="385"/>
      <c r="Y168" s="386"/>
      <c r="Z168" s="384"/>
      <c r="AA168" s="384"/>
      <c r="AB168" s="384"/>
      <c r="AC168" s="383"/>
      <c r="AD168" s="384"/>
      <c r="AE168" s="384"/>
      <c r="AF168" s="387"/>
      <c r="AG168" s="383"/>
      <c r="AH168" s="384"/>
      <c r="AI168" s="384"/>
      <c r="AJ168" s="387"/>
      <c r="AK168" s="383">
        <v>1</v>
      </c>
      <c r="AL168" s="384"/>
      <c r="AM168" s="384"/>
      <c r="AN168" s="385"/>
      <c r="AO168" s="386"/>
      <c r="AP168" s="384"/>
      <c r="AQ168" s="384"/>
      <c r="AR168" s="384"/>
      <c r="AS168" s="383"/>
      <c r="AT168" s="384"/>
      <c r="AU168" s="384"/>
      <c r="AV168" s="387"/>
      <c r="AW168" s="388"/>
      <c r="AX168" s="383"/>
      <c r="AY168" s="384"/>
      <c r="AZ168" s="384"/>
      <c r="BA168" s="385"/>
      <c r="BB168" s="383"/>
      <c r="BC168" s="384"/>
      <c r="BD168" s="384"/>
      <c r="BE168" s="385"/>
      <c r="BF168" s="386"/>
      <c r="BG168" s="384"/>
      <c r="BH168" s="384"/>
      <c r="BI168" s="384"/>
      <c r="BJ168" s="383"/>
      <c r="BK168" s="384"/>
      <c r="BL168" s="384"/>
      <c r="BM168" s="387"/>
      <c r="BN168" s="383"/>
      <c r="BO168" s="384"/>
      <c r="BP168" s="384"/>
      <c r="BQ168" s="385"/>
      <c r="BR168" s="383"/>
      <c r="BS168" s="384"/>
      <c r="BT168" s="384"/>
      <c r="BU168" s="387"/>
      <c r="BV168" s="383"/>
      <c r="BW168" s="384"/>
      <c r="BX168" s="384"/>
      <c r="BY168" s="385"/>
      <c r="BZ168" s="216">
        <f t="shared" si="7"/>
        <v>1</v>
      </c>
      <c r="CA168" s="216" t="str">
        <f t="shared" si="5"/>
        <v/>
      </c>
    </row>
    <row r="169" spans="3:79" ht="15" customHeight="1">
      <c r="C169" s="217">
        <v>165</v>
      </c>
      <c r="D169" s="35" t="s">
        <v>1431</v>
      </c>
      <c r="E169" s="389"/>
      <c r="F169" s="390"/>
      <c r="G169" s="390"/>
      <c r="H169" s="391"/>
      <c r="I169" s="392"/>
      <c r="J169" s="390"/>
      <c r="K169" s="390"/>
      <c r="L169" s="390"/>
      <c r="M169" s="389"/>
      <c r="N169" s="390"/>
      <c r="O169" s="390"/>
      <c r="P169" s="393"/>
      <c r="Q169" s="389"/>
      <c r="R169" s="390"/>
      <c r="S169" s="390"/>
      <c r="T169" s="391"/>
      <c r="U169" s="389"/>
      <c r="V169" s="390"/>
      <c r="W169" s="390"/>
      <c r="X169" s="391"/>
      <c r="Y169" s="392"/>
      <c r="Z169" s="390"/>
      <c r="AA169" s="390"/>
      <c r="AB169" s="390"/>
      <c r="AC169" s="389"/>
      <c r="AD169" s="390"/>
      <c r="AE169" s="390"/>
      <c r="AF169" s="393"/>
      <c r="AG169" s="389"/>
      <c r="AH169" s="390"/>
      <c r="AI169" s="390"/>
      <c r="AJ169" s="393"/>
      <c r="AK169" s="389"/>
      <c r="AL169" s="390"/>
      <c r="AM169" s="390"/>
      <c r="AN169" s="391"/>
      <c r="AO169" s="392"/>
      <c r="AP169" s="390"/>
      <c r="AQ169" s="390"/>
      <c r="AR169" s="390"/>
      <c r="AS169" s="389"/>
      <c r="AT169" s="390"/>
      <c r="AU169" s="390"/>
      <c r="AV169" s="393"/>
      <c r="AW169" s="394"/>
      <c r="AX169" s="389"/>
      <c r="AY169" s="390"/>
      <c r="AZ169" s="390"/>
      <c r="BA169" s="391"/>
      <c r="BB169" s="389"/>
      <c r="BC169" s="390"/>
      <c r="BD169" s="390"/>
      <c r="BE169" s="391"/>
      <c r="BF169" s="392"/>
      <c r="BG169" s="390"/>
      <c r="BH169" s="390"/>
      <c r="BI169" s="390"/>
      <c r="BJ169" s="389"/>
      <c r="BK169" s="390"/>
      <c r="BL169" s="390"/>
      <c r="BM169" s="393"/>
      <c r="BN169" s="389"/>
      <c r="BO169" s="390"/>
      <c r="BP169" s="390"/>
      <c r="BQ169" s="391"/>
      <c r="BR169" s="389"/>
      <c r="BS169" s="390"/>
      <c r="BT169" s="390"/>
      <c r="BU169" s="393"/>
      <c r="BV169" s="389"/>
      <c r="BW169" s="390">
        <v>1</v>
      </c>
      <c r="BX169" s="390"/>
      <c r="BY169" s="391"/>
      <c r="BZ169" s="216">
        <f t="shared" si="7"/>
        <v>1</v>
      </c>
      <c r="CA169" s="216" t="str">
        <f t="shared" si="5"/>
        <v/>
      </c>
    </row>
    <row r="170" spans="3:79" ht="15" customHeight="1">
      <c r="C170" s="217">
        <v>166</v>
      </c>
      <c r="D170" s="35" t="s">
        <v>1432</v>
      </c>
      <c r="E170" s="389"/>
      <c r="F170" s="390"/>
      <c r="G170" s="390"/>
      <c r="H170" s="391"/>
      <c r="I170" s="392"/>
      <c r="J170" s="390"/>
      <c r="K170" s="390"/>
      <c r="L170" s="390"/>
      <c r="M170" s="389"/>
      <c r="N170" s="390"/>
      <c r="O170" s="390"/>
      <c r="P170" s="393"/>
      <c r="Q170" s="389"/>
      <c r="R170" s="390"/>
      <c r="S170" s="390"/>
      <c r="T170" s="391"/>
      <c r="U170" s="389"/>
      <c r="V170" s="390"/>
      <c r="W170" s="390"/>
      <c r="X170" s="391"/>
      <c r="Y170" s="392"/>
      <c r="Z170" s="390"/>
      <c r="AA170" s="390"/>
      <c r="AB170" s="390"/>
      <c r="AC170" s="389"/>
      <c r="AD170" s="390"/>
      <c r="AE170" s="390"/>
      <c r="AF170" s="393"/>
      <c r="AG170" s="389"/>
      <c r="AH170" s="390"/>
      <c r="AI170" s="390"/>
      <c r="AJ170" s="393"/>
      <c r="AK170" s="389"/>
      <c r="AL170" s="390"/>
      <c r="AM170" s="390"/>
      <c r="AN170" s="391"/>
      <c r="AO170" s="392"/>
      <c r="AP170" s="390"/>
      <c r="AQ170" s="390"/>
      <c r="AR170" s="390"/>
      <c r="AS170" s="389"/>
      <c r="AT170" s="390"/>
      <c r="AU170" s="390"/>
      <c r="AV170" s="393"/>
      <c r="AW170" s="394"/>
      <c r="AX170" s="389"/>
      <c r="AY170" s="390"/>
      <c r="AZ170" s="390"/>
      <c r="BA170" s="391"/>
      <c r="BB170" s="389"/>
      <c r="BC170" s="390"/>
      <c r="BD170" s="390"/>
      <c r="BE170" s="391"/>
      <c r="BF170" s="392"/>
      <c r="BG170" s="390"/>
      <c r="BH170" s="390"/>
      <c r="BI170" s="390"/>
      <c r="BJ170" s="389"/>
      <c r="BK170" s="390"/>
      <c r="BL170" s="390"/>
      <c r="BM170" s="393"/>
      <c r="BN170" s="389"/>
      <c r="BO170" s="390"/>
      <c r="BP170" s="390"/>
      <c r="BQ170" s="391"/>
      <c r="BR170" s="389"/>
      <c r="BS170" s="390"/>
      <c r="BT170" s="390"/>
      <c r="BU170" s="393"/>
      <c r="BV170" s="389"/>
      <c r="BW170" s="390">
        <v>1</v>
      </c>
      <c r="BX170" s="390"/>
      <c r="BY170" s="391"/>
      <c r="BZ170" s="216">
        <f t="shared" si="7"/>
        <v>1</v>
      </c>
      <c r="CA170" s="216" t="str">
        <f t="shared" si="5"/>
        <v/>
      </c>
    </row>
    <row r="171" spans="3:79" ht="15" customHeight="1">
      <c r="C171" s="217">
        <v>167</v>
      </c>
      <c r="D171" s="35" t="s">
        <v>1433</v>
      </c>
      <c r="E171" s="389"/>
      <c r="F171" s="390"/>
      <c r="G171" s="390"/>
      <c r="H171" s="391"/>
      <c r="I171" s="392"/>
      <c r="J171" s="390"/>
      <c r="K171" s="390"/>
      <c r="L171" s="390"/>
      <c r="M171" s="389"/>
      <c r="N171" s="390"/>
      <c r="O171" s="390"/>
      <c r="P171" s="393"/>
      <c r="Q171" s="389"/>
      <c r="R171" s="390"/>
      <c r="S171" s="390"/>
      <c r="T171" s="391"/>
      <c r="U171" s="389"/>
      <c r="V171" s="390"/>
      <c r="W171" s="390"/>
      <c r="X171" s="391"/>
      <c r="Y171" s="392"/>
      <c r="Z171" s="390"/>
      <c r="AA171" s="390"/>
      <c r="AB171" s="390"/>
      <c r="AC171" s="389"/>
      <c r="AD171" s="390"/>
      <c r="AE171" s="390"/>
      <c r="AF171" s="393"/>
      <c r="AG171" s="389"/>
      <c r="AH171" s="390"/>
      <c r="AI171" s="390"/>
      <c r="AJ171" s="393"/>
      <c r="AK171" s="389"/>
      <c r="AL171" s="390"/>
      <c r="AM171" s="390"/>
      <c r="AN171" s="391"/>
      <c r="AO171" s="392"/>
      <c r="AP171" s="390"/>
      <c r="AQ171" s="390"/>
      <c r="AR171" s="390"/>
      <c r="AS171" s="389"/>
      <c r="AT171" s="390"/>
      <c r="AU171" s="390"/>
      <c r="AV171" s="393"/>
      <c r="AW171" s="394"/>
      <c r="AX171" s="389"/>
      <c r="AY171" s="390"/>
      <c r="AZ171" s="390"/>
      <c r="BA171" s="391"/>
      <c r="BB171" s="389"/>
      <c r="BC171" s="390"/>
      <c r="BD171" s="390"/>
      <c r="BE171" s="391"/>
      <c r="BF171" s="392"/>
      <c r="BG171" s="390"/>
      <c r="BH171" s="390"/>
      <c r="BI171" s="390"/>
      <c r="BJ171" s="389"/>
      <c r="BK171" s="390"/>
      <c r="BL171" s="390"/>
      <c r="BM171" s="393"/>
      <c r="BN171" s="389"/>
      <c r="BO171" s="390"/>
      <c r="BP171" s="390"/>
      <c r="BQ171" s="391"/>
      <c r="BR171" s="389"/>
      <c r="BS171" s="390"/>
      <c r="BT171" s="390"/>
      <c r="BU171" s="393"/>
      <c r="BV171" s="389"/>
      <c r="BW171" s="390">
        <v>1</v>
      </c>
      <c r="BX171" s="390"/>
      <c r="BY171" s="391"/>
      <c r="BZ171" s="216">
        <f t="shared" si="7"/>
        <v>1</v>
      </c>
      <c r="CA171" s="216" t="str">
        <f t="shared" si="5"/>
        <v/>
      </c>
    </row>
    <row r="172" spans="3:79" ht="15" customHeight="1">
      <c r="C172" s="217">
        <v>168</v>
      </c>
      <c r="D172" s="35" t="s">
        <v>1434</v>
      </c>
      <c r="E172" s="389"/>
      <c r="F172" s="390"/>
      <c r="G172" s="390"/>
      <c r="H172" s="391"/>
      <c r="I172" s="392"/>
      <c r="J172" s="390"/>
      <c r="K172" s="390"/>
      <c r="L172" s="390"/>
      <c r="M172" s="389"/>
      <c r="N172" s="390"/>
      <c r="O172" s="390"/>
      <c r="P172" s="393"/>
      <c r="Q172" s="389"/>
      <c r="R172" s="390"/>
      <c r="S172" s="390"/>
      <c r="T172" s="391"/>
      <c r="U172" s="389"/>
      <c r="V172" s="390"/>
      <c r="W172" s="390"/>
      <c r="X172" s="391"/>
      <c r="Y172" s="392"/>
      <c r="Z172" s="390"/>
      <c r="AA172" s="390"/>
      <c r="AB172" s="390"/>
      <c r="AC172" s="389"/>
      <c r="AD172" s="390"/>
      <c r="AE172" s="390"/>
      <c r="AF172" s="393"/>
      <c r="AG172" s="389"/>
      <c r="AH172" s="390"/>
      <c r="AI172" s="390"/>
      <c r="AJ172" s="393"/>
      <c r="AK172" s="389"/>
      <c r="AL172" s="390"/>
      <c r="AM172" s="390"/>
      <c r="AN172" s="391"/>
      <c r="AO172" s="392"/>
      <c r="AP172" s="390"/>
      <c r="AQ172" s="390"/>
      <c r="AR172" s="390"/>
      <c r="AS172" s="389"/>
      <c r="AT172" s="390"/>
      <c r="AU172" s="390"/>
      <c r="AV172" s="393"/>
      <c r="AW172" s="394"/>
      <c r="AX172" s="389"/>
      <c r="AY172" s="390"/>
      <c r="AZ172" s="390"/>
      <c r="BA172" s="391"/>
      <c r="BB172" s="389"/>
      <c r="BC172" s="390"/>
      <c r="BD172" s="390"/>
      <c r="BE172" s="391"/>
      <c r="BF172" s="392"/>
      <c r="BG172" s="390"/>
      <c r="BH172" s="390"/>
      <c r="BI172" s="390"/>
      <c r="BJ172" s="389"/>
      <c r="BK172" s="390"/>
      <c r="BL172" s="390"/>
      <c r="BM172" s="393"/>
      <c r="BN172" s="389"/>
      <c r="BO172" s="390"/>
      <c r="BP172" s="390"/>
      <c r="BQ172" s="391"/>
      <c r="BR172" s="389"/>
      <c r="BS172" s="390"/>
      <c r="BT172" s="390"/>
      <c r="BU172" s="393"/>
      <c r="BV172" s="389"/>
      <c r="BW172" s="390">
        <v>1</v>
      </c>
      <c r="BX172" s="390"/>
      <c r="BY172" s="391"/>
      <c r="BZ172" s="216">
        <f t="shared" si="7"/>
        <v>1</v>
      </c>
      <c r="CA172" s="216" t="str">
        <f t="shared" si="5"/>
        <v/>
      </c>
    </row>
    <row r="173" spans="3:79" ht="15" customHeight="1">
      <c r="C173" s="217">
        <v>169</v>
      </c>
      <c r="D173" s="35" t="s">
        <v>1435</v>
      </c>
      <c r="E173" s="389"/>
      <c r="F173" s="390"/>
      <c r="G173" s="390"/>
      <c r="H173" s="391"/>
      <c r="I173" s="389"/>
      <c r="J173" s="390"/>
      <c r="K173" s="390"/>
      <c r="L173" s="391"/>
      <c r="M173" s="389"/>
      <c r="N173" s="390"/>
      <c r="O173" s="390"/>
      <c r="P173" s="391"/>
      <c r="Q173" s="389"/>
      <c r="R173" s="390"/>
      <c r="S173" s="390"/>
      <c r="T173" s="391"/>
      <c r="U173" s="389"/>
      <c r="V173" s="390"/>
      <c r="W173" s="390"/>
      <c r="X173" s="391"/>
      <c r="Y173" s="392"/>
      <c r="Z173" s="390"/>
      <c r="AA173" s="390"/>
      <c r="AB173" s="390"/>
      <c r="AC173" s="389"/>
      <c r="AD173" s="390"/>
      <c r="AE173" s="390"/>
      <c r="AF173" s="391"/>
      <c r="AG173" s="389"/>
      <c r="AH173" s="390"/>
      <c r="AI173" s="390"/>
      <c r="AJ173" s="390"/>
      <c r="AK173" s="389"/>
      <c r="AL173" s="390"/>
      <c r="AM173" s="390"/>
      <c r="AN173" s="391"/>
      <c r="AO173" s="389"/>
      <c r="AP173" s="390"/>
      <c r="AQ173" s="390"/>
      <c r="AR173" s="390"/>
      <c r="AS173" s="389"/>
      <c r="AT173" s="390"/>
      <c r="AU173" s="390"/>
      <c r="AV173" s="390"/>
      <c r="AW173" s="391"/>
      <c r="AX173" s="389"/>
      <c r="AY173" s="390"/>
      <c r="AZ173" s="390"/>
      <c r="BA173" s="391"/>
      <c r="BB173" s="389"/>
      <c r="BC173" s="390"/>
      <c r="BD173" s="390"/>
      <c r="BE173" s="391"/>
      <c r="BF173" s="389"/>
      <c r="BG173" s="390"/>
      <c r="BH173" s="390"/>
      <c r="BI173" s="391"/>
      <c r="BJ173" s="389"/>
      <c r="BK173" s="390"/>
      <c r="BL173" s="390"/>
      <c r="BM173" s="391"/>
      <c r="BN173" s="389"/>
      <c r="BO173" s="390"/>
      <c r="BP173" s="390"/>
      <c r="BQ173" s="391"/>
      <c r="BR173" s="389"/>
      <c r="BS173" s="390"/>
      <c r="BT173" s="390"/>
      <c r="BU173" s="391"/>
      <c r="BV173" s="389"/>
      <c r="BW173" s="390">
        <v>1</v>
      </c>
      <c r="BX173" s="390"/>
      <c r="BY173" s="391"/>
      <c r="BZ173" s="216">
        <f t="shared" si="7"/>
        <v>1</v>
      </c>
      <c r="CA173" s="216" t="str">
        <f t="shared" si="5"/>
        <v/>
      </c>
    </row>
    <row r="174" spans="3:79" ht="15" customHeight="1">
      <c r="C174" s="217">
        <v>170</v>
      </c>
      <c r="D174" s="35" t="s">
        <v>1436</v>
      </c>
      <c r="E174" s="389"/>
      <c r="F174" s="390"/>
      <c r="G174" s="390"/>
      <c r="H174" s="391"/>
      <c r="I174" s="389"/>
      <c r="J174" s="390"/>
      <c r="K174" s="390"/>
      <c r="L174" s="391"/>
      <c r="M174" s="389"/>
      <c r="N174" s="390"/>
      <c r="O174" s="390"/>
      <c r="P174" s="391"/>
      <c r="Q174" s="389"/>
      <c r="R174" s="390"/>
      <c r="S174" s="390"/>
      <c r="T174" s="391"/>
      <c r="U174" s="389"/>
      <c r="V174" s="390"/>
      <c r="W174" s="390"/>
      <c r="X174" s="391"/>
      <c r="Y174" s="389"/>
      <c r="Z174" s="390"/>
      <c r="AA174" s="390"/>
      <c r="AB174" s="391"/>
      <c r="AC174" s="389"/>
      <c r="AD174" s="390"/>
      <c r="AE174" s="390"/>
      <c r="AF174" s="391"/>
      <c r="AG174" s="389"/>
      <c r="AH174" s="390"/>
      <c r="AI174" s="390"/>
      <c r="AJ174" s="390"/>
      <c r="AK174" s="389"/>
      <c r="AL174" s="390"/>
      <c r="AM174" s="390"/>
      <c r="AN174" s="391"/>
      <c r="AO174" s="389"/>
      <c r="AP174" s="390"/>
      <c r="AQ174" s="390"/>
      <c r="AR174" s="390"/>
      <c r="AS174" s="389"/>
      <c r="AT174" s="390"/>
      <c r="AU174" s="390"/>
      <c r="AV174" s="390"/>
      <c r="AW174" s="391"/>
      <c r="AX174" s="389"/>
      <c r="AY174" s="390"/>
      <c r="AZ174" s="390"/>
      <c r="BA174" s="391"/>
      <c r="BB174" s="389"/>
      <c r="BC174" s="390"/>
      <c r="BD174" s="390"/>
      <c r="BE174" s="391"/>
      <c r="BF174" s="389"/>
      <c r="BG174" s="390"/>
      <c r="BH174" s="390"/>
      <c r="BI174" s="391"/>
      <c r="BJ174" s="389"/>
      <c r="BK174" s="390"/>
      <c r="BL174" s="390"/>
      <c r="BM174" s="391"/>
      <c r="BN174" s="389"/>
      <c r="BO174" s="390"/>
      <c r="BP174" s="390"/>
      <c r="BQ174" s="391"/>
      <c r="BR174" s="389"/>
      <c r="BS174" s="390"/>
      <c r="BT174" s="390"/>
      <c r="BU174" s="391"/>
      <c r="BV174" s="389"/>
      <c r="BW174" s="390">
        <v>1</v>
      </c>
      <c r="BX174" s="390"/>
      <c r="BY174" s="391"/>
      <c r="BZ174" s="216">
        <f t="shared" si="7"/>
        <v>1</v>
      </c>
    </row>
    <row r="175" spans="3:79" ht="15" customHeight="1">
      <c r="C175" s="217">
        <v>171</v>
      </c>
      <c r="D175" s="35" t="s">
        <v>1437</v>
      </c>
      <c r="E175" s="389"/>
      <c r="F175" s="390"/>
      <c r="G175" s="390"/>
      <c r="H175" s="391"/>
      <c r="I175" s="389"/>
      <c r="J175" s="390"/>
      <c r="K175" s="390"/>
      <c r="L175" s="391"/>
      <c r="M175" s="389"/>
      <c r="N175" s="390"/>
      <c r="O175" s="390"/>
      <c r="P175" s="391"/>
      <c r="Q175" s="389"/>
      <c r="R175" s="390"/>
      <c r="S175" s="390"/>
      <c r="T175" s="391"/>
      <c r="U175" s="389"/>
      <c r="V175" s="390"/>
      <c r="W175" s="390"/>
      <c r="X175" s="391"/>
      <c r="Y175" s="389"/>
      <c r="Z175" s="390"/>
      <c r="AA175" s="390"/>
      <c r="AB175" s="391"/>
      <c r="AC175" s="389"/>
      <c r="AD175" s="390"/>
      <c r="AE175" s="390"/>
      <c r="AF175" s="391"/>
      <c r="AG175" s="389"/>
      <c r="AH175" s="390"/>
      <c r="AI175" s="390"/>
      <c r="AJ175" s="390"/>
      <c r="AK175" s="389"/>
      <c r="AL175" s="390"/>
      <c r="AM175" s="390"/>
      <c r="AN175" s="391"/>
      <c r="AO175" s="389"/>
      <c r="AP175" s="390"/>
      <c r="AQ175" s="390"/>
      <c r="AR175" s="390"/>
      <c r="AS175" s="389"/>
      <c r="AT175" s="390"/>
      <c r="AU175" s="390"/>
      <c r="AV175" s="390"/>
      <c r="AW175" s="391"/>
      <c r="AX175" s="389"/>
      <c r="AY175" s="390"/>
      <c r="AZ175" s="390"/>
      <c r="BA175" s="391"/>
      <c r="BB175" s="389"/>
      <c r="BC175" s="390"/>
      <c r="BD175" s="390"/>
      <c r="BE175" s="391"/>
      <c r="BF175" s="389"/>
      <c r="BG175" s="390"/>
      <c r="BH175" s="390"/>
      <c r="BI175" s="391"/>
      <c r="BJ175" s="389"/>
      <c r="BK175" s="390"/>
      <c r="BL175" s="390"/>
      <c r="BM175" s="391"/>
      <c r="BN175" s="389"/>
      <c r="BO175" s="390"/>
      <c r="BP175" s="390"/>
      <c r="BQ175" s="391"/>
      <c r="BR175" s="389"/>
      <c r="BS175" s="390"/>
      <c r="BT175" s="390"/>
      <c r="BU175" s="391"/>
      <c r="BV175" s="389"/>
      <c r="BW175" s="390">
        <v>1</v>
      </c>
      <c r="BX175" s="390"/>
      <c r="BY175" s="391"/>
      <c r="BZ175" s="216">
        <f t="shared" si="7"/>
        <v>1</v>
      </c>
    </row>
    <row r="176" spans="3:79" ht="15" customHeight="1">
      <c r="C176" s="217">
        <v>172</v>
      </c>
      <c r="D176" s="35" t="s">
        <v>1438</v>
      </c>
      <c r="E176" s="389"/>
      <c r="F176" s="390"/>
      <c r="G176" s="390"/>
      <c r="H176" s="391"/>
      <c r="I176" s="389"/>
      <c r="J176" s="390"/>
      <c r="K176" s="390"/>
      <c r="L176" s="391"/>
      <c r="M176" s="389"/>
      <c r="N176" s="390"/>
      <c r="O176" s="390"/>
      <c r="P176" s="391"/>
      <c r="Q176" s="389"/>
      <c r="R176" s="390"/>
      <c r="S176" s="390"/>
      <c r="T176" s="391"/>
      <c r="U176" s="389"/>
      <c r="V176" s="390"/>
      <c r="W176" s="390"/>
      <c r="X176" s="391"/>
      <c r="Y176" s="389"/>
      <c r="Z176" s="390"/>
      <c r="AA176" s="390"/>
      <c r="AB176" s="391"/>
      <c r="AC176" s="389"/>
      <c r="AD176" s="390"/>
      <c r="AE176" s="390"/>
      <c r="AF176" s="391"/>
      <c r="AG176" s="389"/>
      <c r="AH176" s="390"/>
      <c r="AI176" s="390"/>
      <c r="AJ176" s="390"/>
      <c r="AK176" s="389"/>
      <c r="AL176" s="390"/>
      <c r="AM176" s="390"/>
      <c r="AN176" s="391"/>
      <c r="AO176" s="389"/>
      <c r="AP176" s="390"/>
      <c r="AQ176" s="390"/>
      <c r="AR176" s="390"/>
      <c r="AS176" s="389"/>
      <c r="AT176" s="390"/>
      <c r="AU176" s="390"/>
      <c r="AV176" s="390"/>
      <c r="AW176" s="391"/>
      <c r="AX176" s="389"/>
      <c r="AY176" s="390"/>
      <c r="AZ176" s="390"/>
      <c r="BA176" s="391"/>
      <c r="BB176" s="389"/>
      <c r="BC176" s="390"/>
      <c r="BD176" s="390"/>
      <c r="BE176" s="391"/>
      <c r="BF176" s="389"/>
      <c r="BG176" s="390"/>
      <c r="BH176" s="390"/>
      <c r="BI176" s="391"/>
      <c r="BJ176" s="389"/>
      <c r="BK176" s="390"/>
      <c r="BL176" s="390"/>
      <c r="BM176" s="391"/>
      <c r="BN176" s="389"/>
      <c r="BO176" s="390"/>
      <c r="BP176" s="390"/>
      <c r="BQ176" s="391"/>
      <c r="BR176" s="389"/>
      <c r="BS176" s="390"/>
      <c r="BT176" s="390"/>
      <c r="BU176" s="391"/>
      <c r="BV176" s="389"/>
      <c r="BW176" s="390">
        <v>1</v>
      </c>
      <c r="BX176" s="390"/>
      <c r="BY176" s="391"/>
      <c r="BZ176" s="216">
        <f t="shared" si="7"/>
        <v>1</v>
      </c>
    </row>
    <row r="177" spans="3:78" ht="15" customHeight="1">
      <c r="C177" s="217">
        <v>173</v>
      </c>
      <c r="D177" s="35" t="s">
        <v>1439</v>
      </c>
      <c r="E177" s="389"/>
      <c r="F177" s="390"/>
      <c r="G177" s="390"/>
      <c r="H177" s="391"/>
      <c r="I177" s="389"/>
      <c r="J177" s="390"/>
      <c r="K177" s="390"/>
      <c r="L177" s="391"/>
      <c r="M177" s="389"/>
      <c r="N177" s="390"/>
      <c r="O177" s="390"/>
      <c r="P177" s="391"/>
      <c r="Q177" s="389"/>
      <c r="R177" s="390"/>
      <c r="S177" s="390"/>
      <c r="T177" s="391"/>
      <c r="U177" s="389"/>
      <c r="V177" s="390"/>
      <c r="W177" s="390"/>
      <c r="X177" s="391"/>
      <c r="Y177" s="389"/>
      <c r="Z177" s="390"/>
      <c r="AA177" s="390"/>
      <c r="AB177" s="391"/>
      <c r="AC177" s="389"/>
      <c r="AD177" s="390"/>
      <c r="AE177" s="390"/>
      <c r="AF177" s="391"/>
      <c r="AG177" s="389"/>
      <c r="AH177" s="390"/>
      <c r="AI177" s="390"/>
      <c r="AJ177" s="390"/>
      <c r="AK177" s="389"/>
      <c r="AL177" s="390"/>
      <c r="AM177" s="390"/>
      <c r="AN177" s="391"/>
      <c r="AO177" s="389"/>
      <c r="AP177" s="390"/>
      <c r="AQ177" s="390"/>
      <c r="AR177" s="390"/>
      <c r="AS177" s="389"/>
      <c r="AT177" s="390"/>
      <c r="AU177" s="390"/>
      <c r="AV177" s="390"/>
      <c r="AW177" s="391"/>
      <c r="AX177" s="389"/>
      <c r="AY177" s="390"/>
      <c r="AZ177" s="390"/>
      <c r="BA177" s="391"/>
      <c r="BB177" s="389"/>
      <c r="BC177" s="390"/>
      <c r="BD177" s="390"/>
      <c r="BE177" s="391"/>
      <c r="BF177" s="389"/>
      <c r="BG177" s="390"/>
      <c r="BH177" s="390"/>
      <c r="BI177" s="391"/>
      <c r="BJ177" s="389"/>
      <c r="BK177" s="390"/>
      <c r="BL177" s="390"/>
      <c r="BM177" s="391"/>
      <c r="BN177" s="389"/>
      <c r="BO177" s="390"/>
      <c r="BP177" s="390"/>
      <c r="BQ177" s="391"/>
      <c r="BR177" s="389"/>
      <c r="BS177" s="390"/>
      <c r="BT177" s="390"/>
      <c r="BU177" s="391"/>
      <c r="BV177" s="389"/>
      <c r="BW177" s="390">
        <v>1</v>
      </c>
      <c r="BX177" s="390"/>
      <c r="BY177" s="391"/>
      <c r="BZ177" s="216">
        <f t="shared" si="7"/>
        <v>1</v>
      </c>
    </row>
    <row r="178" spans="3:78" ht="15" customHeight="1">
      <c r="C178" s="217">
        <v>174</v>
      </c>
      <c r="D178" s="35" t="s">
        <v>1440</v>
      </c>
      <c r="E178" s="389"/>
      <c r="F178" s="390"/>
      <c r="G178" s="390"/>
      <c r="H178" s="391"/>
      <c r="I178" s="389"/>
      <c r="J178" s="390"/>
      <c r="K178" s="390"/>
      <c r="L178" s="391"/>
      <c r="M178" s="389"/>
      <c r="N178" s="390"/>
      <c r="O178" s="390"/>
      <c r="P178" s="391"/>
      <c r="Q178" s="389"/>
      <c r="R178" s="390"/>
      <c r="S178" s="390"/>
      <c r="T178" s="391"/>
      <c r="U178" s="389"/>
      <c r="V178" s="390"/>
      <c r="W178" s="390"/>
      <c r="X178" s="391"/>
      <c r="Y178" s="389"/>
      <c r="Z178" s="390"/>
      <c r="AA178" s="390"/>
      <c r="AB178" s="391"/>
      <c r="AC178" s="389"/>
      <c r="AD178" s="390"/>
      <c r="AE178" s="390"/>
      <c r="AF178" s="391"/>
      <c r="AG178" s="389"/>
      <c r="AH178" s="390"/>
      <c r="AI178" s="390"/>
      <c r="AJ178" s="390"/>
      <c r="AK178" s="389"/>
      <c r="AL178" s="390"/>
      <c r="AM178" s="390"/>
      <c r="AN178" s="391"/>
      <c r="AO178" s="389"/>
      <c r="AP178" s="390"/>
      <c r="AQ178" s="390"/>
      <c r="AR178" s="390"/>
      <c r="AS178" s="389"/>
      <c r="AT178" s="390"/>
      <c r="AU178" s="390"/>
      <c r="AV178" s="390"/>
      <c r="AW178" s="391"/>
      <c r="AX178" s="389"/>
      <c r="AY178" s="390"/>
      <c r="AZ178" s="390"/>
      <c r="BA178" s="391"/>
      <c r="BB178" s="389"/>
      <c r="BC178" s="390"/>
      <c r="BD178" s="390"/>
      <c r="BE178" s="391"/>
      <c r="BF178" s="389"/>
      <c r="BG178" s="390"/>
      <c r="BH178" s="390"/>
      <c r="BI178" s="391"/>
      <c r="BJ178" s="389"/>
      <c r="BK178" s="390"/>
      <c r="BL178" s="390"/>
      <c r="BM178" s="391"/>
      <c r="BN178" s="389"/>
      <c r="BO178" s="390"/>
      <c r="BP178" s="390"/>
      <c r="BQ178" s="391"/>
      <c r="BR178" s="389"/>
      <c r="BS178" s="390"/>
      <c r="BT178" s="390"/>
      <c r="BU178" s="391"/>
      <c r="BV178" s="389"/>
      <c r="BW178" s="390">
        <v>1</v>
      </c>
      <c r="BX178" s="390"/>
      <c r="BY178" s="391"/>
      <c r="BZ178" s="216">
        <f t="shared" si="7"/>
        <v>1</v>
      </c>
    </row>
    <row r="179" spans="3:78" ht="15" customHeight="1">
      <c r="C179" s="217">
        <v>175</v>
      </c>
      <c r="D179" s="35" t="s">
        <v>1441</v>
      </c>
      <c r="E179" s="389"/>
      <c r="F179" s="390"/>
      <c r="G179" s="390"/>
      <c r="H179" s="391"/>
      <c r="I179" s="389"/>
      <c r="J179" s="390"/>
      <c r="K179" s="390"/>
      <c r="L179" s="391"/>
      <c r="M179" s="389"/>
      <c r="N179" s="390"/>
      <c r="O179" s="390"/>
      <c r="P179" s="391"/>
      <c r="Q179" s="389"/>
      <c r="R179" s="390"/>
      <c r="S179" s="390"/>
      <c r="T179" s="391"/>
      <c r="U179" s="389"/>
      <c r="V179" s="390"/>
      <c r="W179" s="390"/>
      <c r="X179" s="391"/>
      <c r="Y179" s="389"/>
      <c r="Z179" s="390"/>
      <c r="AA179" s="390"/>
      <c r="AB179" s="391"/>
      <c r="AC179" s="389"/>
      <c r="AD179" s="390"/>
      <c r="AE179" s="390"/>
      <c r="AF179" s="391"/>
      <c r="AG179" s="389"/>
      <c r="AH179" s="390"/>
      <c r="AI179" s="390"/>
      <c r="AJ179" s="390"/>
      <c r="AK179" s="389"/>
      <c r="AL179" s="390"/>
      <c r="AM179" s="390"/>
      <c r="AN179" s="391"/>
      <c r="AO179" s="389"/>
      <c r="AP179" s="390"/>
      <c r="AQ179" s="390"/>
      <c r="AR179" s="390"/>
      <c r="AS179" s="389"/>
      <c r="AT179" s="390"/>
      <c r="AU179" s="390"/>
      <c r="AV179" s="390"/>
      <c r="AW179" s="391"/>
      <c r="AX179" s="389"/>
      <c r="AY179" s="390"/>
      <c r="AZ179" s="390"/>
      <c r="BA179" s="391"/>
      <c r="BB179" s="389"/>
      <c r="BC179" s="390"/>
      <c r="BD179" s="390"/>
      <c r="BE179" s="391"/>
      <c r="BF179" s="389"/>
      <c r="BG179" s="390"/>
      <c r="BH179" s="390"/>
      <c r="BI179" s="391"/>
      <c r="BJ179" s="389"/>
      <c r="BK179" s="390"/>
      <c r="BL179" s="390"/>
      <c r="BM179" s="391"/>
      <c r="BN179" s="389"/>
      <c r="BO179" s="390"/>
      <c r="BP179" s="390"/>
      <c r="BQ179" s="391"/>
      <c r="BR179" s="389"/>
      <c r="BS179" s="390"/>
      <c r="BT179" s="390"/>
      <c r="BU179" s="391"/>
      <c r="BV179" s="389"/>
      <c r="BW179" s="390">
        <v>1</v>
      </c>
      <c r="BX179" s="390"/>
      <c r="BY179" s="391"/>
      <c r="BZ179" s="216">
        <f t="shared" si="7"/>
        <v>1</v>
      </c>
    </row>
    <row r="180" spans="3:78" ht="15" customHeight="1">
      <c r="C180" s="217">
        <v>176</v>
      </c>
      <c r="D180" s="35" t="s">
        <v>1442</v>
      </c>
      <c r="E180" s="389"/>
      <c r="F180" s="390"/>
      <c r="G180" s="390"/>
      <c r="H180" s="391"/>
      <c r="I180" s="389"/>
      <c r="J180" s="390"/>
      <c r="K180" s="390"/>
      <c r="L180" s="391"/>
      <c r="M180" s="389"/>
      <c r="N180" s="390"/>
      <c r="O180" s="390"/>
      <c r="P180" s="391"/>
      <c r="Q180" s="389"/>
      <c r="R180" s="390"/>
      <c r="S180" s="390"/>
      <c r="T180" s="391"/>
      <c r="U180" s="389"/>
      <c r="V180" s="390"/>
      <c r="W180" s="390"/>
      <c r="X180" s="391"/>
      <c r="Y180" s="389"/>
      <c r="Z180" s="390"/>
      <c r="AA180" s="390"/>
      <c r="AB180" s="391"/>
      <c r="AC180" s="389"/>
      <c r="AD180" s="390"/>
      <c r="AE180" s="390"/>
      <c r="AF180" s="391"/>
      <c r="AG180" s="389"/>
      <c r="AH180" s="390"/>
      <c r="AI180" s="390"/>
      <c r="AJ180" s="390"/>
      <c r="AK180" s="389"/>
      <c r="AL180" s="390"/>
      <c r="AM180" s="390"/>
      <c r="AN180" s="391"/>
      <c r="AO180" s="389"/>
      <c r="AP180" s="390"/>
      <c r="AQ180" s="390"/>
      <c r="AR180" s="390"/>
      <c r="AS180" s="389"/>
      <c r="AT180" s="390"/>
      <c r="AU180" s="390"/>
      <c r="AV180" s="390"/>
      <c r="AW180" s="391"/>
      <c r="AX180" s="389"/>
      <c r="AY180" s="390"/>
      <c r="AZ180" s="390"/>
      <c r="BA180" s="391"/>
      <c r="BB180" s="389"/>
      <c r="BC180" s="390"/>
      <c r="BD180" s="390"/>
      <c r="BE180" s="391"/>
      <c r="BF180" s="389"/>
      <c r="BG180" s="390"/>
      <c r="BH180" s="390"/>
      <c r="BI180" s="391"/>
      <c r="BJ180" s="389"/>
      <c r="BK180" s="390"/>
      <c r="BL180" s="390"/>
      <c r="BM180" s="391"/>
      <c r="BN180" s="389"/>
      <c r="BO180" s="390"/>
      <c r="BP180" s="390"/>
      <c r="BQ180" s="391"/>
      <c r="BR180" s="389"/>
      <c r="BS180" s="390"/>
      <c r="BT180" s="390"/>
      <c r="BU180" s="391"/>
      <c r="BV180" s="389"/>
      <c r="BW180" s="390">
        <v>1</v>
      </c>
      <c r="BX180" s="390"/>
      <c r="BY180" s="391"/>
      <c r="BZ180" s="216">
        <f t="shared" si="7"/>
        <v>1</v>
      </c>
    </row>
    <row r="181" spans="3:78" ht="15" customHeight="1">
      <c r="C181" s="217">
        <v>177</v>
      </c>
      <c r="D181" s="35" t="s">
        <v>1443</v>
      </c>
      <c r="E181" s="389"/>
      <c r="F181" s="390"/>
      <c r="G181" s="390"/>
      <c r="H181" s="391"/>
      <c r="I181" s="389"/>
      <c r="J181" s="390"/>
      <c r="K181" s="390"/>
      <c r="L181" s="391"/>
      <c r="M181" s="389"/>
      <c r="N181" s="390"/>
      <c r="O181" s="390"/>
      <c r="P181" s="391"/>
      <c r="Q181" s="389"/>
      <c r="R181" s="390"/>
      <c r="S181" s="390"/>
      <c r="T181" s="391"/>
      <c r="U181" s="389"/>
      <c r="V181" s="390"/>
      <c r="W181" s="390"/>
      <c r="X181" s="391"/>
      <c r="Y181" s="389"/>
      <c r="Z181" s="390"/>
      <c r="AA181" s="390"/>
      <c r="AB181" s="391"/>
      <c r="AC181" s="389"/>
      <c r="AD181" s="390"/>
      <c r="AE181" s="390"/>
      <c r="AF181" s="391"/>
      <c r="AG181" s="389"/>
      <c r="AH181" s="390"/>
      <c r="AI181" s="390"/>
      <c r="AJ181" s="390"/>
      <c r="AK181" s="389"/>
      <c r="AL181" s="390"/>
      <c r="AM181" s="390"/>
      <c r="AN181" s="391"/>
      <c r="AO181" s="389"/>
      <c r="AP181" s="390"/>
      <c r="AQ181" s="390"/>
      <c r="AR181" s="390"/>
      <c r="AS181" s="389"/>
      <c r="AT181" s="390"/>
      <c r="AU181" s="390"/>
      <c r="AV181" s="390"/>
      <c r="AW181" s="391"/>
      <c r="AX181" s="389"/>
      <c r="AY181" s="390"/>
      <c r="AZ181" s="390"/>
      <c r="BA181" s="391"/>
      <c r="BB181" s="389"/>
      <c r="BC181" s="390"/>
      <c r="BD181" s="390"/>
      <c r="BE181" s="391"/>
      <c r="BF181" s="389"/>
      <c r="BG181" s="390"/>
      <c r="BH181" s="390"/>
      <c r="BI181" s="391"/>
      <c r="BJ181" s="389"/>
      <c r="BK181" s="390"/>
      <c r="BL181" s="390"/>
      <c r="BM181" s="391"/>
      <c r="BN181" s="389"/>
      <c r="BO181" s="390"/>
      <c r="BP181" s="390"/>
      <c r="BQ181" s="391"/>
      <c r="BR181" s="389"/>
      <c r="BS181" s="390"/>
      <c r="BT181" s="390"/>
      <c r="BU181" s="391"/>
      <c r="BV181" s="389"/>
      <c r="BW181" s="390">
        <v>1</v>
      </c>
      <c r="BX181" s="390"/>
      <c r="BY181" s="391"/>
      <c r="BZ181" s="216">
        <f t="shared" si="7"/>
        <v>1</v>
      </c>
    </row>
    <row r="182" spans="3:78" ht="15" customHeight="1">
      <c r="C182" s="217">
        <v>178</v>
      </c>
      <c r="D182" s="35" t="s">
        <v>1444</v>
      </c>
      <c r="E182" s="389"/>
      <c r="F182" s="390"/>
      <c r="G182" s="390"/>
      <c r="H182" s="391"/>
      <c r="I182" s="389"/>
      <c r="J182" s="390"/>
      <c r="K182" s="390"/>
      <c r="L182" s="391"/>
      <c r="M182" s="389"/>
      <c r="N182" s="390"/>
      <c r="O182" s="390"/>
      <c r="P182" s="391"/>
      <c r="Q182" s="389"/>
      <c r="R182" s="390"/>
      <c r="S182" s="390"/>
      <c r="T182" s="391"/>
      <c r="U182" s="389"/>
      <c r="V182" s="390"/>
      <c r="W182" s="390"/>
      <c r="X182" s="391"/>
      <c r="Y182" s="389"/>
      <c r="Z182" s="390"/>
      <c r="AA182" s="390"/>
      <c r="AB182" s="391"/>
      <c r="AC182" s="389"/>
      <c r="AD182" s="390"/>
      <c r="AE182" s="390"/>
      <c r="AF182" s="391"/>
      <c r="AG182" s="389"/>
      <c r="AH182" s="390"/>
      <c r="AI182" s="390"/>
      <c r="AJ182" s="390"/>
      <c r="AK182" s="389"/>
      <c r="AL182" s="390"/>
      <c r="AM182" s="390"/>
      <c r="AN182" s="391"/>
      <c r="AO182" s="389"/>
      <c r="AP182" s="390"/>
      <c r="AQ182" s="390"/>
      <c r="AR182" s="390"/>
      <c r="AS182" s="389"/>
      <c r="AT182" s="390"/>
      <c r="AU182" s="390"/>
      <c r="AV182" s="390"/>
      <c r="AW182" s="391"/>
      <c r="AX182" s="389"/>
      <c r="AY182" s="390"/>
      <c r="AZ182" s="390"/>
      <c r="BA182" s="391"/>
      <c r="BB182" s="389"/>
      <c r="BC182" s="390"/>
      <c r="BD182" s="390"/>
      <c r="BE182" s="391"/>
      <c r="BF182" s="389"/>
      <c r="BG182" s="390"/>
      <c r="BH182" s="390"/>
      <c r="BI182" s="391"/>
      <c r="BJ182" s="389"/>
      <c r="BK182" s="390"/>
      <c r="BL182" s="390"/>
      <c r="BM182" s="391"/>
      <c r="BN182" s="389"/>
      <c r="BO182" s="390"/>
      <c r="BP182" s="390"/>
      <c r="BQ182" s="391"/>
      <c r="BR182" s="389"/>
      <c r="BS182" s="390"/>
      <c r="BT182" s="390"/>
      <c r="BU182" s="391"/>
      <c r="BV182" s="389"/>
      <c r="BW182" s="390">
        <v>1</v>
      </c>
      <c r="BX182" s="390"/>
      <c r="BY182" s="391"/>
      <c r="BZ182" s="216">
        <f t="shared" si="7"/>
        <v>1</v>
      </c>
    </row>
    <row r="183" spans="3:78" ht="15" customHeight="1">
      <c r="C183" s="217">
        <v>179</v>
      </c>
      <c r="D183" s="35" t="s">
        <v>1445</v>
      </c>
      <c r="E183" s="389"/>
      <c r="F183" s="390"/>
      <c r="G183" s="390"/>
      <c r="H183" s="391"/>
      <c r="I183" s="389"/>
      <c r="J183" s="390"/>
      <c r="K183" s="390"/>
      <c r="L183" s="391"/>
      <c r="M183" s="389"/>
      <c r="N183" s="390"/>
      <c r="O183" s="390"/>
      <c r="P183" s="391"/>
      <c r="Q183" s="389"/>
      <c r="R183" s="390"/>
      <c r="S183" s="390"/>
      <c r="T183" s="391"/>
      <c r="U183" s="389"/>
      <c r="V183" s="390"/>
      <c r="W183" s="390"/>
      <c r="X183" s="391"/>
      <c r="Y183" s="389"/>
      <c r="Z183" s="390"/>
      <c r="AA183" s="390"/>
      <c r="AB183" s="391"/>
      <c r="AC183" s="389"/>
      <c r="AD183" s="390"/>
      <c r="AE183" s="390"/>
      <c r="AF183" s="391"/>
      <c r="AG183" s="389"/>
      <c r="AH183" s="390"/>
      <c r="AI183" s="390"/>
      <c r="AJ183" s="390"/>
      <c r="AK183" s="389"/>
      <c r="AL183" s="390"/>
      <c r="AM183" s="390"/>
      <c r="AN183" s="391"/>
      <c r="AO183" s="389"/>
      <c r="AP183" s="390"/>
      <c r="AQ183" s="390"/>
      <c r="AR183" s="390"/>
      <c r="AS183" s="389"/>
      <c r="AT183" s="390"/>
      <c r="AU183" s="390"/>
      <c r="AV183" s="390"/>
      <c r="AW183" s="391"/>
      <c r="AX183" s="389"/>
      <c r="AY183" s="390"/>
      <c r="AZ183" s="390"/>
      <c r="BA183" s="391"/>
      <c r="BB183" s="389"/>
      <c r="BC183" s="390"/>
      <c r="BD183" s="390"/>
      <c r="BE183" s="391"/>
      <c r="BF183" s="389"/>
      <c r="BG183" s="390"/>
      <c r="BH183" s="390"/>
      <c r="BI183" s="391"/>
      <c r="BJ183" s="389"/>
      <c r="BK183" s="390"/>
      <c r="BL183" s="390"/>
      <c r="BM183" s="391"/>
      <c r="BN183" s="389"/>
      <c r="BO183" s="390"/>
      <c r="BP183" s="390"/>
      <c r="BQ183" s="391"/>
      <c r="BR183" s="389"/>
      <c r="BS183" s="390"/>
      <c r="BT183" s="390"/>
      <c r="BU183" s="391"/>
      <c r="BV183" s="389"/>
      <c r="BW183" s="390">
        <v>1</v>
      </c>
      <c r="BX183" s="390"/>
      <c r="BY183" s="391"/>
      <c r="BZ183" s="216">
        <f t="shared" si="7"/>
        <v>1</v>
      </c>
    </row>
    <row r="184" spans="3:78" ht="15" customHeight="1">
      <c r="C184" s="217">
        <v>180</v>
      </c>
      <c r="D184" s="35" t="s">
        <v>1446</v>
      </c>
      <c r="E184" s="389"/>
      <c r="F184" s="390"/>
      <c r="G184" s="390"/>
      <c r="H184" s="391"/>
      <c r="I184" s="389"/>
      <c r="J184" s="390"/>
      <c r="K184" s="390"/>
      <c r="L184" s="391"/>
      <c r="M184" s="389"/>
      <c r="N184" s="390"/>
      <c r="O184" s="390"/>
      <c r="P184" s="391"/>
      <c r="Q184" s="389"/>
      <c r="R184" s="390"/>
      <c r="S184" s="390"/>
      <c r="T184" s="391"/>
      <c r="U184" s="389"/>
      <c r="V184" s="390"/>
      <c r="W184" s="390"/>
      <c r="X184" s="391"/>
      <c r="Y184" s="389"/>
      <c r="Z184" s="390"/>
      <c r="AA184" s="390"/>
      <c r="AB184" s="391"/>
      <c r="AC184" s="389"/>
      <c r="AD184" s="390"/>
      <c r="AE184" s="390"/>
      <c r="AF184" s="391"/>
      <c r="AG184" s="389"/>
      <c r="AH184" s="390"/>
      <c r="AI184" s="390"/>
      <c r="AJ184" s="390"/>
      <c r="AK184" s="389"/>
      <c r="AL184" s="390"/>
      <c r="AM184" s="390"/>
      <c r="AN184" s="391"/>
      <c r="AO184" s="389"/>
      <c r="AP184" s="390"/>
      <c r="AQ184" s="390"/>
      <c r="AR184" s="390"/>
      <c r="AS184" s="389"/>
      <c r="AT184" s="390"/>
      <c r="AU184" s="390"/>
      <c r="AV184" s="390"/>
      <c r="AW184" s="391"/>
      <c r="AX184" s="389"/>
      <c r="AY184" s="390"/>
      <c r="AZ184" s="390"/>
      <c r="BA184" s="391"/>
      <c r="BB184" s="389"/>
      <c r="BC184" s="390"/>
      <c r="BD184" s="390"/>
      <c r="BE184" s="391"/>
      <c r="BF184" s="389"/>
      <c r="BG184" s="390"/>
      <c r="BH184" s="390"/>
      <c r="BI184" s="391"/>
      <c r="BJ184" s="389"/>
      <c r="BK184" s="390"/>
      <c r="BL184" s="390"/>
      <c r="BM184" s="391"/>
      <c r="BN184" s="389"/>
      <c r="BO184" s="390"/>
      <c r="BP184" s="390"/>
      <c r="BQ184" s="391"/>
      <c r="BR184" s="389"/>
      <c r="BS184" s="390"/>
      <c r="BT184" s="390"/>
      <c r="BU184" s="391"/>
      <c r="BV184" s="389"/>
      <c r="BW184" s="390">
        <v>1</v>
      </c>
      <c r="BX184" s="390"/>
      <c r="BY184" s="391"/>
      <c r="BZ184" s="216">
        <f t="shared" si="7"/>
        <v>1</v>
      </c>
    </row>
    <row r="185" spans="3:78" ht="15" customHeight="1">
      <c r="C185" s="217">
        <v>181</v>
      </c>
      <c r="D185" s="35" t="s">
        <v>1447</v>
      </c>
      <c r="E185" s="389"/>
      <c r="F185" s="390"/>
      <c r="G185" s="390"/>
      <c r="H185" s="391"/>
      <c r="I185" s="389"/>
      <c r="J185" s="390"/>
      <c r="K185" s="390"/>
      <c r="L185" s="391"/>
      <c r="M185" s="389"/>
      <c r="N185" s="390"/>
      <c r="O185" s="390"/>
      <c r="P185" s="391"/>
      <c r="Q185" s="389"/>
      <c r="R185" s="390"/>
      <c r="S185" s="390"/>
      <c r="T185" s="391"/>
      <c r="U185" s="389"/>
      <c r="V185" s="390"/>
      <c r="W185" s="390"/>
      <c r="X185" s="391"/>
      <c r="Y185" s="389"/>
      <c r="Z185" s="390"/>
      <c r="AA185" s="390"/>
      <c r="AB185" s="391"/>
      <c r="AC185" s="389"/>
      <c r="AD185" s="390"/>
      <c r="AE185" s="390"/>
      <c r="AF185" s="391"/>
      <c r="AG185" s="389"/>
      <c r="AH185" s="390"/>
      <c r="AI185" s="390"/>
      <c r="AJ185" s="390"/>
      <c r="AK185" s="389"/>
      <c r="AL185" s="390"/>
      <c r="AM185" s="390"/>
      <c r="AN185" s="391"/>
      <c r="AO185" s="389"/>
      <c r="AP185" s="390"/>
      <c r="AQ185" s="390"/>
      <c r="AR185" s="390"/>
      <c r="AS185" s="389"/>
      <c r="AT185" s="390"/>
      <c r="AU185" s="390"/>
      <c r="AV185" s="390"/>
      <c r="AW185" s="391"/>
      <c r="AX185" s="389"/>
      <c r="AY185" s="390"/>
      <c r="AZ185" s="390"/>
      <c r="BA185" s="391"/>
      <c r="BB185" s="389"/>
      <c r="BC185" s="390"/>
      <c r="BD185" s="390"/>
      <c r="BE185" s="391"/>
      <c r="BF185" s="389"/>
      <c r="BG185" s="390"/>
      <c r="BH185" s="390"/>
      <c r="BI185" s="391"/>
      <c r="BJ185" s="389"/>
      <c r="BK185" s="390"/>
      <c r="BL185" s="390"/>
      <c r="BM185" s="391"/>
      <c r="BN185" s="389"/>
      <c r="BO185" s="390"/>
      <c r="BP185" s="390"/>
      <c r="BQ185" s="391"/>
      <c r="BR185" s="389"/>
      <c r="BS185" s="390">
        <v>1</v>
      </c>
      <c r="BT185" s="390"/>
      <c r="BU185" s="391"/>
      <c r="BV185" s="389"/>
      <c r="BW185" s="390"/>
      <c r="BX185" s="390"/>
      <c r="BY185" s="391"/>
      <c r="BZ185" s="216">
        <f t="shared" si="7"/>
        <v>1</v>
      </c>
    </row>
    <row r="186" spans="3:78" ht="15" customHeight="1">
      <c r="C186" s="217">
        <v>182</v>
      </c>
      <c r="D186" s="35" t="s">
        <v>1448</v>
      </c>
      <c r="E186" s="389"/>
      <c r="F186" s="390"/>
      <c r="G186" s="390"/>
      <c r="H186" s="391"/>
      <c r="I186" s="389"/>
      <c r="J186" s="390"/>
      <c r="K186" s="390"/>
      <c r="L186" s="391"/>
      <c r="M186" s="389"/>
      <c r="N186" s="390"/>
      <c r="O186" s="390"/>
      <c r="P186" s="391"/>
      <c r="Q186" s="389"/>
      <c r="R186" s="390"/>
      <c r="S186" s="390"/>
      <c r="T186" s="391"/>
      <c r="U186" s="389"/>
      <c r="V186" s="390"/>
      <c r="W186" s="390"/>
      <c r="X186" s="391"/>
      <c r="Y186" s="389"/>
      <c r="Z186" s="390"/>
      <c r="AA186" s="390"/>
      <c r="AB186" s="391"/>
      <c r="AC186" s="389"/>
      <c r="AD186" s="390"/>
      <c r="AE186" s="390"/>
      <c r="AF186" s="391"/>
      <c r="AG186" s="389"/>
      <c r="AH186" s="390"/>
      <c r="AI186" s="390"/>
      <c r="AJ186" s="390"/>
      <c r="AK186" s="389"/>
      <c r="AL186" s="390"/>
      <c r="AM186" s="390"/>
      <c r="AN186" s="391"/>
      <c r="AO186" s="389"/>
      <c r="AP186" s="390"/>
      <c r="AQ186" s="390"/>
      <c r="AR186" s="390"/>
      <c r="AS186" s="389"/>
      <c r="AT186" s="390"/>
      <c r="AU186" s="390"/>
      <c r="AV186" s="390"/>
      <c r="AW186" s="391"/>
      <c r="AX186" s="389"/>
      <c r="AY186" s="390"/>
      <c r="AZ186" s="390"/>
      <c r="BA186" s="391"/>
      <c r="BB186" s="389"/>
      <c r="BC186" s="390"/>
      <c r="BD186" s="390"/>
      <c r="BE186" s="391"/>
      <c r="BF186" s="389"/>
      <c r="BG186" s="390"/>
      <c r="BH186" s="390"/>
      <c r="BI186" s="391"/>
      <c r="BJ186" s="389"/>
      <c r="BK186" s="390"/>
      <c r="BL186" s="390"/>
      <c r="BM186" s="391"/>
      <c r="BN186" s="389"/>
      <c r="BO186" s="390"/>
      <c r="BP186" s="390"/>
      <c r="BQ186" s="391"/>
      <c r="BR186" s="389"/>
      <c r="BS186" s="390">
        <v>1</v>
      </c>
      <c r="BT186" s="390"/>
      <c r="BU186" s="391"/>
      <c r="BV186" s="389"/>
      <c r="BW186" s="390"/>
      <c r="BX186" s="390"/>
      <c r="BY186" s="391"/>
      <c r="BZ186" s="216">
        <f t="shared" si="7"/>
        <v>1</v>
      </c>
    </row>
    <row r="187" spans="3:78" ht="15" customHeight="1">
      <c r="C187" s="217">
        <v>183</v>
      </c>
      <c r="D187" s="35" t="s">
        <v>1449</v>
      </c>
      <c r="E187" s="389"/>
      <c r="F187" s="390"/>
      <c r="G187" s="390"/>
      <c r="H187" s="391"/>
      <c r="I187" s="389"/>
      <c r="J187" s="390"/>
      <c r="K187" s="390"/>
      <c r="L187" s="391"/>
      <c r="M187" s="389"/>
      <c r="N187" s="390"/>
      <c r="O187" s="390"/>
      <c r="P187" s="391"/>
      <c r="Q187" s="389"/>
      <c r="R187" s="390"/>
      <c r="S187" s="390"/>
      <c r="T187" s="391"/>
      <c r="U187" s="389"/>
      <c r="V187" s="390"/>
      <c r="W187" s="390"/>
      <c r="X187" s="391"/>
      <c r="Y187" s="389"/>
      <c r="Z187" s="390"/>
      <c r="AA187" s="390"/>
      <c r="AB187" s="391"/>
      <c r="AC187" s="389"/>
      <c r="AD187" s="390"/>
      <c r="AE187" s="390"/>
      <c r="AF187" s="391"/>
      <c r="AG187" s="389"/>
      <c r="AH187" s="390"/>
      <c r="AI187" s="390"/>
      <c r="AJ187" s="390"/>
      <c r="AK187" s="389"/>
      <c r="AL187" s="390"/>
      <c r="AM187" s="390"/>
      <c r="AN187" s="391"/>
      <c r="AO187" s="389"/>
      <c r="AP187" s="390"/>
      <c r="AQ187" s="390"/>
      <c r="AR187" s="390"/>
      <c r="AS187" s="389"/>
      <c r="AT187" s="390"/>
      <c r="AU187" s="390"/>
      <c r="AV187" s="390"/>
      <c r="AW187" s="391"/>
      <c r="AX187" s="389"/>
      <c r="AY187" s="390"/>
      <c r="AZ187" s="390"/>
      <c r="BA187" s="391"/>
      <c r="BB187" s="389"/>
      <c r="BC187" s="390"/>
      <c r="BD187" s="390"/>
      <c r="BE187" s="391"/>
      <c r="BF187" s="389"/>
      <c r="BG187" s="390"/>
      <c r="BH187" s="390"/>
      <c r="BI187" s="391"/>
      <c r="BJ187" s="389"/>
      <c r="BK187" s="390"/>
      <c r="BL187" s="390"/>
      <c r="BM187" s="391"/>
      <c r="BN187" s="389"/>
      <c r="BO187" s="390"/>
      <c r="BP187" s="390"/>
      <c r="BQ187" s="391"/>
      <c r="BR187" s="389"/>
      <c r="BS187" s="390">
        <v>1</v>
      </c>
      <c r="BT187" s="390"/>
      <c r="BU187" s="391"/>
      <c r="BV187" s="389"/>
      <c r="BW187" s="390"/>
      <c r="BX187" s="390"/>
      <c r="BY187" s="391"/>
      <c r="BZ187" s="216">
        <f t="shared" si="7"/>
        <v>1</v>
      </c>
    </row>
    <row r="188" spans="3:78" ht="15" customHeight="1">
      <c r="C188" s="217">
        <v>184</v>
      </c>
      <c r="D188" s="35" t="s">
        <v>1450</v>
      </c>
      <c r="E188" s="389"/>
      <c r="F188" s="390"/>
      <c r="G188" s="390"/>
      <c r="H188" s="391"/>
      <c r="I188" s="389"/>
      <c r="J188" s="390"/>
      <c r="K188" s="390"/>
      <c r="L188" s="391"/>
      <c r="M188" s="389"/>
      <c r="N188" s="390"/>
      <c r="O188" s="390"/>
      <c r="P188" s="391"/>
      <c r="Q188" s="389"/>
      <c r="R188" s="390"/>
      <c r="S188" s="390"/>
      <c r="T188" s="391"/>
      <c r="U188" s="389"/>
      <c r="V188" s="390"/>
      <c r="W188" s="390"/>
      <c r="X188" s="391"/>
      <c r="Y188" s="389"/>
      <c r="Z188" s="390"/>
      <c r="AA188" s="390"/>
      <c r="AB188" s="391"/>
      <c r="AC188" s="389"/>
      <c r="AD188" s="390"/>
      <c r="AE188" s="390"/>
      <c r="AF188" s="391"/>
      <c r="AG188" s="389"/>
      <c r="AH188" s="390"/>
      <c r="AI188" s="390"/>
      <c r="AJ188" s="390"/>
      <c r="AK188" s="389"/>
      <c r="AL188" s="390"/>
      <c r="AM188" s="390"/>
      <c r="AN188" s="391"/>
      <c r="AO188" s="389"/>
      <c r="AP188" s="390"/>
      <c r="AQ188" s="390"/>
      <c r="AR188" s="390"/>
      <c r="AS188" s="389"/>
      <c r="AT188" s="390"/>
      <c r="AU188" s="390"/>
      <c r="AV188" s="390"/>
      <c r="AW188" s="391"/>
      <c r="AX188" s="389"/>
      <c r="AY188" s="390"/>
      <c r="AZ188" s="390"/>
      <c r="BA188" s="391"/>
      <c r="BB188" s="389"/>
      <c r="BC188" s="390"/>
      <c r="BD188" s="390"/>
      <c r="BE188" s="391"/>
      <c r="BF188" s="389"/>
      <c r="BG188" s="390"/>
      <c r="BH188" s="390"/>
      <c r="BI188" s="391"/>
      <c r="BJ188" s="389"/>
      <c r="BK188" s="390"/>
      <c r="BL188" s="390"/>
      <c r="BM188" s="391"/>
      <c r="BN188" s="389"/>
      <c r="BO188" s="390"/>
      <c r="BP188" s="390"/>
      <c r="BQ188" s="391"/>
      <c r="BR188" s="389"/>
      <c r="BS188" s="390"/>
      <c r="BT188" s="390"/>
      <c r="BU188" s="391"/>
      <c r="BV188" s="389"/>
      <c r="BW188" s="390">
        <v>1</v>
      </c>
      <c r="BX188" s="390"/>
      <c r="BY188" s="391"/>
      <c r="BZ188" s="216">
        <f t="shared" si="7"/>
        <v>1</v>
      </c>
    </row>
    <row r="189" spans="3:78" ht="15" customHeight="1">
      <c r="C189" s="217">
        <v>185</v>
      </c>
      <c r="D189" s="35" t="s">
        <v>1451</v>
      </c>
      <c r="E189" s="389"/>
      <c r="F189" s="390"/>
      <c r="G189" s="390"/>
      <c r="H189" s="391"/>
      <c r="I189" s="389"/>
      <c r="J189" s="390"/>
      <c r="K189" s="390"/>
      <c r="L189" s="391"/>
      <c r="M189" s="389"/>
      <c r="N189" s="390"/>
      <c r="O189" s="390"/>
      <c r="P189" s="391"/>
      <c r="Q189" s="389"/>
      <c r="R189" s="390"/>
      <c r="S189" s="390"/>
      <c r="T189" s="391"/>
      <c r="U189" s="389"/>
      <c r="V189" s="390"/>
      <c r="W189" s="390"/>
      <c r="X189" s="391"/>
      <c r="Y189" s="389"/>
      <c r="Z189" s="390"/>
      <c r="AA189" s="390"/>
      <c r="AB189" s="391"/>
      <c r="AC189" s="389"/>
      <c r="AD189" s="390"/>
      <c r="AE189" s="390"/>
      <c r="AF189" s="391"/>
      <c r="AG189" s="389"/>
      <c r="AH189" s="390"/>
      <c r="AI189" s="390"/>
      <c r="AJ189" s="390"/>
      <c r="AK189" s="389"/>
      <c r="AL189" s="390"/>
      <c r="AM189" s="390"/>
      <c r="AN189" s="391"/>
      <c r="AO189" s="389"/>
      <c r="AP189" s="390"/>
      <c r="AQ189" s="390"/>
      <c r="AR189" s="390"/>
      <c r="AS189" s="389"/>
      <c r="AT189" s="390"/>
      <c r="AU189" s="390"/>
      <c r="AV189" s="390"/>
      <c r="AW189" s="391"/>
      <c r="AX189" s="389"/>
      <c r="AY189" s="390"/>
      <c r="AZ189" s="390"/>
      <c r="BA189" s="391"/>
      <c r="BB189" s="389"/>
      <c r="BC189" s="390"/>
      <c r="BD189" s="390"/>
      <c r="BE189" s="391"/>
      <c r="BF189" s="389"/>
      <c r="BG189" s="390"/>
      <c r="BH189" s="390"/>
      <c r="BI189" s="391"/>
      <c r="BJ189" s="389"/>
      <c r="BK189" s="390"/>
      <c r="BL189" s="390"/>
      <c r="BM189" s="391"/>
      <c r="BN189" s="389"/>
      <c r="BO189" s="390"/>
      <c r="BP189" s="390"/>
      <c r="BQ189" s="391"/>
      <c r="BR189" s="389"/>
      <c r="BS189" s="390"/>
      <c r="BT189" s="390"/>
      <c r="BU189" s="391"/>
      <c r="BV189" s="389"/>
      <c r="BW189" s="390">
        <v>1</v>
      </c>
      <c r="BX189" s="390"/>
      <c r="BY189" s="391"/>
      <c r="BZ189" s="216">
        <f t="shared" si="7"/>
        <v>1</v>
      </c>
    </row>
    <row r="190" spans="3:78" ht="15" customHeight="1">
      <c r="C190" s="217">
        <v>186</v>
      </c>
      <c r="D190" s="35" t="s">
        <v>1452</v>
      </c>
      <c r="E190" s="389"/>
      <c r="F190" s="390"/>
      <c r="G190" s="390"/>
      <c r="H190" s="391"/>
      <c r="I190" s="389"/>
      <c r="J190" s="390"/>
      <c r="K190" s="390"/>
      <c r="L190" s="391"/>
      <c r="M190" s="389"/>
      <c r="N190" s="390"/>
      <c r="O190" s="390"/>
      <c r="P190" s="391"/>
      <c r="Q190" s="389"/>
      <c r="R190" s="390"/>
      <c r="S190" s="390"/>
      <c r="T190" s="391"/>
      <c r="U190" s="389"/>
      <c r="V190" s="390"/>
      <c r="W190" s="390"/>
      <c r="X190" s="391"/>
      <c r="Y190" s="389"/>
      <c r="Z190" s="390"/>
      <c r="AA190" s="390"/>
      <c r="AB190" s="391"/>
      <c r="AC190" s="389"/>
      <c r="AD190" s="390"/>
      <c r="AE190" s="390"/>
      <c r="AF190" s="391"/>
      <c r="AG190" s="389"/>
      <c r="AH190" s="390"/>
      <c r="AI190" s="390"/>
      <c r="AJ190" s="390"/>
      <c r="AK190" s="389"/>
      <c r="AL190" s="390"/>
      <c r="AM190" s="390"/>
      <c r="AN190" s="391"/>
      <c r="AO190" s="389"/>
      <c r="AP190" s="390"/>
      <c r="AQ190" s="390"/>
      <c r="AR190" s="390"/>
      <c r="AS190" s="389"/>
      <c r="AT190" s="390"/>
      <c r="AU190" s="390"/>
      <c r="AV190" s="390"/>
      <c r="AW190" s="391"/>
      <c r="AX190" s="389"/>
      <c r="AY190" s="390"/>
      <c r="AZ190" s="390"/>
      <c r="BA190" s="391"/>
      <c r="BB190" s="389"/>
      <c r="BC190" s="390"/>
      <c r="BD190" s="390"/>
      <c r="BE190" s="391"/>
      <c r="BF190" s="389"/>
      <c r="BG190" s="390"/>
      <c r="BH190" s="390"/>
      <c r="BI190" s="391"/>
      <c r="BJ190" s="389"/>
      <c r="BK190" s="390"/>
      <c r="BL190" s="390"/>
      <c r="BM190" s="391"/>
      <c r="BN190" s="389"/>
      <c r="BO190" s="390"/>
      <c r="BP190" s="390"/>
      <c r="BQ190" s="391"/>
      <c r="BR190" s="389"/>
      <c r="BS190" s="390"/>
      <c r="BT190" s="390"/>
      <c r="BU190" s="391"/>
      <c r="BV190" s="389"/>
      <c r="BW190" s="390">
        <v>1</v>
      </c>
      <c r="BX190" s="390"/>
      <c r="BY190" s="391"/>
      <c r="BZ190" s="216">
        <f t="shared" si="7"/>
        <v>1</v>
      </c>
    </row>
    <row r="191" spans="3:78" ht="15" customHeight="1">
      <c r="C191" s="217">
        <v>187</v>
      </c>
      <c r="D191" s="35" t="s">
        <v>1453</v>
      </c>
      <c r="E191" s="389"/>
      <c r="F191" s="390"/>
      <c r="G191" s="390"/>
      <c r="H191" s="391"/>
      <c r="I191" s="389"/>
      <c r="J191" s="390"/>
      <c r="K191" s="390"/>
      <c r="L191" s="391"/>
      <c r="M191" s="389"/>
      <c r="N191" s="390"/>
      <c r="O191" s="390"/>
      <c r="P191" s="391"/>
      <c r="Q191" s="389"/>
      <c r="R191" s="390"/>
      <c r="S191" s="390"/>
      <c r="T191" s="391"/>
      <c r="U191" s="389"/>
      <c r="V191" s="390"/>
      <c r="W191" s="390"/>
      <c r="X191" s="391"/>
      <c r="Y191" s="389"/>
      <c r="Z191" s="390"/>
      <c r="AA191" s="390"/>
      <c r="AB191" s="391"/>
      <c r="AC191" s="389"/>
      <c r="AD191" s="390"/>
      <c r="AE191" s="390"/>
      <c r="AF191" s="391"/>
      <c r="AG191" s="389"/>
      <c r="AH191" s="390"/>
      <c r="AI191" s="390"/>
      <c r="AJ191" s="390"/>
      <c r="AK191" s="389"/>
      <c r="AL191" s="390"/>
      <c r="AM191" s="390"/>
      <c r="AN191" s="391"/>
      <c r="AO191" s="389"/>
      <c r="AP191" s="390"/>
      <c r="AQ191" s="390"/>
      <c r="AR191" s="390"/>
      <c r="AS191" s="389"/>
      <c r="AT191" s="390"/>
      <c r="AU191" s="390"/>
      <c r="AV191" s="390"/>
      <c r="AW191" s="391"/>
      <c r="AX191" s="389"/>
      <c r="AY191" s="390"/>
      <c r="AZ191" s="390"/>
      <c r="BA191" s="391"/>
      <c r="BB191" s="389"/>
      <c r="BC191" s="390"/>
      <c r="BD191" s="390"/>
      <c r="BE191" s="391"/>
      <c r="BF191" s="389"/>
      <c r="BG191" s="390"/>
      <c r="BH191" s="390"/>
      <c r="BI191" s="391"/>
      <c r="BJ191" s="389"/>
      <c r="BK191" s="390"/>
      <c r="BL191" s="390"/>
      <c r="BM191" s="391"/>
      <c r="BN191" s="389"/>
      <c r="BO191" s="390"/>
      <c r="BP191" s="390"/>
      <c r="BQ191" s="391"/>
      <c r="BR191" s="389"/>
      <c r="BS191" s="390"/>
      <c r="BT191" s="390"/>
      <c r="BU191" s="391"/>
      <c r="BV191" s="389"/>
      <c r="BW191" s="390">
        <v>1</v>
      </c>
      <c r="BX191" s="390"/>
      <c r="BY191" s="391"/>
      <c r="BZ191" s="216">
        <f t="shared" si="7"/>
        <v>1</v>
      </c>
    </row>
    <row r="192" spans="3:78" ht="15" customHeight="1">
      <c r="C192" s="217">
        <v>188</v>
      </c>
      <c r="D192" s="35" t="s">
        <v>1454</v>
      </c>
      <c r="E192" s="389"/>
      <c r="F192" s="390"/>
      <c r="G192" s="390"/>
      <c r="H192" s="391"/>
      <c r="I192" s="389"/>
      <c r="J192" s="390"/>
      <c r="K192" s="390"/>
      <c r="L192" s="391"/>
      <c r="M192" s="389"/>
      <c r="N192" s="390"/>
      <c r="O192" s="390"/>
      <c r="P192" s="391"/>
      <c r="Q192" s="389"/>
      <c r="R192" s="390"/>
      <c r="S192" s="390"/>
      <c r="T192" s="391"/>
      <c r="U192" s="389"/>
      <c r="V192" s="390"/>
      <c r="W192" s="390"/>
      <c r="X192" s="391"/>
      <c r="Y192" s="389"/>
      <c r="Z192" s="390"/>
      <c r="AA192" s="390"/>
      <c r="AB192" s="391"/>
      <c r="AC192" s="389"/>
      <c r="AD192" s="390"/>
      <c r="AE192" s="390"/>
      <c r="AF192" s="391"/>
      <c r="AG192" s="389"/>
      <c r="AH192" s="390"/>
      <c r="AI192" s="390"/>
      <c r="AJ192" s="390"/>
      <c r="AK192" s="389"/>
      <c r="AL192" s="390"/>
      <c r="AM192" s="390"/>
      <c r="AN192" s="391"/>
      <c r="AO192" s="389"/>
      <c r="AP192" s="390"/>
      <c r="AQ192" s="390"/>
      <c r="AR192" s="390"/>
      <c r="AS192" s="389"/>
      <c r="AT192" s="390"/>
      <c r="AU192" s="390"/>
      <c r="AV192" s="390"/>
      <c r="AW192" s="391"/>
      <c r="AX192" s="389"/>
      <c r="AY192" s="390"/>
      <c r="AZ192" s="390"/>
      <c r="BA192" s="391"/>
      <c r="BB192" s="389"/>
      <c r="BC192" s="390"/>
      <c r="BD192" s="390"/>
      <c r="BE192" s="391"/>
      <c r="BF192" s="389"/>
      <c r="BG192" s="390"/>
      <c r="BH192" s="390"/>
      <c r="BI192" s="391"/>
      <c r="BJ192" s="389"/>
      <c r="BK192" s="390"/>
      <c r="BL192" s="390"/>
      <c r="BM192" s="391"/>
      <c r="BN192" s="389"/>
      <c r="BO192" s="390"/>
      <c r="BP192" s="390"/>
      <c r="BQ192" s="391"/>
      <c r="BR192" s="389"/>
      <c r="BS192" s="390"/>
      <c r="BT192" s="390"/>
      <c r="BU192" s="391"/>
      <c r="BV192" s="389"/>
      <c r="BW192" s="390">
        <v>1</v>
      </c>
      <c r="BX192" s="390"/>
      <c r="BY192" s="391"/>
      <c r="BZ192" s="216">
        <f t="shared" si="7"/>
        <v>1</v>
      </c>
    </row>
    <row r="193" spans="3:79" ht="15" customHeight="1">
      <c r="C193" s="217">
        <v>189</v>
      </c>
      <c r="D193" s="35" t="s">
        <v>1455</v>
      </c>
      <c r="E193" s="389"/>
      <c r="F193" s="390"/>
      <c r="G193" s="390"/>
      <c r="H193" s="391"/>
      <c r="I193" s="389"/>
      <c r="J193" s="390"/>
      <c r="K193" s="390"/>
      <c r="L193" s="391"/>
      <c r="M193" s="389"/>
      <c r="N193" s="390"/>
      <c r="O193" s="390"/>
      <c r="P193" s="391"/>
      <c r="Q193" s="389"/>
      <c r="R193" s="390"/>
      <c r="S193" s="390"/>
      <c r="T193" s="391"/>
      <c r="U193" s="389"/>
      <c r="V193" s="390"/>
      <c r="W193" s="390"/>
      <c r="X193" s="391"/>
      <c r="Y193" s="389"/>
      <c r="Z193" s="390"/>
      <c r="AA193" s="390"/>
      <c r="AB193" s="391"/>
      <c r="AC193" s="389"/>
      <c r="AD193" s="390"/>
      <c r="AE193" s="390"/>
      <c r="AF193" s="391"/>
      <c r="AG193" s="389"/>
      <c r="AH193" s="390"/>
      <c r="AI193" s="390"/>
      <c r="AJ193" s="390"/>
      <c r="AK193" s="389"/>
      <c r="AL193" s="390"/>
      <c r="AM193" s="390"/>
      <c r="AN193" s="391"/>
      <c r="AO193" s="389"/>
      <c r="AP193" s="390"/>
      <c r="AQ193" s="390"/>
      <c r="AR193" s="390"/>
      <c r="AS193" s="389"/>
      <c r="AT193" s="390"/>
      <c r="AU193" s="390"/>
      <c r="AV193" s="390"/>
      <c r="AW193" s="391"/>
      <c r="AX193" s="389"/>
      <c r="AY193" s="390"/>
      <c r="AZ193" s="390"/>
      <c r="BA193" s="391"/>
      <c r="BB193" s="389"/>
      <c r="BC193" s="390"/>
      <c r="BD193" s="390"/>
      <c r="BE193" s="391"/>
      <c r="BF193" s="389"/>
      <c r="BG193" s="390"/>
      <c r="BH193" s="390"/>
      <c r="BI193" s="391"/>
      <c r="BJ193" s="389"/>
      <c r="BK193" s="390"/>
      <c r="BL193" s="390"/>
      <c r="BM193" s="391"/>
      <c r="BN193" s="389"/>
      <c r="BO193" s="390"/>
      <c r="BP193" s="390"/>
      <c r="BQ193" s="391"/>
      <c r="BR193" s="389"/>
      <c r="BS193" s="390"/>
      <c r="BT193" s="390"/>
      <c r="BU193" s="391"/>
      <c r="BV193" s="389"/>
      <c r="BW193" s="390">
        <v>1</v>
      </c>
      <c r="BX193" s="390"/>
      <c r="BY193" s="391"/>
      <c r="BZ193" s="216">
        <f t="shared" si="7"/>
        <v>1</v>
      </c>
    </row>
    <row r="194" spans="3:79" ht="15" customHeight="1">
      <c r="C194" s="217">
        <v>190</v>
      </c>
      <c r="D194" s="35" t="s">
        <v>1456</v>
      </c>
      <c r="E194" s="389"/>
      <c r="F194" s="390"/>
      <c r="G194" s="390"/>
      <c r="H194" s="391"/>
      <c r="I194" s="389"/>
      <c r="J194" s="390"/>
      <c r="K194" s="390"/>
      <c r="L194" s="391"/>
      <c r="M194" s="389"/>
      <c r="N194" s="390"/>
      <c r="O194" s="390"/>
      <c r="P194" s="391"/>
      <c r="Q194" s="389"/>
      <c r="R194" s="390"/>
      <c r="S194" s="390"/>
      <c r="T194" s="391"/>
      <c r="U194" s="389"/>
      <c r="V194" s="390"/>
      <c r="W194" s="390"/>
      <c r="X194" s="391"/>
      <c r="Y194" s="389"/>
      <c r="Z194" s="390"/>
      <c r="AA194" s="390"/>
      <c r="AB194" s="391"/>
      <c r="AC194" s="389"/>
      <c r="AD194" s="390"/>
      <c r="AE194" s="390"/>
      <c r="AF194" s="391"/>
      <c r="AG194" s="389"/>
      <c r="AH194" s="390"/>
      <c r="AI194" s="390"/>
      <c r="AJ194" s="390"/>
      <c r="AK194" s="389"/>
      <c r="AL194" s="390"/>
      <c r="AM194" s="390"/>
      <c r="AN194" s="391"/>
      <c r="AO194" s="389"/>
      <c r="AP194" s="390"/>
      <c r="AQ194" s="390"/>
      <c r="AR194" s="390"/>
      <c r="AS194" s="389"/>
      <c r="AT194" s="390"/>
      <c r="AU194" s="390"/>
      <c r="AV194" s="390"/>
      <c r="AW194" s="391"/>
      <c r="AX194" s="389"/>
      <c r="AY194" s="390"/>
      <c r="AZ194" s="390"/>
      <c r="BA194" s="391"/>
      <c r="BB194" s="389"/>
      <c r="BC194" s="390"/>
      <c r="BD194" s="390"/>
      <c r="BE194" s="391"/>
      <c r="BF194" s="389"/>
      <c r="BG194" s="390"/>
      <c r="BH194" s="390"/>
      <c r="BI194" s="391"/>
      <c r="BJ194" s="389"/>
      <c r="BK194" s="390"/>
      <c r="BL194" s="390"/>
      <c r="BM194" s="391"/>
      <c r="BN194" s="389"/>
      <c r="BO194" s="390"/>
      <c r="BP194" s="390"/>
      <c r="BQ194" s="391"/>
      <c r="BR194" s="389"/>
      <c r="BS194" s="390"/>
      <c r="BT194" s="390"/>
      <c r="BU194" s="391"/>
      <c r="BV194" s="389"/>
      <c r="BW194" s="390">
        <v>1</v>
      </c>
      <c r="BX194" s="390"/>
      <c r="BY194" s="391"/>
      <c r="BZ194" s="216">
        <f t="shared" si="7"/>
        <v>1</v>
      </c>
    </row>
    <row r="195" spans="3:79" ht="15" customHeight="1">
      <c r="C195" s="217">
        <v>191</v>
      </c>
      <c r="D195" s="35" t="s">
        <v>1457</v>
      </c>
      <c r="E195" s="389"/>
      <c r="F195" s="390"/>
      <c r="G195" s="390"/>
      <c r="H195" s="391"/>
      <c r="I195" s="389"/>
      <c r="J195" s="390"/>
      <c r="K195" s="390"/>
      <c r="L195" s="391"/>
      <c r="M195" s="389"/>
      <c r="N195" s="390"/>
      <c r="O195" s="390"/>
      <c r="P195" s="391"/>
      <c r="Q195" s="389"/>
      <c r="R195" s="390"/>
      <c r="S195" s="390"/>
      <c r="T195" s="391"/>
      <c r="U195" s="389"/>
      <c r="V195" s="390"/>
      <c r="W195" s="390"/>
      <c r="X195" s="391"/>
      <c r="Y195" s="389"/>
      <c r="Z195" s="390"/>
      <c r="AA195" s="390"/>
      <c r="AB195" s="391"/>
      <c r="AC195" s="389"/>
      <c r="AD195" s="390"/>
      <c r="AE195" s="390"/>
      <c r="AF195" s="391"/>
      <c r="AG195" s="389"/>
      <c r="AH195" s="390"/>
      <c r="AI195" s="390"/>
      <c r="AJ195" s="390"/>
      <c r="AK195" s="389"/>
      <c r="AL195" s="390"/>
      <c r="AM195" s="390"/>
      <c r="AN195" s="391"/>
      <c r="AO195" s="389"/>
      <c r="AP195" s="390"/>
      <c r="AQ195" s="390"/>
      <c r="AR195" s="390"/>
      <c r="AS195" s="389"/>
      <c r="AT195" s="390"/>
      <c r="AU195" s="390"/>
      <c r="AV195" s="390"/>
      <c r="AW195" s="391"/>
      <c r="AX195" s="389"/>
      <c r="AY195" s="390"/>
      <c r="AZ195" s="390"/>
      <c r="BA195" s="391"/>
      <c r="BB195" s="389"/>
      <c r="BC195" s="390"/>
      <c r="BD195" s="390"/>
      <c r="BE195" s="391"/>
      <c r="BF195" s="389"/>
      <c r="BG195" s="390"/>
      <c r="BH195" s="390"/>
      <c r="BI195" s="391"/>
      <c r="BJ195" s="389"/>
      <c r="BK195" s="390"/>
      <c r="BL195" s="390"/>
      <c r="BM195" s="391"/>
      <c r="BN195" s="389"/>
      <c r="BO195" s="390"/>
      <c r="BP195" s="390"/>
      <c r="BQ195" s="391"/>
      <c r="BR195" s="389"/>
      <c r="BS195" s="390"/>
      <c r="BT195" s="390"/>
      <c r="BU195" s="391"/>
      <c r="BV195" s="389"/>
      <c r="BW195" s="390">
        <v>1</v>
      </c>
      <c r="BX195" s="390"/>
      <c r="BY195" s="391"/>
      <c r="BZ195" s="216">
        <f t="shared" si="7"/>
        <v>1</v>
      </c>
    </row>
    <row r="196" spans="3:79" ht="15" customHeight="1">
      <c r="C196" s="217">
        <v>192</v>
      </c>
      <c r="D196" s="35" t="s">
        <v>1458</v>
      </c>
      <c r="E196" s="389"/>
      <c r="F196" s="390"/>
      <c r="G196" s="390"/>
      <c r="H196" s="391"/>
      <c r="I196" s="389"/>
      <c r="J196" s="390"/>
      <c r="K196" s="390"/>
      <c r="L196" s="391"/>
      <c r="M196" s="389"/>
      <c r="N196" s="390"/>
      <c r="O196" s="390"/>
      <c r="P196" s="391"/>
      <c r="Q196" s="389"/>
      <c r="R196" s="390"/>
      <c r="S196" s="390"/>
      <c r="T196" s="391"/>
      <c r="U196" s="389"/>
      <c r="V196" s="390"/>
      <c r="W196" s="390"/>
      <c r="X196" s="391"/>
      <c r="Y196" s="389"/>
      <c r="Z196" s="390"/>
      <c r="AA196" s="390"/>
      <c r="AB196" s="391"/>
      <c r="AC196" s="389"/>
      <c r="AD196" s="390"/>
      <c r="AE196" s="390"/>
      <c r="AF196" s="391"/>
      <c r="AG196" s="389"/>
      <c r="AH196" s="390"/>
      <c r="AI196" s="390"/>
      <c r="AJ196" s="390"/>
      <c r="AK196" s="389"/>
      <c r="AL196" s="390"/>
      <c r="AM196" s="390"/>
      <c r="AN196" s="391"/>
      <c r="AO196" s="389"/>
      <c r="AP196" s="390"/>
      <c r="AQ196" s="390"/>
      <c r="AR196" s="390"/>
      <c r="AS196" s="389"/>
      <c r="AT196" s="390"/>
      <c r="AU196" s="390"/>
      <c r="AV196" s="390"/>
      <c r="AW196" s="391"/>
      <c r="AX196" s="389"/>
      <c r="AY196" s="390"/>
      <c r="AZ196" s="390"/>
      <c r="BA196" s="391"/>
      <c r="BB196" s="389"/>
      <c r="BC196" s="390"/>
      <c r="BD196" s="390"/>
      <c r="BE196" s="391"/>
      <c r="BF196" s="389"/>
      <c r="BG196" s="390"/>
      <c r="BH196" s="390"/>
      <c r="BI196" s="391"/>
      <c r="BJ196" s="389"/>
      <c r="BK196" s="390"/>
      <c r="BL196" s="390"/>
      <c r="BM196" s="391"/>
      <c r="BN196" s="389"/>
      <c r="BO196" s="390"/>
      <c r="BP196" s="390"/>
      <c r="BQ196" s="391"/>
      <c r="BR196" s="389"/>
      <c r="BS196" s="390"/>
      <c r="BT196" s="390"/>
      <c r="BU196" s="391"/>
      <c r="BV196" s="389"/>
      <c r="BW196" s="390">
        <v>1</v>
      </c>
      <c r="BX196" s="390"/>
      <c r="BY196" s="391"/>
      <c r="BZ196" s="216">
        <f t="shared" si="7"/>
        <v>1</v>
      </c>
    </row>
    <row r="197" spans="3:79" ht="15" customHeight="1">
      <c r="C197" s="217">
        <v>193</v>
      </c>
      <c r="D197" s="35" t="s">
        <v>1459</v>
      </c>
      <c r="E197" s="389"/>
      <c r="F197" s="390"/>
      <c r="G197" s="390"/>
      <c r="H197" s="391"/>
      <c r="I197" s="389"/>
      <c r="J197" s="390"/>
      <c r="K197" s="390"/>
      <c r="L197" s="391"/>
      <c r="M197" s="389"/>
      <c r="N197" s="390"/>
      <c r="O197" s="390"/>
      <c r="P197" s="391"/>
      <c r="Q197" s="389"/>
      <c r="R197" s="390"/>
      <c r="S197" s="390"/>
      <c r="T197" s="391"/>
      <c r="U197" s="389"/>
      <c r="V197" s="390"/>
      <c r="W197" s="390"/>
      <c r="X197" s="391"/>
      <c r="Y197" s="389"/>
      <c r="Z197" s="390"/>
      <c r="AA197" s="390"/>
      <c r="AB197" s="391"/>
      <c r="AC197" s="389"/>
      <c r="AD197" s="390"/>
      <c r="AE197" s="390"/>
      <c r="AF197" s="391"/>
      <c r="AG197" s="389"/>
      <c r="AH197" s="390"/>
      <c r="AI197" s="390"/>
      <c r="AJ197" s="390"/>
      <c r="AK197" s="389"/>
      <c r="AL197" s="390"/>
      <c r="AM197" s="390"/>
      <c r="AN197" s="391"/>
      <c r="AO197" s="389"/>
      <c r="AP197" s="390"/>
      <c r="AQ197" s="390"/>
      <c r="AR197" s="390"/>
      <c r="AS197" s="389"/>
      <c r="AT197" s="390"/>
      <c r="AU197" s="390"/>
      <c r="AV197" s="390"/>
      <c r="AW197" s="391"/>
      <c r="AX197" s="389"/>
      <c r="AY197" s="390"/>
      <c r="AZ197" s="390"/>
      <c r="BA197" s="391"/>
      <c r="BB197" s="389"/>
      <c r="BC197" s="390"/>
      <c r="BD197" s="390"/>
      <c r="BE197" s="391"/>
      <c r="BF197" s="389"/>
      <c r="BG197" s="390"/>
      <c r="BH197" s="390"/>
      <c r="BI197" s="391"/>
      <c r="BJ197" s="389"/>
      <c r="BK197" s="390"/>
      <c r="BL197" s="390"/>
      <c r="BM197" s="391"/>
      <c r="BN197" s="389"/>
      <c r="BO197" s="390"/>
      <c r="BP197" s="390"/>
      <c r="BQ197" s="391"/>
      <c r="BR197" s="389"/>
      <c r="BS197" s="390"/>
      <c r="BT197" s="390"/>
      <c r="BU197" s="391"/>
      <c r="BV197" s="389"/>
      <c r="BW197" s="390">
        <v>1</v>
      </c>
      <c r="BX197" s="390"/>
      <c r="BY197" s="391"/>
      <c r="BZ197" s="216">
        <f t="shared" ref="BZ197:BZ201" si="8">SUM(E197:BY197)</f>
        <v>1</v>
      </c>
    </row>
    <row r="198" spans="3:79" ht="15" customHeight="1">
      <c r="C198" s="217">
        <v>194</v>
      </c>
      <c r="D198" s="35" t="s">
        <v>1460</v>
      </c>
      <c r="E198" s="389"/>
      <c r="F198" s="390"/>
      <c r="G198" s="390"/>
      <c r="H198" s="391"/>
      <c r="I198" s="389"/>
      <c r="J198" s="390"/>
      <c r="K198" s="390"/>
      <c r="L198" s="391"/>
      <c r="M198" s="389"/>
      <c r="N198" s="390"/>
      <c r="O198" s="390"/>
      <c r="P198" s="391"/>
      <c r="Q198" s="389"/>
      <c r="R198" s="390"/>
      <c r="S198" s="390"/>
      <c r="T198" s="391"/>
      <c r="U198" s="389"/>
      <c r="V198" s="390"/>
      <c r="W198" s="390"/>
      <c r="X198" s="391"/>
      <c r="Y198" s="389"/>
      <c r="Z198" s="390"/>
      <c r="AA198" s="390"/>
      <c r="AB198" s="391"/>
      <c r="AC198" s="389"/>
      <c r="AD198" s="390"/>
      <c r="AE198" s="390"/>
      <c r="AF198" s="391"/>
      <c r="AG198" s="389"/>
      <c r="AH198" s="390"/>
      <c r="AI198" s="390"/>
      <c r="AJ198" s="390"/>
      <c r="AK198" s="389"/>
      <c r="AL198" s="390"/>
      <c r="AM198" s="390"/>
      <c r="AN198" s="391"/>
      <c r="AO198" s="389"/>
      <c r="AP198" s="390"/>
      <c r="AQ198" s="390"/>
      <c r="AR198" s="390"/>
      <c r="AS198" s="389"/>
      <c r="AT198" s="390"/>
      <c r="AU198" s="390"/>
      <c r="AV198" s="390"/>
      <c r="AW198" s="391"/>
      <c r="AX198" s="389"/>
      <c r="AY198" s="390"/>
      <c r="AZ198" s="390"/>
      <c r="BA198" s="391"/>
      <c r="BB198" s="389"/>
      <c r="BC198" s="390"/>
      <c r="BD198" s="390"/>
      <c r="BE198" s="391"/>
      <c r="BF198" s="389"/>
      <c r="BG198" s="390"/>
      <c r="BH198" s="390"/>
      <c r="BI198" s="391"/>
      <c r="BJ198" s="389"/>
      <c r="BK198" s="390"/>
      <c r="BL198" s="390"/>
      <c r="BM198" s="391"/>
      <c r="BN198" s="389"/>
      <c r="BO198" s="390"/>
      <c r="BP198" s="390"/>
      <c r="BQ198" s="391"/>
      <c r="BR198" s="389"/>
      <c r="BS198" s="390">
        <v>1</v>
      </c>
      <c r="BT198" s="390"/>
      <c r="BU198" s="391"/>
      <c r="BV198" s="389"/>
      <c r="BW198" s="390"/>
      <c r="BX198" s="390"/>
      <c r="BY198" s="391"/>
      <c r="BZ198" s="216">
        <f t="shared" si="8"/>
        <v>1</v>
      </c>
    </row>
    <row r="199" spans="3:79" ht="15" customHeight="1">
      <c r="C199" s="217">
        <v>195</v>
      </c>
      <c r="D199" s="35" t="s">
        <v>1461</v>
      </c>
      <c r="E199" s="389"/>
      <c r="F199" s="390"/>
      <c r="G199" s="390"/>
      <c r="H199" s="391"/>
      <c r="I199" s="389"/>
      <c r="J199" s="390"/>
      <c r="K199" s="390"/>
      <c r="L199" s="391"/>
      <c r="M199" s="389"/>
      <c r="N199" s="390"/>
      <c r="O199" s="390"/>
      <c r="P199" s="391"/>
      <c r="Q199" s="389"/>
      <c r="R199" s="390"/>
      <c r="S199" s="390"/>
      <c r="T199" s="391"/>
      <c r="U199" s="389"/>
      <c r="V199" s="390"/>
      <c r="W199" s="390"/>
      <c r="X199" s="391"/>
      <c r="Y199" s="389"/>
      <c r="Z199" s="390"/>
      <c r="AA199" s="390"/>
      <c r="AB199" s="391"/>
      <c r="AC199" s="389"/>
      <c r="AD199" s="390"/>
      <c r="AE199" s="390"/>
      <c r="AF199" s="391"/>
      <c r="AG199" s="389"/>
      <c r="AH199" s="390"/>
      <c r="AI199" s="390"/>
      <c r="AJ199" s="390"/>
      <c r="AK199" s="389"/>
      <c r="AL199" s="390"/>
      <c r="AM199" s="390"/>
      <c r="AN199" s="391"/>
      <c r="AO199" s="389"/>
      <c r="AP199" s="390"/>
      <c r="AQ199" s="390"/>
      <c r="AR199" s="390"/>
      <c r="AS199" s="389"/>
      <c r="AT199" s="390"/>
      <c r="AU199" s="390"/>
      <c r="AV199" s="390"/>
      <c r="AW199" s="391"/>
      <c r="AX199" s="389"/>
      <c r="AY199" s="390"/>
      <c r="AZ199" s="390"/>
      <c r="BA199" s="391"/>
      <c r="BB199" s="389"/>
      <c r="BC199" s="390"/>
      <c r="BD199" s="390"/>
      <c r="BE199" s="391"/>
      <c r="BF199" s="389"/>
      <c r="BG199" s="390"/>
      <c r="BH199" s="390"/>
      <c r="BI199" s="391"/>
      <c r="BJ199" s="389"/>
      <c r="BK199" s="390"/>
      <c r="BL199" s="390"/>
      <c r="BM199" s="391"/>
      <c r="BN199" s="389"/>
      <c r="BO199" s="390"/>
      <c r="BP199" s="390"/>
      <c r="BQ199" s="391"/>
      <c r="BR199" s="389"/>
      <c r="BS199" s="390">
        <v>1</v>
      </c>
      <c r="BT199" s="390"/>
      <c r="BU199" s="391"/>
      <c r="BV199" s="389"/>
      <c r="BW199" s="390"/>
      <c r="BX199" s="390"/>
      <c r="BY199" s="391"/>
      <c r="BZ199" s="216">
        <f t="shared" si="8"/>
        <v>1</v>
      </c>
    </row>
    <row r="200" spans="3:79" ht="15" customHeight="1">
      <c r="C200" s="217">
        <v>196</v>
      </c>
      <c r="D200" s="35" t="s">
        <v>1462</v>
      </c>
      <c r="E200" s="395"/>
      <c r="F200" s="396"/>
      <c r="G200" s="396"/>
      <c r="H200" s="397"/>
      <c r="I200" s="395"/>
      <c r="J200" s="396"/>
      <c r="K200" s="396"/>
      <c r="L200" s="397"/>
      <c r="M200" s="395"/>
      <c r="N200" s="396"/>
      <c r="O200" s="396"/>
      <c r="P200" s="397"/>
      <c r="Q200" s="395"/>
      <c r="R200" s="396"/>
      <c r="S200" s="396"/>
      <c r="T200" s="397"/>
      <c r="U200" s="395"/>
      <c r="V200" s="396"/>
      <c r="W200" s="396"/>
      <c r="X200" s="397"/>
      <c r="Y200" s="395"/>
      <c r="Z200" s="396"/>
      <c r="AA200" s="396"/>
      <c r="AB200" s="397"/>
      <c r="AC200" s="395"/>
      <c r="AD200" s="396"/>
      <c r="AE200" s="396"/>
      <c r="AF200" s="397"/>
      <c r="AG200" s="395"/>
      <c r="AH200" s="396"/>
      <c r="AI200" s="396"/>
      <c r="AJ200" s="396"/>
      <c r="AK200" s="395"/>
      <c r="AL200" s="396"/>
      <c r="AM200" s="396"/>
      <c r="AN200" s="397"/>
      <c r="AO200" s="395"/>
      <c r="AP200" s="396"/>
      <c r="AQ200" s="396"/>
      <c r="AR200" s="396"/>
      <c r="AS200" s="395"/>
      <c r="AT200" s="396"/>
      <c r="AU200" s="396"/>
      <c r="AV200" s="396"/>
      <c r="AW200" s="397"/>
      <c r="AX200" s="395"/>
      <c r="AY200" s="396"/>
      <c r="AZ200" s="396"/>
      <c r="BA200" s="397"/>
      <c r="BB200" s="395"/>
      <c r="BC200" s="396"/>
      <c r="BD200" s="396"/>
      <c r="BE200" s="397"/>
      <c r="BF200" s="395"/>
      <c r="BG200" s="396"/>
      <c r="BH200" s="396"/>
      <c r="BI200" s="397"/>
      <c r="BJ200" s="395"/>
      <c r="BK200" s="396"/>
      <c r="BL200" s="396"/>
      <c r="BM200" s="397"/>
      <c r="BN200" s="395"/>
      <c r="BO200" s="396"/>
      <c r="BP200" s="396"/>
      <c r="BQ200" s="397"/>
      <c r="BR200" s="395"/>
      <c r="BS200" s="396">
        <v>1</v>
      </c>
      <c r="BT200" s="396"/>
      <c r="BU200" s="397"/>
      <c r="BV200" s="395"/>
      <c r="BW200" s="396"/>
      <c r="BX200" s="396"/>
      <c r="BY200" s="397"/>
      <c r="BZ200" s="216">
        <f t="shared" si="8"/>
        <v>1</v>
      </c>
    </row>
    <row r="201" spans="3:79">
      <c r="E201" s="35">
        <f t="shared" ref="E201:BP201" si="9">SUM(E5:E200)</f>
        <v>0</v>
      </c>
      <c r="F201" s="35">
        <f t="shared" si="9"/>
        <v>0</v>
      </c>
      <c r="G201" s="35">
        <f t="shared" si="9"/>
        <v>0</v>
      </c>
      <c r="H201" s="35">
        <f t="shared" si="9"/>
        <v>0</v>
      </c>
      <c r="I201" s="35">
        <f t="shared" si="9"/>
        <v>0</v>
      </c>
      <c r="J201" s="35">
        <f t="shared" si="9"/>
        <v>0</v>
      </c>
      <c r="K201" s="35">
        <f t="shared" si="9"/>
        <v>0</v>
      </c>
      <c r="L201" s="35">
        <f t="shared" si="9"/>
        <v>0</v>
      </c>
      <c r="M201" s="35">
        <f t="shared" si="9"/>
        <v>0</v>
      </c>
      <c r="N201" s="35">
        <f t="shared" si="9"/>
        <v>0</v>
      </c>
      <c r="O201" s="35">
        <f t="shared" si="9"/>
        <v>1</v>
      </c>
      <c r="P201" s="35">
        <f t="shared" si="9"/>
        <v>5</v>
      </c>
      <c r="Q201" s="35">
        <f t="shared" si="9"/>
        <v>0</v>
      </c>
      <c r="R201" s="35">
        <f t="shared" si="9"/>
        <v>0</v>
      </c>
      <c r="S201" s="35">
        <f t="shared" si="9"/>
        <v>5</v>
      </c>
      <c r="T201" s="35">
        <f t="shared" si="9"/>
        <v>5</v>
      </c>
      <c r="U201" s="35">
        <f t="shared" si="9"/>
        <v>0</v>
      </c>
      <c r="V201" s="35">
        <f t="shared" si="9"/>
        <v>0</v>
      </c>
      <c r="W201" s="35">
        <f t="shared" si="9"/>
        <v>1</v>
      </c>
      <c r="X201" s="35">
        <f t="shared" si="9"/>
        <v>2</v>
      </c>
      <c r="Y201" s="35">
        <f t="shared" si="9"/>
        <v>0</v>
      </c>
      <c r="Z201" s="35">
        <f t="shared" si="9"/>
        <v>0</v>
      </c>
      <c r="AA201" s="35">
        <f t="shared" si="9"/>
        <v>3</v>
      </c>
      <c r="AB201" s="35">
        <f t="shared" si="9"/>
        <v>2</v>
      </c>
      <c r="AC201" s="35">
        <f t="shared" si="9"/>
        <v>0</v>
      </c>
      <c r="AD201" s="35">
        <f t="shared" si="9"/>
        <v>0</v>
      </c>
      <c r="AE201" s="35">
        <f t="shared" si="9"/>
        <v>1</v>
      </c>
      <c r="AF201" s="35">
        <f t="shared" si="9"/>
        <v>2</v>
      </c>
      <c r="AG201" s="35">
        <f t="shared" si="9"/>
        <v>0</v>
      </c>
      <c r="AH201" s="35">
        <f t="shared" si="9"/>
        <v>0</v>
      </c>
      <c r="AI201" s="35">
        <f t="shared" si="9"/>
        <v>1</v>
      </c>
      <c r="AJ201" s="326">
        <f t="shared" si="9"/>
        <v>2</v>
      </c>
      <c r="AK201" s="35">
        <f t="shared" si="9"/>
        <v>3</v>
      </c>
      <c r="AL201" s="35">
        <f t="shared" si="9"/>
        <v>3</v>
      </c>
      <c r="AM201" s="35">
        <f t="shared" si="9"/>
        <v>2</v>
      </c>
      <c r="AN201" s="35">
        <f t="shared" si="9"/>
        <v>2</v>
      </c>
      <c r="AO201" s="35">
        <f t="shared" si="9"/>
        <v>0</v>
      </c>
      <c r="AP201" s="35">
        <f t="shared" si="9"/>
        <v>0</v>
      </c>
      <c r="AQ201" s="35">
        <f t="shared" si="9"/>
        <v>0</v>
      </c>
      <c r="AR201" s="35">
        <f t="shared" si="9"/>
        <v>0</v>
      </c>
      <c r="AS201" s="35">
        <f t="shared" si="9"/>
        <v>0</v>
      </c>
      <c r="AT201" s="35">
        <f t="shared" si="9"/>
        <v>12</v>
      </c>
      <c r="AU201" s="35">
        <f t="shared" si="9"/>
        <v>5</v>
      </c>
      <c r="AV201" s="35">
        <f t="shared" si="9"/>
        <v>2</v>
      </c>
      <c r="AW201" s="35"/>
      <c r="AX201" s="35">
        <f t="shared" si="9"/>
        <v>0</v>
      </c>
      <c r="AY201" s="35">
        <f t="shared" si="9"/>
        <v>12</v>
      </c>
      <c r="AZ201" s="35">
        <f t="shared" si="9"/>
        <v>6</v>
      </c>
      <c r="BA201" s="35">
        <f t="shared" si="9"/>
        <v>2</v>
      </c>
      <c r="BB201" s="35">
        <f t="shared" si="9"/>
        <v>0</v>
      </c>
      <c r="BC201" s="35">
        <f t="shared" si="9"/>
        <v>9</v>
      </c>
      <c r="BD201" s="35">
        <f t="shared" si="9"/>
        <v>6</v>
      </c>
      <c r="BE201" s="35">
        <f t="shared" si="9"/>
        <v>1</v>
      </c>
      <c r="BF201" s="35">
        <f t="shared" si="9"/>
        <v>0</v>
      </c>
      <c r="BG201" s="35">
        <f t="shared" si="9"/>
        <v>11</v>
      </c>
      <c r="BH201" s="35">
        <f t="shared" si="9"/>
        <v>2</v>
      </c>
      <c r="BI201" s="35">
        <f t="shared" si="9"/>
        <v>1</v>
      </c>
      <c r="BJ201" s="35">
        <f t="shared" si="9"/>
        <v>0</v>
      </c>
      <c r="BK201" s="35">
        <f t="shared" si="9"/>
        <v>8</v>
      </c>
      <c r="BL201" s="35">
        <f t="shared" si="9"/>
        <v>5</v>
      </c>
      <c r="BM201" s="35">
        <f t="shared" si="9"/>
        <v>4</v>
      </c>
      <c r="BN201" s="35">
        <f t="shared" si="9"/>
        <v>0</v>
      </c>
      <c r="BO201" s="35">
        <f t="shared" si="9"/>
        <v>9</v>
      </c>
      <c r="BP201" s="35">
        <f t="shared" si="9"/>
        <v>2</v>
      </c>
      <c r="BQ201" s="35">
        <f t="shared" ref="BQ201:BX201" si="10">SUM(BQ5:BQ200)</f>
        <v>2</v>
      </c>
      <c r="BR201" s="35">
        <f t="shared" si="10"/>
        <v>0</v>
      </c>
      <c r="BS201" s="35">
        <f t="shared" si="10"/>
        <v>17</v>
      </c>
      <c r="BT201" s="35">
        <f t="shared" si="10"/>
        <v>2</v>
      </c>
      <c r="BU201" s="35">
        <f t="shared" si="10"/>
        <v>4</v>
      </c>
      <c r="BV201" s="35">
        <f t="shared" si="10"/>
        <v>0</v>
      </c>
      <c r="BW201" s="35">
        <f t="shared" si="10"/>
        <v>27</v>
      </c>
      <c r="BX201" s="35">
        <f t="shared" si="10"/>
        <v>2</v>
      </c>
      <c r="BY201" s="35">
        <f>SUM(BY5:BY200)</f>
        <v>2</v>
      </c>
      <c r="BZ201" s="216">
        <f t="shared" si="8"/>
        <v>193</v>
      </c>
    </row>
    <row r="204" spans="3:79">
      <c r="C204" s="398" t="s">
        <v>1463</v>
      </c>
      <c r="D204" s="399"/>
    </row>
    <row r="205" spans="3:79">
      <c r="C205" s="400"/>
      <c r="D205" s="401" t="s">
        <v>1464</v>
      </c>
      <c r="G205" s="565">
        <f>SUM(E201:H201)*0.6</f>
        <v>0</v>
      </c>
      <c r="H205" s="566"/>
      <c r="K205" s="565">
        <f>SUM(I201:L201)*0.6</f>
        <v>0</v>
      </c>
      <c r="L205" s="566"/>
      <c r="O205" s="565">
        <f>SUM(M201:P201)*0.6</f>
        <v>3.5999999999999996</v>
      </c>
      <c r="P205" s="566"/>
      <c r="S205" s="565">
        <f>SUM(Q201:T201)*0.6</f>
        <v>6</v>
      </c>
      <c r="T205" s="566"/>
      <c r="W205" s="565">
        <f>SUM(U201:X201)*0.6</f>
        <v>1.7999999999999998</v>
      </c>
      <c r="X205" s="566"/>
      <c r="AA205" s="565">
        <f>SUM(Y201:AB201)*0.6</f>
        <v>3</v>
      </c>
      <c r="AB205" s="566"/>
      <c r="AE205" s="565">
        <f>SUM(AC201:AF201)*0.6</f>
        <v>1.7999999999999998</v>
      </c>
      <c r="AF205" s="566"/>
      <c r="AI205" s="565">
        <f>SUM(AG201:AJ201)*0.6</f>
        <v>1.7999999999999998</v>
      </c>
      <c r="AJ205" s="566"/>
      <c r="AM205" s="565">
        <f>SUM(AK201:AN201)*0.6</f>
        <v>6</v>
      </c>
      <c r="AN205" s="566"/>
      <c r="AQ205" s="565">
        <f>SUM(AO201:AR201)*0.6</f>
        <v>0</v>
      </c>
      <c r="AR205" s="566"/>
      <c r="AV205" s="565">
        <f>SUM(AT201:AW201)*0.6</f>
        <v>11.4</v>
      </c>
      <c r="AW205" s="566"/>
      <c r="AZ205" s="565">
        <f>SUM(AX201:BA201)*0.6</f>
        <v>12</v>
      </c>
      <c r="BA205" s="566"/>
      <c r="BD205" s="565">
        <f>SUM(BB201:BE201)*0.6</f>
        <v>9.6</v>
      </c>
      <c r="BE205" s="566"/>
      <c r="BH205" s="565">
        <f>SUM(BF201:BI201)*0.6</f>
        <v>8.4</v>
      </c>
      <c r="BI205" s="566"/>
      <c r="BL205" s="565">
        <f>SUM(BJ201:BM201)*0.6</f>
        <v>10.199999999999999</v>
      </c>
      <c r="BM205" s="566"/>
      <c r="BP205" s="565">
        <f>SUM(BN201:BQ201)*0.6</f>
        <v>7.8</v>
      </c>
      <c r="BQ205" s="566"/>
      <c r="BT205" s="565">
        <f>SUM(BR201:BU201)*0.6</f>
        <v>13.799999999999999</v>
      </c>
      <c r="BU205" s="566"/>
      <c r="BX205" s="565">
        <f>SUM(BV201:BY201)*0.6</f>
        <v>18.599999999999998</v>
      </c>
      <c r="BY205" s="566"/>
      <c r="BZ205" s="217">
        <f>SUM(E205:BY205)</f>
        <v>115.8</v>
      </c>
      <c r="CA205" s="216" t="s">
        <v>1</v>
      </c>
    </row>
    <row r="208" spans="3:79">
      <c r="D208" s="402" t="s">
        <v>538</v>
      </c>
      <c r="E208" s="221">
        <f>+E201</f>
        <v>0</v>
      </c>
      <c r="F208" s="222"/>
      <c r="G208" s="222"/>
      <c r="H208" s="223"/>
      <c r="I208" s="224">
        <f>+I201</f>
        <v>0</v>
      </c>
      <c r="J208" s="222"/>
      <c r="K208" s="222"/>
      <c r="L208" s="222"/>
      <c r="M208" s="221">
        <f>+M201</f>
        <v>0</v>
      </c>
      <c r="N208" s="222"/>
      <c r="O208" s="222"/>
      <c r="P208" s="223"/>
      <c r="Q208" s="222">
        <f>+Q201</f>
        <v>0</v>
      </c>
      <c r="R208" s="222"/>
      <c r="S208" s="222"/>
      <c r="T208" s="222"/>
      <c r="U208" s="221">
        <f>+U201</f>
        <v>0</v>
      </c>
      <c r="V208" s="222"/>
      <c r="W208" s="222"/>
      <c r="X208" s="223"/>
      <c r="Y208" s="221">
        <f>+Y201</f>
        <v>0</v>
      </c>
      <c r="Z208" s="222"/>
      <c r="AA208" s="222"/>
      <c r="AB208" s="223"/>
      <c r="AC208" s="224">
        <f>+AC201</f>
        <v>0</v>
      </c>
      <c r="AD208" s="222"/>
      <c r="AE208" s="222"/>
      <c r="AF208" s="222"/>
      <c r="AG208" s="221">
        <f>+AG201</f>
        <v>0</v>
      </c>
      <c r="AH208" s="222"/>
      <c r="AI208" s="222"/>
      <c r="AJ208" s="223"/>
      <c r="AK208" s="221">
        <f>+AK201</f>
        <v>3</v>
      </c>
      <c r="AL208" s="222"/>
      <c r="AM208" s="222"/>
      <c r="AN208" s="223"/>
      <c r="AO208" s="221">
        <f>+AO201</f>
        <v>0</v>
      </c>
      <c r="AP208" s="222"/>
      <c r="AQ208" s="222"/>
      <c r="AR208" s="223"/>
      <c r="AS208" s="221">
        <f>+AS201</f>
        <v>0</v>
      </c>
      <c r="AT208" s="222"/>
      <c r="AU208" s="222"/>
      <c r="AV208" s="222"/>
      <c r="AW208" s="223"/>
      <c r="AX208" s="221">
        <f>+AX201</f>
        <v>0</v>
      </c>
      <c r="AY208" s="222"/>
      <c r="AZ208" s="222"/>
      <c r="BA208" s="223"/>
      <c r="BB208" s="221">
        <f>+BB201</f>
        <v>0</v>
      </c>
      <c r="BC208" s="222"/>
      <c r="BD208" s="222"/>
      <c r="BE208" s="223"/>
      <c r="BF208" s="222">
        <f>+BF201</f>
        <v>0</v>
      </c>
      <c r="BG208" s="222"/>
      <c r="BH208" s="222"/>
      <c r="BI208" s="222"/>
      <c r="BJ208" s="221">
        <f>+BJ201</f>
        <v>0</v>
      </c>
      <c r="BK208" s="222"/>
      <c r="BL208" s="222"/>
      <c r="BM208" s="223"/>
      <c r="BN208" s="222">
        <f>+BN201</f>
        <v>0</v>
      </c>
      <c r="BO208" s="222"/>
      <c r="BP208" s="222"/>
      <c r="BQ208" s="222"/>
      <c r="BR208" s="221">
        <f>+BR201</f>
        <v>0</v>
      </c>
      <c r="BS208" s="222"/>
      <c r="BT208" s="222"/>
      <c r="BU208" s="223"/>
      <c r="BV208" s="221">
        <f>+BV201</f>
        <v>0</v>
      </c>
      <c r="BW208" s="222"/>
      <c r="BX208" s="222"/>
      <c r="BY208" s="223"/>
      <c r="BZ208" s="229">
        <f t="shared" ref="BZ208:BZ213" si="11">SUM(E208:BY208)</f>
        <v>3</v>
      </c>
    </row>
    <row r="209" spans="4:79">
      <c r="D209" s="403" t="s">
        <v>539</v>
      </c>
      <c r="E209" s="225"/>
      <c r="F209" s="226">
        <f>+F201</f>
        <v>0</v>
      </c>
      <c r="G209" s="226"/>
      <c r="H209" s="227"/>
      <c r="I209" s="228"/>
      <c r="J209" s="226">
        <f>+J201</f>
        <v>0</v>
      </c>
      <c r="K209" s="226"/>
      <c r="L209" s="226"/>
      <c r="M209" s="225"/>
      <c r="N209" s="226">
        <f>+N201</f>
        <v>0</v>
      </c>
      <c r="O209" s="226"/>
      <c r="P209" s="227"/>
      <c r="Q209" s="226"/>
      <c r="R209" s="226">
        <f>+R201</f>
        <v>0</v>
      </c>
      <c r="S209" s="226"/>
      <c r="T209" s="226"/>
      <c r="U209" s="225"/>
      <c r="V209" s="226">
        <f>+V201</f>
        <v>0</v>
      </c>
      <c r="W209" s="226"/>
      <c r="X209" s="227"/>
      <c r="Y209" s="225"/>
      <c r="Z209" s="226">
        <f>+Z201</f>
        <v>0</v>
      </c>
      <c r="AA209" s="226"/>
      <c r="AB209" s="227"/>
      <c r="AC209" s="228"/>
      <c r="AD209" s="226">
        <f>+AD201</f>
        <v>0</v>
      </c>
      <c r="AE209" s="226"/>
      <c r="AF209" s="226"/>
      <c r="AG209" s="225"/>
      <c r="AH209" s="226">
        <f>+AH201</f>
        <v>0</v>
      </c>
      <c r="AI209" s="226"/>
      <c r="AJ209" s="227"/>
      <c r="AK209" s="225"/>
      <c r="AL209" s="226">
        <f>+AL201</f>
        <v>3</v>
      </c>
      <c r="AM209" s="226"/>
      <c r="AN209" s="227"/>
      <c r="AO209" s="225"/>
      <c r="AP209" s="226">
        <f>+AP201</f>
        <v>0</v>
      </c>
      <c r="AQ209" s="226"/>
      <c r="AR209" s="227"/>
      <c r="AS209" s="225"/>
      <c r="AT209" s="226">
        <f>+AT201</f>
        <v>12</v>
      </c>
      <c r="AU209" s="226"/>
      <c r="AV209" s="226"/>
      <c r="AW209" s="227"/>
      <c r="AX209" s="225"/>
      <c r="AY209" s="226">
        <f>+AY201</f>
        <v>12</v>
      </c>
      <c r="AZ209" s="226"/>
      <c r="BA209" s="227"/>
      <c r="BB209" s="225"/>
      <c r="BC209" s="226">
        <f>+BC201</f>
        <v>9</v>
      </c>
      <c r="BD209" s="226"/>
      <c r="BE209" s="227"/>
      <c r="BF209" s="226"/>
      <c r="BG209" s="226">
        <f>+BG201</f>
        <v>11</v>
      </c>
      <c r="BH209" s="226"/>
      <c r="BI209" s="226"/>
      <c r="BJ209" s="225"/>
      <c r="BK209" s="226">
        <f>+BK201</f>
        <v>8</v>
      </c>
      <c r="BL209" s="226"/>
      <c r="BM209" s="227"/>
      <c r="BN209" s="226"/>
      <c r="BO209" s="226">
        <f>+BO201</f>
        <v>9</v>
      </c>
      <c r="BP209" s="226"/>
      <c r="BQ209" s="226"/>
      <c r="BR209" s="225"/>
      <c r="BS209" s="226">
        <f>+BS201</f>
        <v>17</v>
      </c>
      <c r="BT209" s="226"/>
      <c r="BU209" s="227"/>
      <c r="BV209" s="225"/>
      <c r="BW209" s="226">
        <f>+BW201</f>
        <v>27</v>
      </c>
      <c r="BX209" s="226"/>
      <c r="BY209" s="227"/>
      <c r="BZ209" s="230">
        <f t="shared" si="11"/>
        <v>108</v>
      </c>
    </row>
    <row r="210" spans="4:79">
      <c r="D210" s="403" t="s">
        <v>540</v>
      </c>
      <c r="E210" s="225"/>
      <c r="F210" s="226"/>
      <c r="G210" s="226">
        <f>+G201</f>
        <v>0</v>
      </c>
      <c r="H210" s="227"/>
      <c r="I210" s="228"/>
      <c r="J210" s="226"/>
      <c r="K210" s="226">
        <f>+K201</f>
        <v>0</v>
      </c>
      <c r="L210" s="226"/>
      <c r="M210" s="225"/>
      <c r="N210" s="226"/>
      <c r="O210" s="226">
        <f>+O201</f>
        <v>1</v>
      </c>
      <c r="P210" s="227"/>
      <c r="Q210" s="226"/>
      <c r="R210" s="226"/>
      <c r="S210" s="226">
        <f>+S201</f>
        <v>5</v>
      </c>
      <c r="T210" s="226"/>
      <c r="U210" s="225"/>
      <c r="V210" s="226"/>
      <c r="W210" s="226">
        <f>+W201</f>
        <v>1</v>
      </c>
      <c r="X210" s="227"/>
      <c r="Y210" s="225"/>
      <c r="Z210" s="226"/>
      <c r="AA210" s="226">
        <f>+AA201</f>
        <v>3</v>
      </c>
      <c r="AB210" s="227"/>
      <c r="AC210" s="228"/>
      <c r="AD210" s="226"/>
      <c r="AE210" s="226">
        <f>+AE201</f>
        <v>1</v>
      </c>
      <c r="AF210" s="226"/>
      <c r="AG210" s="225"/>
      <c r="AH210" s="226"/>
      <c r="AI210" s="226">
        <f>+AI201</f>
        <v>1</v>
      </c>
      <c r="AJ210" s="227"/>
      <c r="AK210" s="225"/>
      <c r="AL210" s="226"/>
      <c r="AM210" s="226">
        <f>+AM201</f>
        <v>2</v>
      </c>
      <c r="AN210" s="227"/>
      <c r="AO210" s="225"/>
      <c r="AP210" s="226"/>
      <c r="AQ210" s="226">
        <f>+AQ201</f>
        <v>0</v>
      </c>
      <c r="AR210" s="227"/>
      <c r="AS210" s="225"/>
      <c r="AT210" s="226"/>
      <c r="AU210" s="226">
        <f>+AU201</f>
        <v>5</v>
      </c>
      <c r="AV210" s="226"/>
      <c r="AW210" s="227"/>
      <c r="AX210" s="225"/>
      <c r="AY210" s="226"/>
      <c r="AZ210" s="226">
        <f>+AZ201</f>
        <v>6</v>
      </c>
      <c r="BA210" s="227"/>
      <c r="BB210" s="225"/>
      <c r="BC210" s="226"/>
      <c r="BD210" s="226">
        <f>+BD201</f>
        <v>6</v>
      </c>
      <c r="BE210" s="227"/>
      <c r="BF210" s="226"/>
      <c r="BG210" s="226"/>
      <c r="BH210" s="226">
        <f>+BH201</f>
        <v>2</v>
      </c>
      <c r="BI210" s="226"/>
      <c r="BJ210" s="225"/>
      <c r="BK210" s="226"/>
      <c r="BL210" s="226">
        <f>+BL201</f>
        <v>5</v>
      </c>
      <c r="BM210" s="227"/>
      <c r="BN210" s="226"/>
      <c r="BO210" s="226"/>
      <c r="BP210" s="226">
        <f>+BP201</f>
        <v>2</v>
      </c>
      <c r="BQ210" s="226"/>
      <c r="BR210" s="225"/>
      <c r="BS210" s="226"/>
      <c r="BT210" s="226">
        <f>+BT201</f>
        <v>2</v>
      </c>
      <c r="BU210" s="227"/>
      <c r="BV210" s="225"/>
      <c r="BW210" s="226"/>
      <c r="BX210" s="226">
        <f>+BX201</f>
        <v>2</v>
      </c>
      <c r="BY210" s="227"/>
      <c r="BZ210" s="230">
        <f t="shared" si="11"/>
        <v>44</v>
      </c>
    </row>
    <row r="211" spans="4:79">
      <c r="D211" s="403" t="s">
        <v>541</v>
      </c>
      <c r="E211" s="225"/>
      <c r="F211" s="226"/>
      <c r="G211" s="226"/>
      <c r="H211" s="227">
        <f>+H201</f>
        <v>0</v>
      </c>
      <c r="I211" s="228"/>
      <c r="J211" s="226"/>
      <c r="K211" s="226"/>
      <c r="L211" s="226">
        <f>+L201</f>
        <v>0</v>
      </c>
      <c r="M211" s="225"/>
      <c r="N211" s="226"/>
      <c r="O211" s="226"/>
      <c r="P211" s="227">
        <f>+P201</f>
        <v>5</v>
      </c>
      <c r="Q211" s="226"/>
      <c r="R211" s="226"/>
      <c r="S211" s="226"/>
      <c r="T211" s="226">
        <f>+T201</f>
        <v>5</v>
      </c>
      <c r="U211" s="225"/>
      <c r="V211" s="226"/>
      <c r="W211" s="226"/>
      <c r="X211" s="227">
        <f>+X201</f>
        <v>2</v>
      </c>
      <c r="Y211" s="225"/>
      <c r="Z211" s="226"/>
      <c r="AA211" s="226"/>
      <c r="AB211" s="227">
        <f>+AB201</f>
        <v>2</v>
      </c>
      <c r="AC211" s="228"/>
      <c r="AD211" s="226"/>
      <c r="AE211" s="226"/>
      <c r="AF211" s="226">
        <f>+AF201</f>
        <v>2</v>
      </c>
      <c r="AG211" s="225"/>
      <c r="AH211" s="226"/>
      <c r="AI211" s="226"/>
      <c r="AJ211" s="227">
        <f>+AJ201</f>
        <v>2</v>
      </c>
      <c r="AK211" s="225"/>
      <c r="AL211" s="226"/>
      <c r="AM211" s="226"/>
      <c r="AN211" s="227">
        <f>+AN201</f>
        <v>2</v>
      </c>
      <c r="AO211" s="225"/>
      <c r="AP211" s="226"/>
      <c r="AQ211" s="226"/>
      <c r="AR211" s="227">
        <f>+AR201</f>
        <v>0</v>
      </c>
      <c r="AS211" s="225"/>
      <c r="AT211" s="226"/>
      <c r="AU211" s="226"/>
      <c r="AV211" s="226">
        <f>+AV201</f>
        <v>2</v>
      </c>
      <c r="AW211" s="227"/>
      <c r="AX211" s="225"/>
      <c r="AY211" s="226"/>
      <c r="AZ211" s="226"/>
      <c r="BA211" s="227">
        <f>+BA201</f>
        <v>2</v>
      </c>
      <c r="BB211" s="225"/>
      <c r="BC211" s="226"/>
      <c r="BD211" s="226"/>
      <c r="BE211" s="227">
        <f>+BE201</f>
        <v>1</v>
      </c>
      <c r="BF211" s="226"/>
      <c r="BG211" s="226"/>
      <c r="BH211" s="226"/>
      <c r="BI211" s="226">
        <f>+BI201</f>
        <v>1</v>
      </c>
      <c r="BJ211" s="225"/>
      <c r="BK211" s="226"/>
      <c r="BL211" s="226"/>
      <c r="BM211" s="227">
        <f>+BM201</f>
        <v>4</v>
      </c>
      <c r="BN211" s="226"/>
      <c r="BO211" s="226"/>
      <c r="BP211" s="226"/>
      <c r="BQ211" s="226">
        <f>+BQ201</f>
        <v>2</v>
      </c>
      <c r="BR211" s="225"/>
      <c r="BS211" s="226"/>
      <c r="BT211" s="226"/>
      <c r="BU211" s="227">
        <f>+BU201</f>
        <v>4</v>
      </c>
      <c r="BV211" s="225"/>
      <c r="BW211" s="226"/>
      <c r="BX211" s="226"/>
      <c r="BY211" s="227">
        <f>+BY201</f>
        <v>2</v>
      </c>
      <c r="BZ211" s="230">
        <f t="shared" si="11"/>
        <v>38</v>
      </c>
    </row>
    <row r="212" spans="4:79">
      <c r="D212" s="403" t="s">
        <v>542</v>
      </c>
      <c r="E212" s="225"/>
      <c r="F212" s="226"/>
      <c r="G212" s="226"/>
      <c r="H212" s="227"/>
      <c r="I212" s="228"/>
      <c r="J212" s="226"/>
      <c r="K212" s="226"/>
      <c r="L212" s="226"/>
      <c r="M212" s="225"/>
      <c r="N212" s="226"/>
      <c r="O212" s="226"/>
      <c r="P212" s="227"/>
      <c r="Q212" s="226"/>
      <c r="R212" s="226"/>
      <c r="S212" s="226"/>
      <c r="T212" s="226"/>
      <c r="U212" s="225"/>
      <c r="V212" s="226"/>
      <c r="W212" s="226"/>
      <c r="X212" s="227"/>
      <c r="Y212" s="225"/>
      <c r="Z212" s="226"/>
      <c r="AA212" s="226"/>
      <c r="AB212" s="227"/>
      <c r="AC212" s="228"/>
      <c r="AD212" s="226"/>
      <c r="AE212" s="226"/>
      <c r="AF212" s="226"/>
      <c r="AG212" s="225"/>
      <c r="AH212" s="226"/>
      <c r="AI212" s="226"/>
      <c r="AJ212" s="227"/>
      <c r="AK212" s="225"/>
      <c r="AL212" s="226"/>
      <c r="AM212" s="226"/>
      <c r="AN212" s="227"/>
      <c r="AO212" s="225"/>
      <c r="AP212" s="226"/>
      <c r="AQ212" s="226"/>
      <c r="AR212" s="227"/>
      <c r="AS212" s="225"/>
      <c r="AT212" s="226"/>
      <c r="AU212" s="226"/>
      <c r="AV212" s="226"/>
      <c r="AW212" s="227">
        <f>+AW201</f>
        <v>0</v>
      </c>
      <c r="AX212" s="225"/>
      <c r="AY212" s="226"/>
      <c r="AZ212" s="226"/>
      <c r="BA212" s="227"/>
      <c r="BB212" s="225"/>
      <c r="BC212" s="226"/>
      <c r="BD212" s="226"/>
      <c r="BE212" s="227"/>
      <c r="BF212" s="226"/>
      <c r="BG212" s="226"/>
      <c r="BH212" s="226"/>
      <c r="BI212" s="226"/>
      <c r="BJ212" s="225"/>
      <c r="BK212" s="226"/>
      <c r="BL212" s="226"/>
      <c r="BM212" s="227"/>
      <c r="BN212" s="226"/>
      <c r="BO212" s="226"/>
      <c r="BP212" s="226"/>
      <c r="BQ212" s="226"/>
      <c r="BR212" s="225"/>
      <c r="BS212" s="226"/>
      <c r="BT212" s="226"/>
      <c r="BU212" s="227"/>
      <c r="BV212" s="225"/>
      <c r="BW212" s="226"/>
      <c r="BX212" s="226"/>
      <c r="BY212" s="227"/>
      <c r="BZ212" s="230">
        <f t="shared" si="11"/>
        <v>0</v>
      </c>
    </row>
    <row r="213" spans="4:79">
      <c r="D213" s="403" t="s">
        <v>543</v>
      </c>
      <c r="E213" s="225"/>
      <c r="F213" s="226"/>
      <c r="G213" s="226"/>
      <c r="H213" s="227"/>
      <c r="I213" s="228"/>
      <c r="J213" s="226"/>
      <c r="K213" s="226"/>
      <c r="L213" s="226"/>
      <c r="M213" s="225"/>
      <c r="N213" s="226"/>
      <c r="O213" s="226"/>
      <c r="P213" s="227"/>
      <c r="Q213" s="226"/>
      <c r="R213" s="226"/>
      <c r="S213" s="226"/>
      <c r="T213" s="226"/>
      <c r="U213" s="225"/>
      <c r="V213" s="226"/>
      <c r="W213" s="226"/>
      <c r="X213" s="227"/>
      <c r="Y213" s="225"/>
      <c r="Z213" s="226"/>
      <c r="AA213" s="226"/>
      <c r="AB213" s="227"/>
      <c r="AC213" s="228"/>
      <c r="AD213" s="226"/>
      <c r="AE213" s="226"/>
      <c r="AF213" s="226"/>
      <c r="AG213" s="225"/>
      <c r="AH213" s="226"/>
      <c r="AI213" s="226"/>
      <c r="AJ213" s="227"/>
      <c r="AK213" s="225"/>
      <c r="AL213" s="226"/>
      <c r="AM213" s="226"/>
      <c r="AN213" s="227"/>
      <c r="AO213" s="225"/>
      <c r="AP213" s="226"/>
      <c r="AQ213" s="226"/>
      <c r="AR213" s="227"/>
      <c r="AS213" s="225"/>
      <c r="AT213" s="226"/>
      <c r="AU213" s="226"/>
      <c r="AV213" s="226"/>
      <c r="AW213" s="227"/>
      <c r="AX213" s="225"/>
      <c r="AY213" s="226"/>
      <c r="AZ213" s="226"/>
      <c r="BA213" s="227"/>
      <c r="BB213" s="225"/>
      <c r="BC213" s="226"/>
      <c r="BD213" s="226"/>
      <c r="BE213" s="227"/>
      <c r="BF213" s="226"/>
      <c r="BG213" s="226"/>
      <c r="BH213" s="226"/>
      <c r="BI213" s="226"/>
      <c r="BJ213" s="225"/>
      <c r="BK213" s="226"/>
      <c r="BL213" s="226"/>
      <c r="BM213" s="227"/>
      <c r="BN213" s="226"/>
      <c r="BO213" s="226"/>
      <c r="BP213" s="226"/>
      <c r="BQ213" s="226"/>
      <c r="BR213" s="225"/>
      <c r="BS213" s="226"/>
      <c r="BT213" s="226"/>
      <c r="BU213" s="227"/>
      <c r="BV213" s="225"/>
      <c r="BW213" s="226"/>
      <c r="BX213" s="226"/>
      <c r="BY213" s="227"/>
      <c r="BZ213" s="230">
        <f t="shared" si="11"/>
        <v>0</v>
      </c>
    </row>
    <row r="214" spans="4:79">
      <c r="D214" s="404"/>
      <c r="E214" s="231"/>
      <c r="F214" s="232"/>
      <c r="G214" s="232"/>
      <c r="H214" s="405"/>
      <c r="I214" s="406"/>
      <c r="J214" s="232"/>
      <c r="K214" s="232"/>
      <c r="L214" s="232"/>
      <c r="M214" s="231"/>
      <c r="N214" s="232"/>
      <c r="O214" s="232"/>
      <c r="P214" s="405"/>
      <c r="Q214" s="232"/>
      <c r="R214" s="232"/>
      <c r="S214" s="232"/>
      <c r="T214" s="232"/>
      <c r="U214" s="231"/>
      <c r="V214" s="232"/>
      <c r="W214" s="232"/>
      <c r="X214" s="405"/>
      <c r="Y214" s="231"/>
      <c r="Z214" s="232"/>
      <c r="AA214" s="232"/>
      <c r="AB214" s="405"/>
      <c r="AC214" s="406"/>
      <c r="AD214" s="232"/>
      <c r="AE214" s="232"/>
      <c r="AF214" s="232"/>
      <c r="AG214" s="231"/>
      <c r="AH214" s="232"/>
      <c r="AI214" s="232"/>
      <c r="AJ214" s="405"/>
      <c r="AK214" s="231"/>
      <c r="AL214" s="232"/>
      <c r="AM214" s="232"/>
      <c r="AN214" s="405"/>
      <c r="AO214" s="231"/>
      <c r="AP214" s="232"/>
      <c r="AQ214" s="232"/>
      <c r="AR214" s="405"/>
      <c r="AS214" s="231"/>
      <c r="AT214" s="232"/>
      <c r="AU214" s="232"/>
      <c r="AV214" s="232"/>
      <c r="AW214" s="405"/>
      <c r="AX214" s="231"/>
      <c r="AY214" s="232"/>
      <c r="AZ214" s="232"/>
      <c r="BA214" s="405"/>
      <c r="BB214" s="231"/>
      <c r="BC214" s="232"/>
      <c r="BD214" s="232"/>
      <c r="BE214" s="405"/>
      <c r="BF214" s="232"/>
      <c r="BG214" s="232"/>
      <c r="BH214" s="232"/>
      <c r="BI214" s="232"/>
      <c r="BJ214" s="231"/>
      <c r="BK214" s="232"/>
      <c r="BL214" s="232"/>
      <c r="BM214" s="405"/>
      <c r="BN214" s="232"/>
      <c r="BO214" s="232"/>
      <c r="BP214" s="232"/>
      <c r="BQ214" s="232"/>
      <c r="BR214" s="231"/>
      <c r="BS214" s="232"/>
      <c r="BT214" s="232"/>
      <c r="BU214" s="405"/>
      <c r="BV214" s="231"/>
      <c r="BW214" s="232"/>
      <c r="BX214" s="232"/>
      <c r="BY214" s="405"/>
      <c r="BZ214" s="233">
        <f>SUM(BZ208:BZ213)</f>
        <v>193</v>
      </c>
    </row>
    <row r="215" spans="4:79">
      <c r="CA215" s="216" t="str">
        <f>IF(BZ214=BZ201,"OK",IF(BZ201&gt;BZ214,"ERROR"))</f>
        <v>OK</v>
      </c>
    </row>
    <row r="222" spans="4:79" ht="12">
      <c r="E222" s="407" t="s">
        <v>228</v>
      </c>
      <c r="F222" s="407" t="s">
        <v>229</v>
      </c>
      <c r="G222" s="407" t="s">
        <v>230</v>
      </c>
      <c r="H222" s="407" t="s">
        <v>231</v>
      </c>
      <c r="I222" s="407" t="s">
        <v>232</v>
      </c>
      <c r="J222" s="407" t="s">
        <v>233</v>
      </c>
      <c r="K222" s="407" t="s">
        <v>234</v>
      </c>
      <c r="L222" s="407" t="s">
        <v>235</v>
      </c>
      <c r="M222" s="407" t="s">
        <v>236</v>
      </c>
      <c r="N222" s="407" t="s">
        <v>237</v>
      </c>
      <c r="O222" s="407" t="s">
        <v>238</v>
      </c>
      <c r="P222" s="407" t="s">
        <v>239</v>
      </c>
      <c r="Q222" s="407" t="s">
        <v>240</v>
      </c>
      <c r="R222" s="407" t="s">
        <v>241</v>
      </c>
      <c r="S222" s="407" t="s">
        <v>242</v>
      </c>
      <c r="T222" s="407" t="s">
        <v>306</v>
      </c>
      <c r="U222" s="407" t="s">
        <v>307</v>
      </c>
      <c r="V222" s="407" t="s">
        <v>308</v>
      </c>
    </row>
    <row r="223" spans="4:79" ht="12">
      <c r="D223" s="408" t="s">
        <v>542</v>
      </c>
      <c r="E223" s="409">
        <v>0</v>
      </c>
      <c r="F223" s="409"/>
      <c r="G223" s="409"/>
      <c r="H223" s="409"/>
      <c r="I223" s="409"/>
      <c r="J223" s="409"/>
      <c r="K223" s="409"/>
      <c r="L223" s="409"/>
      <c r="M223" s="409"/>
      <c r="N223" s="409"/>
      <c r="O223" s="409"/>
      <c r="P223" s="409"/>
      <c r="Q223" s="409"/>
      <c r="R223" s="409"/>
      <c r="S223" s="409"/>
      <c r="T223" s="409"/>
      <c r="U223" s="409"/>
      <c r="V223" s="409"/>
      <c r="W223" s="410">
        <f>SUM(E223:V223)</f>
        <v>0</v>
      </c>
    </row>
    <row r="224" spans="4:79" ht="12">
      <c r="D224" s="411" t="s">
        <v>541</v>
      </c>
      <c r="E224" s="412">
        <f>+H201</f>
        <v>0</v>
      </c>
      <c r="F224" s="412">
        <f>+L201</f>
        <v>0</v>
      </c>
      <c r="G224" s="412">
        <f>+P201</f>
        <v>5</v>
      </c>
      <c r="H224" s="412">
        <f>+T201</f>
        <v>5</v>
      </c>
      <c r="I224" s="412">
        <f>+X201</f>
        <v>2</v>
      </c>
      <c r="J224" s="412">
        <f>+AB201</f>
        <v>2</v>
      </c>
      <c r="K224" s="412">
        <f>+AF201</f>
        <v>2</v>
      </c>
      <c r="L224" s="412">
        <f>+AJ201</f>
        <v>2</v>
      </c>
      <c r="M224" s="412">
        <f>+AN201</f>
        <v>2</v>
      </c>
      <c r="N224" s="412">
        <v>0</v>
      </c>
      <c r="O224" s="412">
        <f>+AV201</f>
        <v>2</v>
      </c>
      <c r="P224" s="412">
        <f>+BA201</f>
        <v>2</v>
      </c>
      <c r="Q224" s="412">
        <f>+BE201</f>
        <v>1</v>
      </c>
      <c r="R224" s="412">
        <f>+BI201</f>
        <v>1</v>
      </c>
      <c r="S224" s="412">
        <f>+BM201</f>
        <v>4</v>
      </c>
      <c r="T224" s="412">
        <f>+BQ201</f>
        <v>2</v>
      </c>
      <c r="U224" s="412">
        <f>+BU201</f>
        <v>4</v>
      </c>
      <c r="V224" s="412">
        <f>+BY201</f>
        <v>2</v>
      </c>
      <c r="W224" s="413">
        <f t="shared" ref="W224:W227" si="12">SUM(E224:V224)</f>
        <v>38</v>
      </c>
    </row>
    <row r="225" spans="4:23" ht="12">
      <c r="D225" s="411" t="s">
        <v>540</v>
      </c>
      <c r="E225" s="412">
        <f>+G201</f>
        <v>0</v>
      </c>
      <c r="F225" s="412">
        <f>+K201</f>
        <v>0</v>
      </c>
      <c r="G225" s="412">
        <f>+O201</f>
        <v>1</v>
      </c>
      <c r="H225" s="412">
        <f>+S201</f>
        <v>5</v>
      </c>
      <c r="I225" s="412">
        <f>+W201</f>
        <v>1</v>
      </c>
      <c r="J225" s="412">
        <f>+AA201</f>
        <v>3</v>
      </c>
      <c r="K225" s="412">
        <f>+AE201</f>
        <v>1</v>
      </c>
      <c r="L225" s="412">
        <f>+AI201</f>
        <v>1</v>
      </c>
      <c r="M225" s="412">
        <f>+AM201</f>
        <v>2</v>
      </c>
      <c r="N225" s="412">
        <v>0</v>
      </c>
      <c r="O225" s="412">
        <f>+AU201</f>
        <v>5</v>
      </c>
      <c r="P225" s="412">
        <f>+AZ201</f>
        <v>6</v>
      </c>
      <c r="Q225" s="412">
        <f>+BD201</f>
        <v>6</v>
      </c>
      <c r="R225" s="412">
        <f>+BH201</f>
        <v>2</v>
      </c>
      <c r="S225" s="412">
        <f>+BL201</f>
        <v>5</v>
      </c>
      <c r="T225" s="412">
        <f>+BP201</f>
        <v>2</v>
      </c>
      <c r="U225" s="412">
        <f>+BT201</f>
        <v>2</v>
      </c>
      <c r="V225" s="412">
        <f>+BX201</f>
        <v>2</v>
      </c>
      <c r="W225" s="413">
        <f t="shared" si="12"/>
        <v>44</v>
      </c>
    </row>
    <row r="226" spans="4:23" ht="12">
      <c r="D226" s="411" t="s">
        <v>539</v>
      </c>
      <c r="E226" s="412">
        <f>+F201</f>
        <v>0</v>
      </c>
      <c r="F226" s="412">
        <f>+J201</f>
        <v>0</v>
      </c>
      <c r="G226" s="412">
        <v>0</v>
      </c>
      <c r="H226" s="412">
        <v>0</v>
      </c>
      <c r="I226" s="412">
        <v>0</v>
      </c>
      <c r="J226" s="412">
        <v>0</v>
      </c>
      <c r="K226" s="412">
        <v>0</v>
      </c>
      <c r="L226" s="412">
        <v>0</v>
      </c>
      <c r="M226" s="412">
        <f>+AL201</f>
        <v>3</v>
      </c>
      <c r="N226" s="412">
        <v>0</v>
      </c>
      <c r="O226" s="412">
        <f>+AT201</f>
        <v>12</v>
      </c>
      <c r="P226" s="412">
        <f>+AY201</f>
        <v>12</v>
      </c>
      <c r="Q226" s="412">
        <f>+BC201</f>
        <v>9</v>
      </c>
      <c r="R226" s="412">
        <f>+BG201</f>
        <v>11</v>
      </c>
      <c r="S226" s="412">
        <f>+BK201</f>
        <v>8</v>
      </c>
      <c r="T226" s="412">
        <f>+BO201</f>
        <v>9</v>
      </c>
      <c r="U226" s="412">
        <f>+BS201</f>
        <v>17</v>
      </c>
      <c r="V226" s="412">
        <f>+BW201</f>
        <v>27</v>
      </c>
      <c r="W226" s="413">
        <f t="shared" si="12"/>
        <v>108</v>
      </c>
    </row>
    <row r="227" spans="4:23" ht="12">
      <c r="D227" s="414" t="s">
        <v>538</v>
      </c>
      <c r="E227" s="415">
        <f>+E201</f>
        <v>0</v>
      </c>
      <c r="F227" s="415">
        <f>+I201</f>
        <v>0</v>
      </c>
      <c r="G227" s="415">
        <v>0</v>
      </c>
      <c r="H227" s="415">
        <v>0</v>
      </c>
      <c r="I227" s="415">
        <v>0</v>
      </c>
      <c r="J227" s="415">
        <v>0</v>
      </c>
      <c r="K227" s="415">
        <v>0</v>
      </c>
      <c r="L227" s="415">
        <v>0</v>
      </c>
      <c r="M227" s="415">
        <f>+AK201</f>
        <v>3</v>
      </c>
      <c r="N227" s="415">
        <v>0</v>
      </c>
      <c r="O227" s="415">
        <v>0</v>
      </c>
      <c r="P227" s="415">
        <v>0</v>
      </c>
      <c r="Q227" s="415">
        <v>0</v>
      </c>
      <c r="R227" s="415">
        <v>0</v>
      </c>
      <c r="S227" s="415">
        <v>0</v>
      </c>
      <c r="T227" s="415">
        <v>0</v>
      </c>
      <c r="U227" s="415">
        <v>0</v>
      </c>
      <c r="V227" s="415">
        <v>0</v>
      </c>
      <c r="W227" s="416">
        <f t="shared" si="12"/>
        <v>3</v>
      </c>
    </row>
    <row r="228" spans="4:23" ht="12">
      <c r="D228" s="417"/>
      <c r="E228" s="418">
        <f>SUM(E223:E227)</f>
        <v>0</v>
      </c>
      <c r="F228" s="418">
        <f t="shared" ref="F228:V228" si="13">SUM(F223:F227)</f>
        <v>0</v>
      </c>
      <c r="G228" s="418">
        <f t="shared" si="13"/>
        <v>6</v>
      </c>
      <c r="H228" s="418">
        <f t="shared" si="13"/>
        <v>10</v>
      </c>
      <c r="I228" s="418">
        <f t="shared" si="13"/>
        <v>3</v>
      </c>
      <c r="J228" s="418">
        <f t="shared" si="13"/>
        <v>5</v>
      </c>
      <c r="K228" s="418">
        <f t="shared" si="13"/>
        <v>3</v>
      </c>
      <c r="L228" s="418">
        <f t="shared" si="13"/>
        <v>3</v>
      </c>
      <c r="M228" s="418">
        <f t="shared" si="13"/>
        <v>10</v>
      </c>
      <c r="N228" s="418">
        <f t="shared" si="13"/>
        <v>0</v>
      </c>
      <c r="O228" s="418">
        <f t="shared" si="13"/>
        <v>19</v>
      </c>
      <c r="P228" s="418">
        <f t="shared" si="13"/>
        <v>20</v>
      </c>
      <c r="Q228" s="418">
        <f t="shared" si="13"/>
        <v>16</v>
      </c>
      <c r="R228" s="418">
        <f t="shared" si="13"/>
        <v>14</v>
      </c>
      <c r="S228" s="418">
        <f t="shared" si="13"/>
        <v>17</v>
      </c>
      <c r="T228" s="418">
        <f t="shared" si="13"/>
        <v>13</v>
      </c>
      <c r="U228" s="418">
        <f t="shared" si="13"/>
        <v>23</v>
      </c>
      <c r="V228" s="418">
        <f t="shared" si="13"/>
        <v>31</v>
      </c>
      <c r="W228" s="419">
        <f>SUM(W223:W227)</f>
        <v>193</v>
      </c>
    </row>
    <row r="229" spans="4:23" ht="12">
      <c r="D229" s="420"/>
      <c r="E229" s="407"/>
      <c r="F229" s="407"/>
      <c r="G229" s="407"/>
      <c r="H229" s="407"/>
      <c r="I229" s="407"/>
      <c r="J229" s="407"/>
      <c r="K229" s="407"/>
      <c r="L229" s="407"/>
      <c r="M229" s="407"/>
      <c r="N229" s="407"/>
      <c r="O229" s="407"/>
      <c r="P229" s="407"/>
      <c r="Q229" s="407"/>
      <c r="R229" s="407"/>
      <c r="S229" s="407"/>
      <c r="T229" s="407"/>
      <c r="U229" s="407"/>
      <c r="V229" s="407"/>
      <c r="W229" s="421">
        <f>SUM(E228:V228)</f>
        <v>193</v>
      </c>
    </row>
  </sheetData>
  <mergeCells count="37">
    <mergeCell ref="AS3:AV3"/>
    <mergeCell ref="E2:V2"/>
    <mergeCell ref="E3:H3"/>
    <mergeCell ref="I3:L3"/>
    <mergeCell ref="M3:P3"/>
    <mergeCell ref="Q3:T3"/>
    <mergeCell ref="U3:X3"/>
    <mergeCell ref="Y3:AB3"/>
    <mergeCell ref="AC3:AF3"/>
    <mergeCell ref="AG3:AJ3"/>
    <mergeCell ref="AK3:AN3"/>
    <mergeCell ref="AO3:AR3"/>
    <mergeCell ref="BV3:BY3"/>
    <mergeCell ref="G205:H205"/>
    <mergeCell ref="K205:L205"/>
    <mergeCell ref="O205:P205"/>
    <mergeCell ref="S205:T205"/>
    <mergeCell ref="W205:X205"/>
    <mergeCell ref="AA205:AB205"/>
    <mergeCell ref="AE205:AF205"/>
    <mergeCell ref="AI205:AJ205"/>
    <mergeCell ref="AM205:AN205"/>
    <mergeCell ref="AX3:BA3"/>
    <mergeCell ref="BB3:BE3"/>
    <mergeCell ref="BF3:BI3"/>
    <mergeCell ref="BJ3:BM3"/>
    <mergeCell ref="BN3:BQ3"/>
    <mergeCell ref="BR3:BU3"/>
    <mergeCell ref="BP205:BQ205"/>
    <mergeCell ref="BT205:BU205"/>
    <mergeCell ref="BX205:BY205"/>
    <mergeCell ref="AQ205:AR205"/>
    <mergeCell ref="AV205:AW205"/>
    <mergeCell ref="AZ205:BA205"/>
    <mergeCell ref="BD205:BE205"/>
    <mergeCell ref="BH205:BI205"/>
    <mergeCell ref="BL205:BM205"/>
  </mergeCells>
  <conditionalFormatting sqref="CA1:CA1048576">
    <cfRule type="containsText" dxfId="3" priority="3" operator="containsText" text="NO SE ENCONTRO">
      <formula>NOT(ISERROR(SEARCH("NO SE ENCONTRO",CA1)))</formula>
    </cfRule>
    <cfRule type="containsText" dxfId="2" priority="4" operator="containsText" text="error">
      <formula>NOT(ISERROR(SEARCH("error",CA1)))</formula>
    </cfRule>
  </conditionalFormatting>
  <conditionalFormatting sqref="CA215">
    <cfRule type="containsText" dxfId="1" priority="1" operator="containsText" text="ERROR">
      <formula>NOT(ISERROR(SEARCH("ERROR",CA215)))</formula>
    </cfRule>
    <cfRule type="containsText" dxfId="0" priority="2" operator="containsText" text="OK">
      <formula>NOT(ISERROR(SEARCH("OK",CA215)))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69"/>
  <sheetViews>
    <sheetView zoomScaleNormal="100" zoomScalePageLayoutView="130" workbookViewId="0">
      <pane xSplit="1" ySplit="2" topLeftCell="B3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baseColWidth="10" defaultColWidth="10.6640625" defaultRowHeight="12.75"/>
  <cols>
    <col min="1" max="1" width="18.5" style="5" bestFit="1" customWidth="1"/>
    <col min="2" max="5" width="8" style="4" bestFit="1" customWidth="1"/>
    <col min="6" max="6" width="6.5" style="4" bestFit="1" customWidth="1"/>
    <col min="7" max="7" width="8" style="4" bestFit="1" customWidth="1"/>
    <col min="8" max="8" width="5.5" style="4" bestFit="1" customWidth="1"/>
    <col min="9" max="14" width="8" style="4" bestFit="1" customWidth="1"/>
    <col min="15" max="15" width="7" style="4" bestFit="1" customWidth="1"/>
    <col min="16" max="16" width="8" style="4" bestFit="1" customWidth="1"/>
    <col min="17" max="17" width="10" style="4" bestFit="1" customWidth="1"/>
    <col min="18" max="18" width="12.33203125" style="6" bestFit="1" customWidth="1"/>
    <col min="19" max="19" width="14.33203125" style="6" bestFit="1" customWidth="1"/>
    <col min="20" max="21" width="10.6640625" style="4"/>
    <col min="22" max="16384" width="10.6640625" style="5"/>
  </cols>
  <sheetData>
    <row r="2" spans="1:39" s="2" customFormat="1">
      <c r="A2" s="159" t="s">
        <v>227</v>
      </c>
      <c r="B2" s="160" t="s">
        <v>228</v>
      </c>
      <c r="C2" s="160" t="s">
        <v>229</v>
      </c>
      <c r="D2" s="160" t="s">
        <v>230</v>
      </c>
      <c r="E2" s="160" t="s">
        <v>231</v>
      </c>
      <c r="F2" s="160" t="s">
        <v>232</v>
      </c>
      <c r="G2" s="160" t="s">
        <v>233</v>
      </c>
      <c r="H2" s="160" t="s">
        <v>234</v>
      </c>
      <c r="I2" s="160" t="s">
        <v>235</v>
      </c>
      <c r="J2" s="160" t="s">
        <v>236</v>
      </c>
      <c r="K2" s="160" t="s">
        <v>237</v>
      </c>
      <c r="L2" s="160" t="s">
        <v>238</v>
      </c>
      <c r="M2" s="160" t="s">
        <v>239</v>
      </c>
      <c r="N2" s="160" t="s">
        <v>240</v>
      </c>
      <c r="O2" s="160" t="s">
        <v>241</v>
      </c>
      <c r="P2" s="160" t="s">
        <v>242</v>
      </c>
      <c r="Q2" s="160" t="s">
        <v>243</v>
      </c>
      <c r="R2" s="161" t="s">
        <v>276</v>
      </c>
      <c r="S2" s="161" t="s">
        <v>277</v>
      </c>
      <c r="T2" s="160" t="str">
        <f>B2</f>
        <v>S-1</v>
      </c>
      <c r="U2" s="160" t="str">
        <f t="shared" ref="U2:U34" si="0">C2</f>
        <v>S-2</v>
      </c>
      <c r="V2" s="162" t="str">
        <f t="shared" ref="V2:V34" si="1">D2</f>
        <v>S-3</v>
      </c>
      <c r="W2" s="162" t="str">
        <f t="shared" ref="W2:W34" si="2">E2</f>
        <v>S-4</v>
      </c>
      <c r="X2" s="162" t="str">
        <f t="shared" ref="X2:X34" si="3">F2</f>
        <v>S-5</v>
      </c>
      <c r="Y2" s="162" t="str">
        <f t="shared" ref="Y2:Y34" si="4">G2</f>
        <v>S-6</v>
      </c>
      <c r="Z2" s="162" t="str">
        <f t="shared" ref="Z2:Z34" si="5">H2</f>
        <v>S-7</v>
      </c>
      <c r="AA2" s="162" t="str">
        <f t="shared" ref="AA2:AA34" si="6">I2</f>
        <v>S-8</v>
      </c>
      <c r="AB2" s="162" t="str">
        <f t="shared" ref="AB2:AB34" si="7">J2</f>
        <v>S-9</v>
      </c>
      <c r="AC2" s="162" t="str">
        <f t="shared" ref="AC2:AC34" si="8">K2</f>
        <v>S-10</v>
      </c>
      <c r="AD2" s="162" t="str">
        <f t="shared" ref="AD2:AD34" si="9">L2</f>
        <v>S-11</v>
      </c>
      <c r="AE2" s="162" t="str">
        <f t="shared" ref="AE2:AE34" si="10">M2</f>
        <v>S-12</v>
      </c>
      <c r="AF2" s="162" t="str">
        <f t="shared" ref="AF2:AF34" si="11">N2</f>
        <v>S-13</v>
      </c>
      <c r="AG2" s="162" t="str">
        <f t="shared" ref="AG2:AG34" si="12">O2</f>
        <v>S-14</v>
      </c>
      <c r="AH2" s="160" t="str">
        <f>P2</f>
        <v>S-15</v>
      </c>
      <c r="AI2" s="160" t="s">
        <v>306</v>
      </c>
      <c r="AJ2" s="160" t="s">
        <v>307</v>
      </c>
      <c r="AK2" s="163" t="s">
        <v>308</v>
      </c>
      <c r="AL2" s="3"/>
      <c r="AM2" s="3"/>
    </row>
    <row r="3" spans="1:39">
      <c r="A3" s="157" t="s">
        <v>244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329"/>
      <c r="S3" s="329"/>
      <c r="T3" s="330">
        <f t="shared" ref="T3:T34" si="13">B3</f>
        <v>0</v>
      </c>
      <c r="U3" s="330">
        <f t="shared" si="0"/>
        <v>0</v>
      </c>
      <c r="V3" s="331">
        <f t="shared" si="1"/>
        <v>0</v>
      </c>
      <c r="W3" s="331">
        <f t="shared" si="2"/>
        <v>0</v>
      </c>
      <c r="X3" s="331">
        <f t="shared" si="3"/>
        <v>0</v>
      </c>
      <c r="Y3" s="331">
        <f t="shared" si="4"/>
        <v>0</v>
      </c>
      <c r="Z3" s="331">
        <f t="shared" si="5"/>
        <v>0</v>
      </c>
      <c r="AA3" s="331">
        <f t="shared" si="6"/>
        <v>0</v>
      </c>
      <c r="AB3" s="331">
        <f t="shared" si="7"/>
        <v>0</v>
      </c>
      <c r="AC3" s="331">
        <f t="shared" si="8"/>
        <v>0</v>
      </c>
      <c r="AD3" s="331">
        <f t="shared" si="9"/>
        <v>0</v>
      </c>
      <c r="AE3" s="331">
        <f t="shared" si="10"/>
        <v>0</v>
      </c>
      <c r="AF3" s="331">
        <f t="shared" si="11"/>
        <v>0</v>
      </c>
      <c r="AG3" s="331">
        <f t="shared" si="12"/>
        <v>0</v>
      </c>
      <c r="AH3" s="330">
        <f t="shared" ref="AH3:AH34" si="14">P3</f>
        <v>0</v>
      </c>
      <c r="AI3" s="330"/>
      <c r="AJ3" s="330"/>
      <c r="AK3" s="332"/>
      <c r="AL3" s="4"/>
      <c r="AM3" s="4"/>
    </row>
    <row r="4" spans="1:39">
      <c r="A4" s="149" t="s">
        <v>245</v>
      </c>
      <c r="B4" s="148"/>
      <c r="C4" s="148"/>
      <c r="D4" s="148"/>
      <c r="E4" s="148">
        <v>2</v>
      </c>
      <c r="F4" s="148"/>
      <c r="G4" s="148">
        <v>1</v>
      </c>
      <c r="H4" s="148"/>
      <c r="I4" s="148"/>
      <c r="J4" s="148">
        <v>4</v>
      </c>
      <c r="K4" s="148"/>
      <c r="L4" s="148"/>
      <c r="M4" s="148"/>
      <c r="N4" s="148">
        <v>1</v>
      </c>
      <c r="O4" s="148">
        <v>1</v>
      </c>
      <c r="P4" s="148">
        <v>2</v>
      </c>
      <c r="Q4" s="148">
        <f>SUM(B4:P4)</f>
        <v>11</v>
      </c>
      <c r="R4" s="333">
        <v>47</v>
      </c>
      <c r="S4" s="333" t="e">
        <f>'PPTO REDES ACUEDUCTO'!#REF!</f>
        <v>#REF!</v>
      </c>
      <c r="T4" s="334">
        <f t="shared" si="13"/>
        <v>0</v>
      </c>
      <c r="U4" s="334">
        <f t="shared" si="0"/>
        <v>0</v>
      </c>
      <c r="V4" s="335">
        <f t="shared" si="1"/>
        <v>0</v>
      </c>
      <c r="W4" s="335">
        <f t="shared" si="2"/>
        <v>2</v>
      </c>
      <c r="X4" s="335">
        <f t="shared" si="3"/>
        <v>0</v>
      </c>
      <c r="Y4" s="335">
        <f t="shared" si="4"/>
        <v>1</v>
      </c>
      <c r="Z4" s="335">
        <f t="shared" si="5"/>
        <v>0</v>
      </c>
      <c r="AA4" s="335">
        <f t="shared" si="6"/>
        <v>0</v>
      </c>
      <c r="AB4" s="335">
        <f t="shared" si="7"/>
        <v>4</v>
      </c>
      <c r="AC4" s="335">
        <f t="shared" si="8"/>
        <v>0</v>
      </c>
      <c r="AD4" s="335">
        <f t="shared" si="9"/>
        <v>0</v>
      </c>
      <c r="AE4" s="335">
        <f t="shared" si="10"/>
        <v>0</v>
      </c>
      <c r="AF4" s="335">
        <f t="shared" si="11"/>
        <v>1</v>
      </c>
      <c r="AG4" s="335">
        <f t="shared" si="12"/>
        <v>1</v>
      </c>
      <c r="AH4" s="334">
        <f t="shared" si="14"/>
        <v>2</v>
      </c>
      <c r="AI4" s="334">
        <v>1</v>
      </c>
      <c r="AJ4" s="334"/>
      <c r="AK4" s="336"/>
      <c r="AL4" s="4"/>
      <c r="AM4" s="4"/>
    </row>
    <row r="5" spans="1:39">
      <c r="A5" s="149" t="s">
        <v>246</v>
      </c>
      <c r="B5" s="148"/>
      <c r="C5" s="148">
        <v>1</v>
      </c>
      <c r="D5" s="148">
        <v>1</v>
      </c>
      <c r="E5" s="148">
        <v>4</v>
      </c>
      <c r="F5" s="148">
        <v>1</v>
      </c>
      <c r="G5" s="148">
        <v>2</v>
      </c>
      <c r="H5" s="148"/>
      <c r="I5" s="148">
        <v>4</v>
      </c>
      <c r="J5" s="148"/>
      <c r="K5" s="148">
        <v>3</v>
      </c>
      <c r="L5" s="148">
        <v>2</v>
      </c>
      <c r="M5" s="148">
        <v>2</v>
      </c>
      <c r="N5" s="148">
        <v>3</v>
      </c>
      <c r="O5" s="148"/>
      <c r="P5" s="148">
        <v>1</v>
      </c>
      <c r="Q5" s="148">
        <f t="shared" ref="Q5:Q34" si="15">SUM(B5:P5)</f>
        <v>24</v>
      </c>
      <c r="R5" s="333" t="e">
        <f>'PPTO REDES ACUEDUCTO'!#REF!</f>
        <v>#REF!</v>
      </c>
      <c r="S5" s="333" t="e">
        <f>'PPTO REDES ACUEDUCTO'!#REF!</f>
        <v>#REF!</v>
      </c>
      <c r="T5" s="334">
        <f t="shared" si="13"/>
        <v>0</v>
      </c>
      <c r="U5" s="334">
        <f t="shared" si="0"/>
        <v>1</v>
      </c>
      <c r="V5" s="335">
        <f t="shared" si="1"/>
        <v>1</v>
      </c>
      <c r="W5" s="335">
        <f t="shared" si="2"/>
        <v>4</v>
      </c>
      <c r="X5" s="335">
        <f t="shared" si="3"/>
        <v>1</v>
      </c>
      <c r="Y5" s="335">
        <f t="shared" si="4"/>
        <v>2</v>
      </c>
      <c r="Z5" s="335">
        <f t="shared" si="5"/>
        <v>0</v>
      </c>
      <c r="AA5" s="335">
        <f t="shared" si="6"/>
        <v>4</v>
      </c>
      <c r="AB5" s="335">
        <f t="shared" si="7"/>
        <v>0</v>
      </c>
      <c r="AC5" s="335">
        <f t="shared" si="8"/>
        <v>3</v>
      </c>
      <c r="AD5" s="335">
        <f t="shared" si="9"/>
        <v>2</v>
      </c>
      <c r="AE5" s="335">
        <f t="shared" si="10"/>
        <v>2</v>
      </c>
      <c r="AF5" s="335">
        <f t="shared" si="11"/>
        <v>3</v>
      </c>
      <c r="AG5" s="335">
        <f t="shared" si="12"/>
        <v>0</v>
      </c>
      <c r="AH5" s="334">
        <f t="shared" si="14"/>
        <v>1</v>
      </c>
      <c r="AI5" s="334">
        <v>1</v>
      </c>
      <c r="AJ5" s="334"/>
      <c r="AK5" s="336">
        <v>1</v>
      </c>
      <c r="AL5" s="4"/>
      <c r="AM5" s="4"/>
    </row>
    <row r="6" spans="1:39">
      <c r="A6" s="149" t="s">
        <v>247</v>
      </c>
      <c r="B6" s="148"/>
      <c r="C6" s="148">
        <v>2</v>
      </c>
      <c r="D6" s="148">
        <v>2</v>
      </c>
      <c r="E6" s="148"/>
      <c r="F6" s="148"/>
      <c r="G6" s="148">
        <v>2</v>
      </c>
      <c r="H6" s="148"/>
      <c r="I6" s="148">
        <v>2</v>
      </c>
      <c r="J6" s="148"/>
      <c r="K6" s="148">
        <v>2</v>
      </c>
      <c r="L6" s="148"/>
      <c r="M6" s="148"/>
      <c r="N6" s="148"/>
      <c r="O6" s="148">
        <v>1</v>
      </c>
      <c r="P6" s="148">
        <v>1</v>
      </c>
      <c r="Q6" s="148">
        <f t="shared" si="15"/>
        <v>12</v>
      </c>
      <c r="R6" s="333" t="e">
        <f>'PPTO REDES ACUEDUCTO'!#REF!</f>
        <v>#REF!</v>
      </c>
      <c r="S6" s="333" t="e">
        <f>'PPTO REDES ACUEDUCTO'!#REF!</f>
        <v>#REF!</v>
      </c>
      <c r="T6" s="334">
        <f t="shared" si="13"/>
        <v>0</v>
      </c>
      <c r="U6" s="334">
        <f t="shared" si="0"/>
        <v>2</v>
      </c>
      <c r="V6" s="335">
        <f t="shared" si="1"/>
        <v>2</v>
      </c>
      <c r="W6" s="335">
        <f t="shared" si="2"/>
        <v>0</v>
      </c>
      <c r="X6" s="335">
        <f t="shared" si="3"/>
        <v>0</v>
      </c>
      <c r="Y6" s="335">
        <f t="shared" si="4"/>
        <v>2</v>
      </c>
      <c r="Z6" s="335">
        <f t="shared" si="5"/>
        <v>0</v>
      </c>
      <c r="AA6" s="335">
        <f t="shared" si="6"/>
        <v>2</v>
      </c>
      <c r="AB6" s="335">
        <f t="shared" si="7"/>
        <v>0</v>
      </c>
      <c r="AC6" s="335">
        <f t="shared" si="8"/>
        <v>2</v>
      </c>
      <c r="AD6" s="335">
        <f t="shared" si="9"/>
        <v>0</v>
      </c>
      <c r="AE6" s="335">
        <f t="shared" si="10"/>
        <v>0</v>
      </c>
      <c r="AF6" s="335">
        <f t="shared" si="11"/>
        <v>0</v>
      </c>
      <c r="AG6" s="335">
        <f t="shared" si="12"/>
        <v>1</v>
      </c>
      <c r="AH6" s="334">
        <f t="shared" si="14"/>
        <v>1</v>
      </c>
      <c r="AI6" s="334"/>
      <c r="AJ6" s="334">
        <v>1</v>
      </c>
      <c r="AK6" s="336">
        <v>1</v>
      </c>
      <c r="AL6" s="4"/>
      <c r="AM6" s="4"/>
    </row>
    <row r="7" spans="1:39">
      <c r="A7" s="149" t="s">
        <v>248</v>
      </c>
      <c r="B7" s="148"/>
      <c r="C7" s="148"/>
      <c r="D7" s="148"/>
      <c r="E7" s="148">
        <v>3</v>
      </c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>
        <f t="shared" si="15"/>
        <v>3</v>
      </c>
      <c r="R7" s="333"/>
      <c r="S7" s="333"/>
      <c r="T7" s="334">
        <f t="shared" si="13"/>
        <v>0</v>
      </c>
      <c r="U7" s="334">
        <f t="shared" si="0"/>
        <v>0</v>
      </c>
      <c r="V7" s="335">
        <f t="shared" si="1"/>
        <v>0</v>
      </c>
      <c r="W7" s="335">
        <f t="shared" si="2"/>
        <v>3</v>
      </c>
      <c r="X7" s="335">
        <f t="shared" si="3"/>
        <v>0</v>
      </c>
      <c r="Y7" s="335">
        <f t="shared" si="4"/>
        <v>0</v>
      </c>
      <c r="Z7" s="335">
        <f t="shared" si="5"/>
        <v>0</v>
      </c>
      <c r="AA7" s="335">
        <f t="shared" si="6"/>
        <v>0</v>
      </c>
      <c r="AB7" s="335">
        <f t="shared" si="7"/>
        <v>0</v>
      </c>
      <c r="AC7" s="335">
        <f t="shared" si="8"/>
        <v>0</v>
      </c>
      <c r="AD7" s="335">
        <f t="shared" si="9"/>
        <v>0</v>
      </c>
      <c r="AE7" s="335">
        <f t="shared" si="10"/>
        <v>0</v>
      </c>
      <c r="AF7" s="335">
        <f t="shared" si="11"/>
        <v>0</v>
      </c>
      <c r="AG7" s="335">
        <f t="shared" si="12"/>
        <v>0</v>
      </c>
      <c r="AH7" s="334">
        <f t="shared" si="14"/>
        <v>0</v>
      </c>
      <c r="AI7" s="334"/>
      <c r="AJ7" s="334"/>
      <c r="AK7" s="336"/>
      <c r="AL7" s="4"/>
      <c r="AM7" s="4"/>
    </row>
    <row r="8" spans="1:39">
      <c r="A8" s="149" t="s">
        <v>249</v>
      </c>
      <c r="B8" s="148"/>
      <c r="C8" s="148">
        <v>3</v>
      </c>
      <c r="D8" s="148">
        <v>8</v>
      </c>
      <c r="E8" s="148">
        <v>3</v>
      </c>
      <c r="F8" s="148">
        <v>5</v>
      </c>
      <c r="G8" s="148">
        <v>6</v>
      </c>
      <c r="H8" s="148"/>
      <c r="I8" s="148">
        <v>8</v>
      </c>
      <c r="J8" s="148">
        <v>19</v>
      </c>
      <c r="K8" s="148">
        <v>9</v>
      </c>
      <c r="L8" s="148">
        <v>2</v>
      </c>
      <c r="M8" s="148">
        <v>1</v>
      </c>
      <c r="N8" s="148">
        <v>4</v>
      </c>
      <c r="O8" s="148">
        <v>1</v>
      </c>
      <c r="P8" s="148">
        <v>14</v>
      </c>
      <c r="Q8" s="148">
        <f t="shared" si="15"/>
        <v>83</v>
      </c>
      <c r="R8" s="333" t="e">
        <f>'PPTO REDES ACUEDUCTO'!#REF!</f>
        <v>#REF!</v>
      </c>
      <c r="S8" s="333" t="e">
        <f>'PPTO REDES ACUEDUCTO'!#REF!</f>
        <v>#REF!</v>
      </c>
      <c r="T8" s="334">
        <f t="shared" si="13"/>
        <v>0</v>
      </c>
      <c r="U8" s="334">
        <f t="shared" si="0"/>
        <v>3</v>
      </c>
      <c r="V8" s="335">
        <f t="shared" si="1"/>
        <v>8</v>
      </c>
      <c r="W8" s="335">
        <f t="shared" si="2"/>
        <v>3</v>
      </c>
      <c r="X8" s="335">
        <f t="shared" si="3"/>
        <v>5</v>
      </c>
      <c r="Y8" s="335">
        <f t="shared" si="4"/>
        <v>6</v>
      </c>
      <c r="Z8" s="335">
        <f t="shared" si="5"/>
        <v>0</v>
      </c>
      <c r="AA8" s="335">
        <f t="shared" si="6"/>
        <v>8</v>
      </c>
      <c r="AB8" s="335">
        <f t="shared" si="7"/>
        <v>19</v>
      </c>
      <c r="AC8" s="335">
        <f t="shared" si="8"/>
        <v>9</v>
      </c>
      <c r="AD8" s="335">
        <f t="shared" si="9"/>
        <v>2</v>
      </c>
      <c r="AE8" s="335">
        <f t="shared" si="10"/>
        <v>1</v>
      </c>
      <c r="AF8" s="335">
        <f t="shared" si="11"/>
        <v>4</v>
      </c>
      <c r="AG8" s="335">
        <f t="shared" si="12"/>
        <v>1</v>
      </c>
      <c r="AH8" s="334">
        <f t="shared" si="14"/>
        <v>14</v>
      </c>
      <c r="AI8" s="334">
        <v>10</v>
      </c>
      <c r="AJ8" s="334">
        <v>9</v>
      </c>
      <c r="AK8" s="336">
        <v>6</v>
      </c>
      <c r="AL8" s="4"/>
      <c r="AM8" s="4"/>
    </row>
    <row r="9" spans="1:39">
      <c r="A9" s="149" t="s">
        <v>250</v>
      </c>
      <c r="B9" s="148"/>
      <c r="C9" s="148"/>
      <c r="D9" s="148">
        <v>4</v>
      </c>
      <c r="E9" s="148">
        <v>8</v>
      </c>
      <c r="F9" s="148"/>
      <c r="G9" s="148">
        <v>4</v>
      </c>
      <c r="H9" s="148"/>
      <c r="I9" s="148">
        <v>8</v>
      </c>
      <c r="J9" s="148">
        <v>4</v>
      </c>
      <c r="K9" s="148">
        <v>21</v>
      </c>
      <c r="L9" s="148">
        <v>8</v>
      </c>
      <c r="M9" s="148">
        <v>10</v>
      </c>
      <c r="N9" s="148">
        <v>8</v>
      </c>
      <c r="O9" s="148">
        <v>8</v>
      </c>
      <c r="P9" s="148">
        <v>7</v>
      </c>
      <c r="Q9" s="148">
        <f t="shared" si="15"/>
        <v>90</v>
      </c>
      <c r="R9" s="333" t="e">
        <f>'PPTO REDES ACUEDUCTO'!#REF!</f>
        <v>#REF!</v>
      </c>
      <c r="S9" s="333" t="e">
        <f>'PPTO REDES ACUEDUCTO'!#REF!</f>
        <v>#REF!</v>
      </c>
      <c r="T9" s="334">
        <f t="shared" si="13"/>
        <v>0</v>
      </c>
      <c r="U9" s="334">
        <f t="shared" si="0"/>
        <v>0</v>
      </c>
      <c r="V9" s="335">
        <f t="shared" si="1"/>
        <v>4</v>
      </c>
      <c r="W9" s="335">
        <f t="shared" si="2"/>
        <v>8</v>
      </c>
      <c r="X9" s="335">
        <f t="shared" si="3"/>
        <v>0</v>
      </c>
      <c r="Y9" s="335">
        <f t="shared" si="4"/>
        <v>4</v>
      </c>
      <c r="Z9" s="335">
        <f t="shared" si="5"/>
        <v>0</v>
      </c>
      <c r="AA9" s="335">
        <f t="shared" si="6"/>
        <v>8</v>
      </c>
      <c r="AB9" s="335">
        <f t="shared" si="7"/>
        <v>4</v>
      </c>
      <c r="AC9" s="335">
        <f t="shared" si="8"/>
        <v>21</v>
      </c>
      <c r="AD9" s="335">
        <f t="shared" si="9"/>
        <v>8</v>
      </c>
      <c r="AE9" s="335">
        <f t="shared" si="10"/>
        <v>10</v>
      </c>
      <c r="AF9" s="335">
        <f t="shared" si="11"/>
        <v>8</v>
      </c>
      <c r="AG9" s="335">
        <f t="shared" si="12"/>
        <v>8</v>
      </c>
      <c r="AH9" s="334">
        <f t="shared" si="14"/>
        <v>7</v>
      </c>
      <c r="AI9" s="334"/>
      <c r="AJ9" s="334">
        <v>8</v>
      </c>
      <c r="AK9" s="336">
        <v>3</v>
      </c>
      <c r="AL9" s="4"/>
      <c r="AM9" s="4"/>
    </row>
    <row r="10" spans="1:39">
      <c r="A10" s="149" t="s">
        <v>251</v>
      </c>
      <c r="B10" s="148">
        <v>12</v>
      </c>
      <c r="C10" s="148">
        <v>13</v>
      </c>
      <c r="D10" s="148">
        <v>9</v>
      </c>
      <c r="E10" s="148">
        <v>10</v>
      </c>
      <c r="F10" s="148"/>
      <c r="G10" s="148">
        <v>2</v>
      </c>
      <c r="H10" s="148"/>
      <c r="I10" s="148"/>
      <c r="J10" s="148"/>
      <c r="K10" s="148"/>
      <c r="L10" s="148"/>
      <c r="M10" s="148"/>
      <c r="N10" s="148"/>
      <c r="O10" s="148"/>
      <c r="P10" s="148"/>
      <c r="Q10" s="148">
        <f t="shared" si="15"/>
        <v>46</v>
      </c>
      <c r="R10" s="333" t="e">
        <f>'PPTO REDES ACUEDUCTO'!#REF!</f>
        <v>#REF!</v>
      </c>
      <c r="S10" s="333" t="e">
        <f>'PPTO REDES ACUEDUCTO'!#REF!</f>
        <v>#REF!</v>
      </c>
      <c r="T10" s="334">
        <f t="shared" si="13"/>
        <v>12</v>
      </c>
      <c r="U10" s="334">
        <f t="shared" si="0"/>
        <v>13</v>
      </c>
      <c r="V10" s="335">
        <f t="shared" si="1"/>
        <v>9</v>
      </c>
      <c r="W10" s="335">
        <f t="shared" si="2"/>
        <v>10</v>
      </c>
      <c r="X10" s="335">
        <f t="shared" si="3"/>
        <v>0</v>
      </c>
      <c r="Y10" s="335">
        <f t="shared" si="4"/>
        <v>2</v>
      </c>
      <c r="Z10" s="335">
        <f t="shared" si="5"/>
        <v>0</v>
      </c>
      <c r="AA10" s="335">
        <f t="shared" si="6"/>
        <v>0</v>
      </c>
      <c r="AB10" s="335">
        <f t="shared" si="7"/>
        <v>0</v>
      </c>
      <c r="AC10" s="335">
        <f t="shared" si="8"/>
        <v>0</v>
      </c>
      <c r="AD10" s="335">
        <f t="shared" si="9"/>
        <v>0</v>
      </c>
      <c r="AE10" s="335">
        <f t="shared" si="10"/>
        <v>0</v>
      </c>
      <c r="AF10" s="335">
        <f t="shared" si="11"/>
        <v>0</v>
      </c>
      <c r="AG10" s="335">
        <f t="shared" si="12"/>
        <v>0</v>
      </c>
      <c r="AH10" s="334">
        <f t="shared" si="14"/>
        <v>0</v>
      </c>
      <c r="AI10" s="334"/>
      <c r="AJ10" s="334"/>
      <c r="AK10" s="336"/>
      <c r="AL10" s="4"/>
      <c r="AM10" s="4"/>
    </row>
    <row r="11" spans="1:39">
      <c r="A11" s="149" t="s">
        <v>252</v>
      </c>
      <c r="B11" s="148">
        <v>1</v>
      </c>
      <c r="C11" s="148"/>
      <c r="D11" s="148">
        <v>1</v>
      </c>
      <c r="E11" s="148">
        <v>2</v>
      </c>
      <c r="F11" s="148"/>
      <c r="G11" s="148">
        <v>10</v>
      </c>
      <c r="H11" s="148"/>
      <c r="I11" s="148">
        <v>11</v>
      </c>
      <c r="J11" s="148">
        <v>13</v>
      </c>
      <c r="K11" s="148">
        <v>12</v>
      </c>
      <c r="L11" s="148">
        <v>9</v>
      </c>
      <c r="M11" s="148"/>
      <c r="N11" s="148">
        <v>10</v>
      </c>
      <c r="O11" s="148">
        <v>7</v>
      </c>
      <c r="P11" s="148">
        <v>23</v>
      </c>
      <c r="Q11" s="148">
        <f t="shared" si="15"/>
        <v>99</v>
      </c>
      <c r="R11" s="333" t="e">
        <f>'PPTO REDES ACUEDUCTO'!#REF!</f>
        <v>#REF!</v>
      </c>
      <c r="S11" s="333" t="e">
        <f>'PPTO REDES ACUEDUCTO'!#REF!</f>
        <v>#REF!</v>
      </c>
      <c r="T11" s="334">
        <f t="shared" si="13"/>
        <v>1</v>
      </c>
      <c r="U11" s="334">
        <f t="shared" si="0"/>
        <v>0</v>
      </c>
      <c r="V11" s="335">
        <f t="shared" si="1"/>
        <v>1</v>
      </c>
      <c r="W11" s="335">
        <f t="shared" si="2"/>
        <v>2</v>
      </c>
      <c r="X11" s="335">
        <f t="shared" si="3"/>
        <v>0</v>
      </c>
      <c r="Y11" s="335">
        <f t="shared" si="4"/>
        <v>10</v>
      </c>
      <c r="Z11" s="335">
        <f t="shared" si="5"/>
        <v>0</v>
      </c>
      <c r="AA11" s="335">
        <f t="shared" si="6"/>
        <v>11</v>
      </c>
      <c r="AB11" s="335">
        <f t="shared" si="7"/>
        <v>13</v>
      </c>
      <c r="AC11" s="335">
        <f t="shared" si="8"/>
        <v>12</v>
      </c>
      <c r="AD11" s="335">
        <f t="shared" si="9"/>
        <v>9</v>
      </c>
      <c r="AE11" s="335">
        <f t="shared" si="10"/>
        <v>0</v>
      </c>
      <c r="AF11" s="335">
        <f t="shared" si="11"/>
        <v>10</v>
      </c>
      <c r="AG11" s="335">
        <f t="shared" si="12"/>
        <v>7</v>
      </c>
      <c r="AH11" s="334">
        <f t="shared" si="14"/>
        <v>23</v>
      </c>
      <c r="AI11" s="334">
        <v>5</v>
      </c>
      <c r="AJ11" s="334">
        <v>8</v>
      </c>
      <c r="AK11" s="336"/>
      <c r="AL11" s="4"/>
      <c r="AM11" s="4"/>
    </row>
    <row r="12" spans="1:39">
      <c r="A12" s="149" t="s">
        <v>253</v>
      </c>
      <c r="B12" s="148"/>
      <c r="C12" s="148"/>
      <c r="D12" s="148">
        <v>3</v>
      </c>
      <c r="E12" s="148">
        <v>1</v>
      </c>
      <c r="F12" s="148"/>
      <c r="G12" s="148">
        <v>6</v>
      </c>
      <c r="H12" s="148"/>
      <c r="I12" s="148"/>
      <c r="J12" s="148"/>
      <c r="K12" s="148"/>
      <c r="L12" s="148"/>
      <c r="M12" s="148"/>
      <c r="N12" s="148"/>
      <c r="O12" s="148"/>
      <c r="P12" s="148"/>
      <c r="Q12" s="148">
        <f t="shared" si="15"/>
        <v>10</v>
      </c>
      <c r="R12" s="333" t="e">
        <f>'PPTO REDES ACUEDUCTO'!#REF!</f>
        <v>#REF!</v>
      </c>
      <c r="S12" s="333" t="e">
        <f>'PPTO REDES ACUEDUCTO'!#REF!</f>
        <v>#REF!</v>
      </c>
      <c r="T12" s="334">
        <f t="shared" si="13"/>
        <v>0</v>
      </c>
      <c r="U12" s="334">
        <f t="shared" si="0"/>
        <v>0</v>
      </c>
      <c r="V12" s="335">
        <f t="shared" si="1"/>
        <v>3</v>
      </c>
      <c r="W12" s="335">
        <f t="shared" si="2"/>
        <v>1</v>
      </c>
      <c r="X12" s="335">
        <f t="shared" si="3"/>
        <v>0</v>
      </c>
      <c r="Y12" s="335">
        <f t="shared" si="4"/>
        <v>6</v>
      </c>
      <c r="Z12" s="335">
        <f t="shared" si="5"/>
        <v>0</v>
      </c>
      <c r="AA12" s="335">
        <f t="shared" si="6"/>
        <v>0</v>
      </c>
      <c r="AB12" s="335">
        <f t="shared" si="7"/>
        <v>0</v>
      </c>
      <c r="AC12" s="335">
        <f t="shared" si="8"/>
        <v>0</v>
      </c>
      <c r="AD12" s="335">
        <f t="shared" si="9"/>
        <v>0</v>
      </c>
      <c r="AE12" s="335">
        <f t="shared" si="10"/>
        <v>0</v>
      </c>
      <c r="AF12" s="335">
        <f t="shared" si="11"/>
        <v>0</v>
      </c>
      <c r="AG12" s="335">
        <f t="shared" si="12"/>
        <v>0</v>
      </c>
      <c r="AH12" s="334">
        <f t="shared" si="14"/>
        <v>0</v>
      </c>
      <c r="AI12" s="334"/>
      <c r="AJ12" s="334"/>
      <c r="AK12" s="336"/>
      <c r="AL12" s="4"/>
      <c r="AM12" s="4"/>
    </row>
    <row r="13" spans="1:39">
      <c r="A13" s="149" t="s">
        <v>254</v>
      </c>
      <c r="B13" s="148">
        <v>6</v>
      </c>
      <c r="C13" s="148">
        <v>3</v>
      </c>
      <c r="D13" s="148">
        <v>1</v>
      </c>
      <c r="E13" s="148">
        <v>5</v>
      </c>
      <c r="F13" s="148"/>
      <c r="G13" s="148">
        <v>7</v>
      </c>
      <c r="H13" s="148"/>
      <c r="I13" s="148"/>
      <c r="J13" s="148"/>
      <c r="K13" s="148"/>
      <c r="L13" s="148"/>
      <c r="M13" s="148"/>
      <c r="N13" s="148"/>
      <c r="O13" s="148"/>
      <c r="P13" s="148"/>
      <c r="Q13" s="148">
        <f t="shared" si="15"/>
        <v>22</v>
      </c>
      <c r="R13" s="333" t="e">
        <f>'PPTO REDES ACUEDUCTO'!#REF!</f>
        <v>#REF!</v>
      </c>
      <c r="S13" s="333" t="e">
        <f>'PPTO REDES ACUEDUCTO'!#REF!</f>
        <v>#REF!</v>
      </c>
      <c r="T13" s="334">
        <f t="shared" si="13"/>
        <v>6</v>
      </c>
      <c r="U13" s="334">
        <f t="shared" si="0"/>
        <v>3</v>
      </c>
      <c r="V13" s="335">
        <f t="shared" si="1"/>
        <v>1</v>
      </c>
      <c r="W13" s="335">
        <f t="shared" si="2"/>
        <v>5</v>
      </c>
      <c r="X13" s="335">
        <f t="shared" si="3"/>
        <v>0</v>
      </c>
      <c r="Y13" s="335">
        <f t="shared" si="4"/>
        <v>7</v>
      </c>
      <c r="Z13" s="335">
        <f t="shared" si="5"/>
        <v>0</v>
      </c>
      <c r="AA13" s="335">
        <f t="shared" si="6"/>
        <v>0</v>
      </c>
      <c r="AB13" s="335">
        <f t="shared" si="7"/>
        <v>0</v>
      </c>
      <c r="AC13" s="335">
        <f t="shared" si="8"/>
        <v>0</v>
      </c>
      <c r="AD13" s="335">
        <f t="shared" si="9"/>
        <v>0</v>
      </c>
      <c r="AE13" s="335">
        <f t="shared" si="10"/>
        <v>0</v>
      </c>
      <c r="AF13" s="335">
        <f t="shared" si="11"/>
        <v>0</v>
      </c>
      <c r="AG13" s="335">
        <f t="shared" si="12"/>
        <v>0</v>
      </c>
      <c r="AH13" s="334">
        <f t="shared" si="14"/>
        <v>0</v>
      </c>
      <c r="AI13" s="334"/>
      <c r="AJ13" s="334"/>
      <c r="AK13" s="336"/>
      <c r="AL13" s="4"/>
      <c r="AM13" s="4"/>
    </row>
    <row r="14" spans="1:39" s="2" customFormat="1">
      <c r="A14" s="147" t="s">
        <v>255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48">
        <f t="shared" si="15"/>
        <v>0</v>
      </c>
      <c r="R14" s="337"/>
      <c r="S14" s="337"/>
      <c r="T14" s="338">
        <f t="shared" si="13"/>
        <v>0</v>
      </c>
      <c r="U14" s="338">
        <f t="shared" si="0"/>
        <v>0</v>
      </c>
      <c r="V14" s="339">
        <f t="shared" si="1"/>
        <v>0</v>
      </c>
      <c r="W14" s="339">
        <f t="shared" si="2"/>
        <v>0</v>
      </c>
      <c r="X14" s="339">
        <f t="shared" si="3"/>
        <v>0</v>
      </c>
      <c r="Y14" s="339">
        <f t="shared" si="4"/>
        <v>0</v>
      </c>
      <c r="Z14" s="339">
        <f t="shared" si="5"/>
        <v>0</v>
      </c>
      <c r="AA14" s="339">
        <f t="shared" si="6"/>
        <v>0</v>
      </c>
      <c r="AB14" s="339">
        <f t="shared" si="7"/>
        <v>0</v>
      </c>
      <c r="AC14" s="339">
        <f t="shared" si="8"/>
        <v>0</v>
      </c>
      <c r="AD14" s="339">
        <f t="shared" si="9"/>
        <v>0</v>
      </c>
      <c r="AE14" s="339">
        <f t="shared" si="10"/>
        <v>0</v>
      </c>
      <c r="AF14" s="339">
        <f t="shared" si="11"/>
        <v>0</v>
      </c>
      <c r="AG14" s="339">
        <f t="shared" si="12"/>
        <v>0</v>
      </c>
      <c r="AH14" s="338">
        <f t="shared" si="14"/>
        <v>0</v>
      </c>
      <c r="AI14" s="338"/>
      <c r="AJ14" s="338"/>
      <c r="AK14" s="340"/>
      <c r="AL14" s="3"/>
      <c r="AM14" s="3"/>
    </row>
    <row r="15" spans="1:39">
      <c r="A15" s="149" t="s">
        <v>256</v>
      </c>
      <c r="B15" s="148">
        <f>ROUND(B50*1.25,0)</f>
        <v>0</v>
      </c>
      <c r="C15" s="148">
        <f t="shared" ref="C15:P15" si="16">ROUND(C50*1.25,0)</f>
        <v>0</v>
      </c>
      <c r="D15" s="148">
        <f t="shared" si="16"/>
        <v>0</v>
      </c>
      <c r="E15" s="148">
        <f t="shared" si="16"/>
        <v>1</v>
      </c>
      <c r="F15" s="148">
        <f t="shared" si="16"/>
        <v>0</v>
      </c>
      <c r="G15" s="148">
        <f t="shared" si="16"/>
        <v>1</v>
      </c>
      <c r="H15" s="148">
        <f t="shared" si="16"/>
        <v>0</v>
      </c>
      <c r="I15" s="148">
        <f t="shared" si="16"/>
        <v>0</v>
      </c>
      <c r="J15" s="148">
        <f t="shared" si="16"/>
        <v>6</v>
      </c>
      <c r="K15" s="148">
        <f t="shared" si="16"/>
        <v>0</v>
      </c>
      <c r="L15" s="148">
        <f t="shared" si="16"/>
        <v>0</v>
      </c>
      <c r="M15" s="148">
        <f t="shared" si="16"/>
        <v>0</v>
      </c>
      <c r="N15" s="148">
        <f t="shared" si="16"/>
        <v>1</v>
      </c>
      <c r="O15" s="148">
        <f t="shared" si="16"/>
        <v>0</v>
      </c>
      <c r="P15" s="148">
        <f t="shared" si="16"/>
        <v>0</v>
      </c>
      <c r="Q15" s="148">
        <f t="shared" si="15"/>
        <v>9</v>
      </c>
      <c r="R15" s="333" t="e">
        <f>'PPTO REDES ACUEDUCTO'!#REF!</f>
        <v>#REF!</v>
      </c>
      <c r="S15" s="333" t="e">
        <f>'PPTO REDES ACUEDUCTO'!#REF!</f>
        <v>#REF!</v>
      </c>
      <c r="T15" s="334">
        <f t="shared" si="13"/>
        <v>0</v>
      </c>
      <c r="U15" s="334">
        <f t="shared" si="0"/>
        <v>0</v>
      </c>
      <c r="V15" s="335">
        <f t="shared" si="1"/>
        <v>0</v>
      </c>
      <c r="W15" s="335">
        <f t="shared" si="2"/>
        <v>1</v>
      </c>
      <c r="X15" s="335">
        <f t="shared" si="3"/>
        <v>0</v>
      </c>
      <c r="Y15" s="335">
        <f t="shared" si="4"/>
        <v>1</v>
      </c>
      <c r="Z15" s="335">
        <f t="shared" si="5"/>
        <v>0</v>
      </c>
      <c r="AA15" s="335">
        <f t="shared" si="6"/>
        <v>0</v>
      </c>
      <c r="AB15" s="335">
        <f t="shared" si="7"/>
        <v>6</v>
      </c>
      <c r="AC15" s="335">
        <f t="shared" si="8"/>
        <v>0</v>
      </c>
      <c r="AD15" s="335">
        <f t="shared" si="9"/>
        <v>0</v>
      </c>
      <c r="AE15" s="335">
        <f t="shared" si="10"/>
        <v>0</v>
      </c>
      <c r="AF15" s="335">
        <f t="shared" si="11"/>
        <v>1</v>
      </c>
      <c r="AG15" s="335">
        <f t="shared" si="12"/>
        <v>0</v>
      </c>
      <c r="AH15" s="334">
        <f t="shared" si="14"/>
        <v>0</v>
      </c>
      <c r="AI15" s="341">
        <f t="shared" ref="AI15:AK15" si="17">ROUND(AI50*1.25,0)</f>
        <v>6</v>
      </c>
      <c r="AJ15" s="341">
        <f t="shared" si="17"/>
        <v>0</v>
      </c>
      <c r="AK15" s="341">
        <f t="shared" si="17"/>
        <v>0</v>
      </c>
      <c r="AL15" s="4"/>
      <c r="AM15" s="4"/>
    </row>
    <row r="16" spans="1:39">
      <c r="A16" s="149" t="s">
        <v>257</v>
      </c>
      <c r="B16" s="148">
        <f t="shared" ref="B16:P16" si="18">ROUND(B51*1.25,0)</f>
        <v>0</v>
      </c>
      <c r="C16" s="148">
        <f t="shared" si="18"/>
        <v>0</v>
      </c>
      <c r="D16" s="148">
        <f t="shared" si="18"/>
        <v>0</v>
      </c>
      <c r="E16" s="148">
        <f t="shared" si="18"/>
        <v>0</v>
      </c>
      <c r="F16" s="148">
        <f t="shared" si="18"/>
        <v>0</v>
      </c>
      <c r="G16" s="148">
        <f t="shared" si="18"/>
        <v>1</v>
      </c>
      <c r="H16" s="148">
        <f t="shared" si="18"/>
        <v>0</v>
      </c>
      <c r="I16" s="148">
        <f t="shared" si="18"/>
        <v>0</v>
      </c>
      <c r="J16" s="148">
        <f t="shared" si="18"/>
        <v>0</v>
      </c>
      <c r="K16" s="148">
        <f t="shared" si="18"/>
        <v>0</v>
      </c>
      <c r="L16" s="148">
        <f t="shared" si="18"/>
        <v>1</v>
      </c>
      <c r="M16" s="148">
        <f t="shared" si="18"/>
        <v>0</v>
      </c>
      <c r="N16" s="148">
        <f t="shared" si="18"/>
        <v>4</v>
      </c>
      <c r="O16" s="148">
        <f t="shared" si="18"/>
        <v>0</v>
      </c>
      <c r="P16" s="148">
        <f t="shared" si="18"/>
        <v>0</v>
      </c>
      <c r="Q16" s="148">
        <f t="shared" si="15"/>
        <v>6</v>
      </c>
      <c r="R16" s="333" t="e">
        <f>'PPTO REDES ACUEDUCTO'!#REF!</f>
        <v>#REF!</v>
      </c>
      <c r="S16" s="333" t="e">
        <f>'PPTO REDES ACUEDUCTO'!#REF!</f>
        <v>#REF!</v>
      </c>
      <c r="T16" s="334">
        <f t="shared" si="13"/>
        <v>0</v>
      </c>
      <c r="U16" s="334">
        <f t="shared" si="0"/>
        <v>0</v>
      </c>
      <c r="V16" s="335">
        <f t="shared" si="1"/>
        <v>0</v>
      </c>
      <c r="W16" s="335">
        <f t="shared" si="2"/>
        <v>0</v>
      </c>
      <c r="X16" s="335">
        <f t="shared" si="3"/>
        <v>0</v>
      </c>
      <c r="Y16" s="335">
        <f t="shared" si="4"/>
        <v>1</v>
      </c>
      <c r="Z16" s="335">
        <f t="shared" si="5"/>
        <v>0</v>
      </c>
      <c r="AA16" s="335">
        <f t="shared" si="6"/>
        <v>0</v>
      </c>
      <c r="AB16" s="335">
        <f t="shared" si="7"/>
        <v>0</v>
      </c>
      <c r="AC16" s="335">
        <f t="shared" si="8"/>
        <v>0</v>
      </c>
      <c r="AD16" s="335">
        <f t="shared" si="9"/>
        <v>1</v>
      </c>
      <c r="AE16" s="335">
        <f t="shared" si="10"/>
        <v>0</v>
      </c>
      <c r="AF16" s="335">
        <f t="shared" si="11"/>
        <v>4</v>
      </c>
      <c r="AG16" s="335">
        <f t="shared" si="12"/>
        <v>0</v>
      </c>
      <c r="AH16" s="334">
        <f t="shared" si="14"/>
        <v>0</v>
      </c>
      <c r="AI16" s="341">
        <f t="shared" ref="AI16:AK16" si="19">ROUND(AI51*1.25,0)</f>
        <v>0</v>
      </c>
      <c r="AJ16" s="341">
        <f t="shared" si="19"/>
        <v>3</v>
      </c>
      <c r="AK16" s="341">
        <f t="shared" si="19"/>
        <v>0</v>
      </c>
      <c r="AL16" s="4"/>
      <c r="AM16" s="4"/>
    </row>
    <row r="17" spans="1:39">
      <c r="A17" s="149" t="s">
        <v>258</v>
      </c>
      <c r="B17" s="148">
        <f t="shared" ref="B17:P17" si="20">ROUND(B52*1.25,0)</f>
        <v>0</v>
      </c>
      <c r="C17" s="148">
        <f t="shared" si="20"/>
        <v>0</v>
      </c>
      <c r="D17" s="148">
        <f t="shared" si="20"/>
        <v>4</v>
      </c>
      <c r="E17" s="148">
        <f t="shared" si="20"/>
        <v>6</v>
      </c>
      <c r="F17" s="148">
        <f t="shared" si="20"/>
        <v>0</v>
      </c>
      <c r="G17" s="148">
        <f t="shared" si="20"/>
        <v>4</v>
      </c>
      <c r="H17" s="148">
        <f t="shared" si="20"/>
        <v>0</v>
      </c>
      <c r="I17" s="148">
        <f t="shared" si="20"/>
        <v>3</v>
      </c>
      <c r="J17" s="148">
        <f t="shared" si="20"/>
        <v>0</v>
      </c>
      <c r="K17" s="148">
        <f t="shared" si="20"/>
        <v>0</v>
      </c>
      <c r="L17" s="148">
        <f t="shared" si="20"/>
        <v>0</v>
      </c>
      <c r="M17" s="148">
        <f t="shared" si="20"/>
        <v>5</v>
      </c>
      <c r="N17" s="148">
        <f t="shared" si="20"/>
        <v>4</v>
      </c>
      <c r="O17" s="148">
        <f t="shared" si="20"/>
        <v>4</v>
      </c>
      <c r="P17" s="148">
        <f t="shared" si="20"/>
        <v>1</v>
      </c>
      <c r="Q17" s="148">
        <f t="shared" si="15"/>
        <v>31</v>
      </c>
      <c r="R17" s="333" t="e">
        <f>'PPTO REDES ACUEDUCTO'!#REF!</f>
        <v>#REF!</v>
      </c>
      <c r="S17" s="333" t="e">
        <f>'PPTO REDES ACUEDUCTO'!#REF!</f>
        <v>#REF!</v>
      </c>
      <c r="T17" s="334">
        <f t="shared" si="13"/>
        <v>0</v>
      </c>
      <c r="U17" s="334">
        <f t="shared" si="0"/>
        <v>0</v>
      </c>
      <c r="V17" s="335">
        <f t="shared" si="1"/>
        <v>4</v>
      </c>
      <c r="W17" s="335">
        <f t="shared" si="2"/>
        <v>6</v>
      </c>
      <c r="X17" s="335">
        <f t="shared" si="3"/>
        <v>0</v>
      </c>
      <c r="Y17" s="335">
        <f t="shared" si="4"/>
        <v>4</v>
      </c>
      <c r="Z17" s="335">
        <f t="shared" si="5"/>
        <v>0</v>
      </c>
      <c r="AA17" s="335">
        <f t="shared" si="6"/>
        <v>3</v>
      </c>
      <c r="AB17" s="335">
        <f t="shared" si="7"/>
        <v>0</v>
      </c>
      <c r="AC17" s="335">
        <f t="shared" si="8"/>
        <v>0</v>
      </c>
      <c r="AD17" s="335">
        <f t="shared" si="9"/>
        <v>0</v>
      </c>
      <c r="AE17" s="335">
        <f t="shared" si="10"/>
        <v>5</v>
      </c>
      <c r="AF17" s="335">
        <f t="shared" si="11"/>
        <v>4</v>
      </c>
      <c r="AG17" s="335">
        <f t="shared" si="12"/>
        <v>4</v>
      </c>
      <c r="AH17" s="334">
        <f t="shared" si="14"/>
        <v>1</v>
      </c>
      <c r="AI17" s="341">
        <f t="shared" ref="AI17:AK17" si="21">ROUND(AI52*1.25,0)</f>
        <v>1</v>
      </c>
      <c r="AJ17" s="341">
        <f t="shared" si="21"/>
        <v>4</v>
      </c>
      <c r="AK17" s="341">
        <f t="shared" si="21"/>
        <v>1</v>
      </c>
      <c r="AL17" s="4"/>
      <c r="AM17" s="4"/>
    </row>
    <row r="18" spans="1:39">
      <c r="A18" s="149" t="s">
        <v>259</v>
      </c>
      <c r="B18" s="148">
        <f t="shared" ref="B18:P18" si="22">ROUND(B53*1.25,0)</f>
        <v>0</v>
      </c>
      <c r="C18" s="148">
        <f t="shared" si="22"/>
        <v>0</v>
      </c>
      <c r="D18" s="148">
        <f t="shared" si="22"/>
        <v>4</v>
      </c>
      <c r="E18" s="148">
        <f t="shared" si="22"/>
        <v>4</v>
      </c>
      <c r="F18" s="148">
        <f t="shared" si="22"/>
        <v>0</v>
      </c>
      <c r="G18" s="148">
        <f t="shared" si="22"/>
        <v>1</v>
      </c>
      <c r="H18" s="148">
        <f t="shared" si="22"/>
        <v>0</v>
      </c>
      <c r="I18" s="148">
        <f t="shared" si="22"/>
        <v>0</v>
      </c>
      <c r="J18" s="148">
        <f t="shared" si="22"/>
        <v>0</v>
      </c>
      <c r="K18" s="148">
        <f t="shared" si="22"/>
        <v>0</v>
      </c>
      <c r="L18" s="148">
        <f t="shared" si="22"/>
        <v>0</v>
      </c>
      <c r="M18" s="148">
        <f t="shared" si="22"/>
        <v>0</v>
      </c>
      <c r="N18" s="148">
        <f t="shared" si="22"/>
        <v>4</v>
      </c>
      <c r="O18" s="148">
        <f t="shared" si="22"/>
        <v>8</v>
      </c>
      <c r="P18" s="148">
        <f t="shared" si="22"/>
        <v>0</v>
      </c>
      <c r="Q18" s="148">
        <f t="shared" si="15"/>
        <v>21</v>
      </c>
      <c r="R18" s="333" t="e">
        <f>'PPTO REDES ACUEDUCTO'!#REF!</f>
        <v>#REF!</v>
      </c>
      <c r="S18" s="333" t="e">
        <f>'PPTO REDES ACUEDUCTO'!#REF!</f>
        <v>#REF!</v>
      </c>
      <c r="T18" s="334">
        <f t="shared" si="13"/>
        <v>0</v>
      </c>
      <c r="U18" s="334">
        <f t="shared" si="0"/>
        <v>0</v>
      </c>
      <c r="V18" s="335">
        <f t="shared" si="1"/>
        <v>4</v>
      </c>
      <c r="W18" s="335">
        <f t="shared" si="2"/>
        <v>4</v>
      </c>
      <c r="X18" s="335">
        <f t="shared" si="3"/>
        <v>0</v>
      </c>
      <c r="Y18" s="335">
        <f t="shared" si="4"/>
        <v>1</v>
      </c>
      <c r="Z18" s="335">
        <f t="shared" si="5"/>
        <v>0</v>
      </c>
      <c r="AA18" s="335">
        <f t="shared" si="6"/>
        <v>0</v>
      </c>
      <c r="AB18" s="335">
        <f t="shared" si="7"/>
        <v>0</v>
      </c>
      <c r="AC18" s="335">
        <f t="shared" si="8"/>
        <v>0</v>
      </c>
      <c r="AD18" s="335">
        <f t="shared" si="9"/>
        <v>0</v>
      </c>
      <c r="AE18" s="335">
        <f t="shared" si="10"/>
        <v>0</v>
      </c>
      <c r="AF18" s="335">
        <f t="shared" si="11"/>
        <v>4</v>
      </c>
      <c r="AG18" s="335">
        <f t="shared" si="12"/>
        <v>8</v>
      </c>
      <c r="AH18" s="334">
        <f t="shared" si="14"/>
        <v>0</v>
      </c>
      <c r="AI18" s="341">
        <f t="shared" ref="AI18:AK18" si="23">ROUND(AI53*1.25,0)</f>
        <v>0</v>
      </c>
      <c r="AJ18" s="341">
        <f t="shared" si="23"/>
        <v>0</v>
      </c>
      <c r="AK18" s="341">
        <f t="shared" si="23"/>
        <v>1</v>
      </c>
      <c r="AL18" s="4"/>
      <c r="AM18" s="4"/>
    </row>
    <row r="19" spans="1:39">
      <c r="A19" s="149" t="s">
        <v>260</v>
      </c>
      <c r="B19" s="148">
        <f t="shared" ref="B19:P19" si="24">ROUND(B54*1.25,0)</f>
        <v>0</v>
      </c>
      <c r="C19" s="148">
        <f t="shared" si="24"/>
        <v>0</v>
      </c>
      <c r="D19" s="148">
        <f t="shared" si="24"/>
        <v>10</v>
      </c>
      <c r="E19" s="148">
        <f t="shared" si="24"/>
        <v>1</v>
      </c>
      <c r="F19" s="148">
        <f t="shared" si="24"/>
        <v>0</v>
      </c>
      <c r="G19" s="148">
        <f t="shared" si="24"/>
        <v>4</v>
      </c>
      <c r="H19" s="148">
        <f t="shared" si="24"/>
        <v>0</v>
      </c>
      <c r="I19" s="148">
        <f t="shared" si="24"/>
        <v>0</v>
      </c>
      <c r="J19" s="148">
        <f t="shared" si="24"/>
        <v>13</v>
      </c>
      <c r="K19" s="148">
        <f t="shared" si="24"/>
        <v>11</v>
      </c>
      <c r="L19" s="148">
        <f t="shared" si="24"/>
        <v>1</v>
      </c>
      <c r="M19" s="148">
        <f t="shared" si="24"/>
        <v>3</v>
      </c>
      <c r="N19" s="148">
        <f t="shared" si="24"/>
        <v>5</v>
      </c>
      <c r="O19" s="148">
        <f t="shared" si="24"/>
        <v>0</v>
      </c>
      <c r="P19" s="148">
        <f t="shared" si="24"/>
        <v>0</v>
      </c>
      <c r="Q19" s="148">
        <f t="shared" si="15"/>
        <v>48</v>
      </c>
      <c r="R19" s="333" t="e">
        <f>'PPTO REDES ACUEDUCTO'!#REF!</f>
        <v>#REF!</v>
      </c>
      <c r="S19" s="333" t="e">
        <f>'PPTO REDES ACUEDUCTO'!#REF!</f>
        <v>#REF!</v>
      </c>
      <c r="T19" s="334">
        <f t="shared" si="13"/>
        <v>0</v>
      </c>
      <c r="U19" s="334">
        <f t="shared" si="0"/>
        <v>0</v>
      </c>
      <c r="V19" s="335">
        <f t="shared" si="1"/>
        <v>10</v>
      </c>
      <c r="W19" s="335">
        <f t="shared" si="2"/>
        <v>1</v>
      </c>
      <c r="X19" s="335">
        <f t="shared" si="3"/>
        <v>0</v>
      </c>
      <c r="Y19" s="335">
        <f t="shared" si="4"/>
        <v>4</v>
      </c>
      <c r="Z19" s="335">
        <f t="shared" si="5"/>
        <v>0</v>
      </c>
      <c r="AA19" s="335">
        <f t="shared" si="6"/>
        <v>0</v>
      </c>
      <c r="AB19" s="335">
        <f t="shared" si="7"/>
        <v>13</v>
      </c>
      <c r="AC19" s="335">
        <f t="shared" si="8"/>
        <v>11</v>
      </c>
      <c r="AD19" s="335">
        <f t="shared" si="9"/>
        <v>1</v>
      </c>
      <c r="AE19" s="335">
        <f t="shared" si="10"/>
        <v>3</v>
      </c>
      <c r="AF19" s="335">
        <f t="shared" si="11"/>
        <v>5</v>
      </c>
      <c r="AG19" s="335">
        <f t="shared" si="12"/>
        <v>0</v>
      </c>
      <c r="AH19" s="334">
        <f t="shared" si="14"/>
        <v>0</v>
      </c>
      <c r="AI19" s="341">
        <f t="shared" ref="AI19:AK19" si="25">ROUND(AI54*1.25,0)</f>
        <v>0</v>
      </c>
      <c r="AJ19" s="341">
        <f t="shared" si="25"/>
        <v>0</v>
      </c>
      <c r="AK19" s="341">
        <f t="shared" si="25"/>
        <v>0</v>
      </c>
      <c r="AL19" s="4"/>
      <c r="AM19" s="4"/>
    </row>
    <row r="20" spans="1:39">
      <c r="A20" s="149" t="s">
        <v>261</v>
      </c>
      <c r="B20" s="148">
        <f t="shared" ref="B20:P20" si="26">ROUND(B55*1.25,0)</f>
        <v>0</v>
      </c>
      <c r="C20" s="148">
        <f t="shared" si="26"/>
        <v>5</v>
      </c>
      <c r="D20" s="148">
        <f t="shared" si="26"/>
        <v>18</v>
      </c>
      <c r="E20" s="148">
        <f t="shared" si="26"/>
        <v>10</v>
      </c>
      <c r="F20" s="148">
        <f t="shared" si="26"/>
        <v>1</v>
      </c>
      <c r="G20" s="148">
        <f t="shared" si="26"/>
        <v>8</v>
      </c>
      <c r="H20" s="148">
        <f t="shared" si="26"/>
        <v>0</v>
      </c>
      <c r="I20" s="148">
        <f t="shared" si="26"/>
        <v>0</v>
      </c>
      <c r="J20" s="148">
        <f t="shared" si="26"/>
        <v>5</v>
      </c>
      <c r="K20" s="148">
        <f t="shared" si="26"/>
        <v>8</v>
      </c>
      <c r="L20" s="148">
        <f t="shared" si="26"/>
        <v>1</v>
      </c>
      <c r="M20" s="148">
        <f t="shared" si="26"/>
        <v>6</v>
      </c>
      <c r="N20" s="148">
        <f t="shared" si="26"/>
        <v>5</v>
      </c>
      <c r="O20" s="148">
        <f t="shared" si="26"/>
        <v>0</v>
      </c>
      <c r="P20" s="148">
        <f t="shared" si="26"/>
        <v>8</v>
      </c>
      <c r="Q20" s="148">
        <f t="shared" si="15"/>
        <v>75</v>
      </c>
      <c r="R20" s="333" t="e">
        <f>'PPTO REDES ACUEDUCTO'!#REF!</f>
        <v>#REF!</v>
      </c>
      <c r="S20" s="333" t="e">
        <f>'PPTO REDES ACUEDUCTO'!#REF!</f>
        <v>#REF!</v>
      </c>
      <c r="T20" s="334">
        <f t="shared" si="13"/>
        <v>0</v>
      </c>
      <c r="U20" s="334">
        <f t="shared" si="0"/>
        <v>5</v>
      </c>
      <c r="V20" s="335">
        <f t="shared" si="1"/>
        <v>18</v>
      </c>
      <c r="W20" s="335">
        <f t="shared" si="2"/>
        <v>10</v>
      </c>
      <c r="X20" s="335">
        <f t="shared" si="3"/>
        <v>1</v>
      </c>
      <c r="Y20" s="335">
        <f t="shared" si="4"/>
        <v>8</v>
      </c>
      <c r="Z20" s="335">
        <f t="shared" si="5"/>
        <v>0</v>
      </c>
      <c r="AA20" s="335">
        <f t="shared" si="6"/>
        <v>0</v>
      </c>
      <c r="AB20" s="335">
        <f t="shared" si="7"/>
        <v>5</v>
      </c>
      <c r="AC20" s="335">
        <f t="shared" si="8"/>
        <v>8</v>
      </c>
      <c r="AD20" s="335">
        <f t="shared" si="9"/>
        <v>1</v>
      </c>
      <c r="AE20" s="335">
        <f t="shared" si="10"/>
        <v>6</v>
      </c>
      <c r="AF20" s="335">
        <f t="shared" si="11"/>
        <v>5</v>
      </c>
      <c r="AG20" s="335">
        <f t="shared" si="12"/>
        <v>0</v>
      </c>
      <c r="AH20" s="334">
        <f t="shared" si="14"/>
        <v>8</v>
      </c>
      <c r="AI20" s="341">
        <f t="shared" ref="AI20:AK20" si="27">ROUND(AI55*1.25,0)</f>
        <v>0</v>
      </c>
      <c r="AJ20" s="341">
        <f t="shared" si="27"/>
        <v>0</v>
      </c>
      <c r="AK20" s="341">
        <f t="shared" si="27"/>
        <v>5</v>
      </c>
      <c r="AL20" s="4"/>
      <c r="AM20" s="4"/>
    </row>
    <row r="21" spans="1:39">
      <c r="A21" s="149" t="s">
        <v>262</v>
      </c>
      <c r="B21" s="148">
        <f t="shared" ref="B21:P21" si="28">ROUND(B56*1.25,0)</f>
        <v>3</v>
      </c>
      <c r="C21" s="148">
        <f t="shared" si="28"/>
        <v>16</v>
      </c>
      <c r="D21" s="148">
        <f t="shared" si="28"/>
        <v>15</v>
      </c>
      <c r="E21" s="148">
        <f t="shared" si="28"/>
        <v>14</v>
      </c>
      <c r="F21" s="148">
        <f t="shared" si="28"/>
        <v>0</v>
      </c>
      <c r="G21" s="148">
        <f t="shared" si="28"/>
        <v>6</v>
      </c>
      <c r="H21" s="148">
        <f t="shared" si="28"/>
        <v>0</v>
      </c>
      <c r="I21" s="148">
        <f t="shared" si="28"/>
        <v>1</v>
      </c>
      <c r="J21" s="148">
        <f t="shared" si="28"/>
        <v>1</v>
      </c>
      <c r="K21" s="148">
        <f t="shared" si="28"/>
        <v>11</v>
      </c>
      <c r="L21" s="148">
        <f t="shared" si="28"/>
        <v>5</v>
      </c>
      <c r="M21" s="148">
        <f t="shared" si="28"/>
        <v>3</v>
      </c>
      <c r="N21" s="148">
        <f t="shared" si="28"/>
        <v>6</v>
      </c>
      <c r="O21" s="148">
        <f t="shared" si="28"/>
        <v>1</v>
      </c>
      <c r="P21" s="148">
        <f t="shared" si="28"/>
        <v>0</v>
      </c>
      <c r="Q21" s="148">
        <f t="shared" si="15"/>
        <v>82</v>
      </c>
      <c r="R21" s="333" t="e">
        <f>'PPTO REDES ACUEDUCTO'!#REF!</f>
        <v>#REF!</v>
      </c>
      <c r="S21" s="333" t="e">
        <f>'PPTO REDES ACUEDUCTO'!#REF!</f>
        <v>#REF!</v>
      </c>
      <c r="T21" s="334">
        <f t="shared" si="13"/>
        <v>3</v>
      </c>
      <c r="U21" s="334">
        <f t="shared" si="0"/>
        <v>16</v>
      </c>
      <c r="V21" s="335">
        <f t="shared" si="1"/>
        <v>15</v>
      </c>
      <c r="W21" s="335">
        <f t="shared" si="2"/>
        <v>14</v>
      </c>
      <c r="X21" s="335">
        <f t="shared" si="3"/>
        <v>0</v>
      </c>
      <c r="Y21" s="335">
        <f t="shared" si="4"/>
        <v>6</v>
      </c>
      <c r="Z21" s="335">
        <f t="shared" si="5"/>
        <v>0</v>
      </c>
      <c r="AA21" s="335">
        <f t="shared" si="6"/>
        <v>1</v>
      </c>
      <c r="AB21" s="335">
        <f t="shared" si="7"/>
        <v>1</v>
      </c>
      <c r="AC21" s="335">
        <f t="shared" si="8"/>
        <v>11</v>
      </c>
      <c r="AD21" s="335">
        <f t="shared" si="9"/>
        <v>5</v>
      </c>
      <c r="AE21" s="335">
        <f t="shared" si="10"/>
        <v>3</v>
      </c>
      <c r="AF21" s="335">
        <f t="shared" si="11"/>
        <v>6</v>
      </c>
      <c r="AG21" s="335">
        <f t="shared" si="12"/>
        <v>1</v>
      </c>
      <c r="AH21" s="334">
        <f t="shared" si="14"/>
        <v>0</v>
      </c>
      <c r="AI21" s="341">
        <f t="shared" ref="AI21:AK21" si="29">ROUND(AI56*1.25,0)</f>
        <v>5</v>
      </c>
      <c r="AJ21" s="341">
        <f t="shared" si="29"/>
        <v>1</v>
      </c>
      <c r="AK21" s="341">
        <f t="shared" si="29"/>
        <v>11</v>
      </c>
      <c r="AL21" s="4"/>
      <c r="AM21" s="4"/>
    </row>
    <row r="22" spans="1:39">
      <c r="A22" s="149" t="s">
        <v>263</v>
      </c>
      <c r="B22" s="148">
        <f t="shared" ref="B22:P22" si="30">ROUND(B57*1.25,0)</f>
        <v>0</v>
      </c>
      <c r="C22" s="148">
        <f t="shared" si="30"/>
        <v>1</v>
      </c>
      <c r="D22" s="148">
        <f t="shared" si="30"/>
        <v>1</v>
      </c>
      <c r="E22" s="148">
        <f t="shared" si="30"/>
        <v>8</v>
      </c>
      <c r="F22" s="148">
        <f t="shared" si="30"/>
        <v>0</v>
      </c>
      <c r="G22" s="148">
        <f t="shared" si="30"/>
        <v>1</v>
      </c>
      <c r="H22" s="148">
        <f t="shared" si="30"/>
        <v>0</v>
      </c>
      <c r="I22" s="148">
        <f t="shared" si="30"/>
        <v>0</v>
      </c>
      <c r="J22" s="148">
        <f t="shared" si="30"/>
        <v>1</v>
      </c>
      <c r="K22" s="148">
        <f t="shared" si="30"/>
        <v>1</v>
      </c>
      <c r="L22" s="148">
        <f t="shared" si="30"/>
        <v>3</v>
      </c>
      <c r="M22" s="148">
        <f t="shared" si="30"/>
        <v>5</v>
      </c>
      <c r="N22" s="148">
        <f t="shared" si="30"/>
        <v>13</v>
      </c>
      <c r="O22" s="148">
        <f t="shared" si="30"/>
        <v>0</v>
      </c>
      <c r="P22" s="148">
        <f t="shared" si="30"/>
        <v>0</v>
      </c>
      <c r="Q22" s="148">
        <f t="shared" si="15"/>
        <v>34</v>
      </c>
      <c r="R22" s="333" t="e">
        <f>'PPTO REDES ACUEDUCTO'!#REF!</f>
        <v>#REF!</v>
      </c>
      <c r="S22" s="333" t="e">
        <f>'PPTO REDES ACUEDUCTO'!#REF!</f>
        <v>#REF!</v>
      </c>
      <c r="T22" s="334">
        <f t="shared" si="13"/>
        <v>0</v>
      </c>
      <c r="U22" s="334">
        <f t="shared" si="0"/>
        <v>1</v>
      </c>
      <c r="V22" s="335">
        <f t="shared" si="1"/>
        <v>1</v>
      </c>
      <c r="W22" s="335">
        <f t="shared" si="2"/>
        <v>8</v>
      </c>
      <c r="X22" s="335">
        <f t="shared" si="3"/>
        <v>0</v>
      </c>
      <c r="Y22" s="335">
        <f t="shared" si="4"/>
        <v>1</v>
      </c>
      <c r="Z22" s="335">
        <f t="shared" si="5"/>
        <v>0</v>
      </c>
      <c r="AA22" s="335">
        <f t="shared" si="6"/>
        <v>0</v>
      </c>
      <c r="AB22" s="335">
        <f t="shared" si="7"/>
        <v>1</v>
      </c>
      <c r="AC22" s="335">
        <f t="shared" si="8"/>
        <v>1</v>
      </c>
      <c r="AD22" s="335">
        <f t="shared" si="9"/>
        <v>3</v>
      </c>
      <c r="AE22" s="335">
        <f t="shared" si="10"/>
        <v>5</v>
      </c>
      <c r="AF22" s="335">
        <f t="shared" si="11"/>
        <v>13</v>
      </c>
      <c r="AG22" s="335">
        <f t="shared" si="12"/>
        <v>0</v>
      </c>
      <c r="AH22" s="334">
        <f t="shared" si="14"/>
        <v>0</v>
      </c>
      <c r="AI22" s="341">
        <f t="shared" ref="AI22:AK22" si="31">ROUND(AI57*1.25,0)</f>
        <v>5</v>
      </c>
      <c r="AJ22" s="341">
        <f t="shared" si="31"/>
        <v>1</v>
      </c>
      <c r="AK22" s="341">
        <f t="shared" si="31"/>
        <v>4</v>
      </c>
      <c r="AL22" s="4"/>
      <c r="AM22" s="4"/>
    </row>
    <row r="23" spans="1:39">
      <c r="A23" s="149" t="s">
        <v>264</v>
      </c>
      <c r="B23" s="148">
        <f t="shared" ref="B23:P23" si="32">ROUND(B58*1.25,0)</f>
        <v>0</v>
      </c>
      <c r="C23" s="148">
        <f t="shared" si="32"/>
        <v>0</v>
      </c>
      <c r="D23" s="148">
        <f t="shared" si="32"/>
        <v>3</v>
      </c>
      <c r="E23" s="148">
        <f t="shared" si="32"/>
        <v>0</v>
      </c>
      <c r="F23" s="148">
        <f t="shared" si="32"/>
        <v>0</v>
      </c>
      <c r="G23" s="148">
        <f t="shared" si="32"/>
        <v>4</v>
      </c>
      <c r="H23" s="148">
        <f t="shared" si="32"/>
        <v>0</v>
      </c>
      <c r="I23" s="148">
        <f t="shared" si="32"/>
        <v>8</v>
      </c>
      <c r="J23" s="148">
        <f t="shared" si="32"/>
        <v>5</v>
      </c>
      <c r="K23" s="148">
        <f t="shared" si="32"/>
        <v>5</v>
      </c>
      <c r="L23" s="148">
        <f t="shared" si="32"/>
        <v>4</v>
      </c>
      <c r="M23" s="148">
        <f t="shared" si="32"/>
        <v>3</v>
      </c>
      <c r="N23" s="148">
        <f t="shared" si="32"/>
        <v>5</v>
      </c>
      <c r="O23" s="148">
        <f t="shared" si="32"/>
        <v>6</v>
      </c>
      <c r="P23" s="148">
        <f t="shared" si="32"/>
        <v>9</v>
      </c>
      <c r="Q23" s="148">
        <f t="shared" si="15"/>
        <v>52</v>
      </c>
      <c r="R23" s="333" t="e">
        <f>'PPTO REDES ACUEDUCTO'!#REF!</f>
        <v>#REF!</v>
      </c>
      <c r="S23" s="333" t="e">
        <f>'PPTO REDES ACUEDUCTO'!#REF!</f>
        <v>#REF!</v>
      </c>
      <c r="T23" s="334">
        <f t="shared" si="13"/>
        <v>0</v>
      </c>
      <c r="U23" s="334">
        <f t="shared" si="0"/>
        <v>0</v>
      </c>
      <c r="V23" s="335">
        <f t="shared" si="1"/>
        <v>3</v>
      </c>
      <c r="W23" s="335">
        <f t="shared" si="2"/>
        <v>0</v>
      </c>
      <c r="X23" s="335">
        <f t="shared" si="3"/>
        <v>0</v>
      </c>
      <c r="Y23" s="335">
        <f t="shared" si="4"/>
        <v>4</v>
      </c>
      <c r="Z23" s="335">
        <f t="shared" si="5"/>
        <v>0</v>
      </c>
      <c r="AA23" s="335">
        <f t="shared" si="6"/>
        <v>8</v>
      </c>
      <c r="AB23" s="335">
        <f t="shared" si="7"/>
        <v>5</v>
      </c>
      <c r="AC23" s="335">
        <f t="shared" si="8"/>
        <v>5</v>
      </c>
      <c r="AD23" s="335">
        <f t="shared" si="9"/>
        <v>4</v>
      </c>
      <c r="AE23" s="335">
        <f t="shared" si="10"/>
        <v>3</v>
      </c>
      <c r="AF23" s="335">
        <f t="shared" si="11"/>
        <v>5</v>
      </c>
      <c r="AG23" s="335">
        <f t="shared" si="12"/>
        <v>6</v>
      </c>
      <c r="AH23" s="334">
        <f t="shared" si="14"/>
        <v>9</v>
      </c>
      <c r="AI23" s="341">
        <f t="shared" ref="AI23:AK23" si="33">ROUND(AI58*1.25,0)</f>
        <v>9</v>
      </c>
      <c r="AJ23" s="341">
        <f t="shared" si="33"/>
        <v>9</v>
      </c>
      <c r="AK23" s="341">
        <f t="shared" si="33"/>
        <v>10</v>
      </c>
      <c r="AL23" s="4"/>
      <c r="AM23" s="4"/>
    </row>
    <row r="24" spans="1:39">
      <c r="A24" s="149" t="s">
        <v>265</v>
      </c>
      <c r="B24" s="148">
        <f t="shared" ref="B24:P24" si="34">ROUND(B59*1.25,0)</f>
        <v>0</v>
      </c>
      <c r="C24" s="148">
        <f t="shared" si="34"/>
        <v>0</v>
      </c>
      <c r="D24" s="148">
        <f t="shared" si="34"/>
        <v>1</v>
      </c>
      <c r="E24" s="148">
        <f t="shared" si="34"/>
        <v>5</v>
      </c>
      <c r="F24" s="148">
        <f t="shared" si="34"/>
        <v>0</v>
      </c>
      <c r="G24" s="148">
        <f t="shared" si="34"/>
        <v>13</v>
      </c>
      <c r="H24" s="148">
        <f t="shared" si="34"/>
        <v>0</v>
      </c>
      <c r="I24" s="148">
        <f t="shared" si="34"/>
        <v>0</v>
      </c>
      <c r="J24" s="148">
        <f t="shared" si="34"/>
        <v>9</v>
      </c>
      <c r="K24" s="148">
        <f t="shared" si="34"/>
        <v>9</v>
      </c>
      <c r="L24" s="148">
        <f t="shared" si="34"/>
        <v>1</v>
      </c>
      <c r="M24" s="148">
        <f t="shared" si="34"/>
        <v>3</v>
      </c>
      <c r="N24" s="148">
        <f t="shared" si="34"/>
        <v>5</v>
      </c>
      <c r="O24" s="148">
        <f t="shared" si="34"/>
        <v>3</v>
      </c>
      <c r="P24" s="148">
        <f t="shared" si="34"/>
        <v>6</v>
      </c>
      <c r="Q24" s="148">
        <f t="shared" si="15"/>
        <v>55</v>
      </c>
      <c r="R24" s="333" t="e">
        <f>'PPTO REDES ACUEDUCTO'!#REF!</f>
        <v>#REF!</v>
      </c>
      <c r="S24" s="333" t="e">
        <f>'PPTO REDES ACUEDUCTO'!#REF!</f>
        <v>#REF!</v>
      </c>
      <c r="T24" s="334">
        <f t="shared" si="13"/>
        <v>0</v>
      </c>
      <c r="U24" s="334">
        <f t="shared" si="0"/>
        <v>0</v>
      </c>
      <c r="V24" s="335">
        <f t="shared" si="1"/>
        <v>1</v>
      </c>
      <c r="W24" s="335">
        <f t="shared" si="2"/>
        <v>5</v>
      </c>
      <c r="X24" s="335">
        <f t="shared" si="3"/>
        <v>0</v>
      </c>
      <c r="Y24" s="335">
        <f t="shared" si="4"/>
        <v>13</v>
      </c>
      <c r="Z24" s="335">
        <f t="shared" si="5"/>
        <v>0</v>
      </c>
      <c r="AA24" s="335">
        <f t="shared" si="6"/>
        <v>0</v>
      </c>
      <c r="AB24" s="335">
        <f t="shared" si="7"/>
        <v>9</v>
      </c>
      <c r="AC24" s="335">
        <f t="shared" si="8"/>
        <v>9</v>
      </c>
      <c r="AD24" s="335">
        <f t="shared" si="9"/>
        <v>1</v>
      </c>
      <c r="AE24" s="335">
        <f t="shared" si="10"/>
        <v>3</v>
      </c>
      <c r="AF24" s="335">
        <f t="shared" si="11"/>
        <v>5</v>
      </c>
      <c r="AG24" s="335">
        <f t="shared" si="12"/>
        <v>3</v>
      </c>
      <c r="AH24" s="334">
        <f t="shared" si="14"/>
        <v>6</v>
      </c>
      <c r="AI24" s="341">
        <f t="shared" ref="AI24:AK24" si="35">ROUND(AI59*1.25,0)</f>
        <v>0</v>
      </c>
      <c r="AJ24" s="341">
        <f t="shared" si="35"/>
        <v>3</v>
      </c>
      <c r="AK24" s="341">
        <f t="shared" si="35"/>
        <v>6</v>
      </c>
      <c r="AL24" s="4"/>
      <c r="AM24" s="4"/>
    </row>
    <row r="25" spans="1:39">
      <c r="A25" s="149" t="s">
        <v>266</v>
      </c>
      <c r="B25" s="148">
        <f t="shared" ref="B25:P25" si="36">ROUND(B60*1.25,0)</f>
        <v>4</v>
      </c>
      <c r="C25" s="148">
        <f t="shared" si="36"/>
        <v>1</v>
      </c>
      <c r="D25" s="148">
        <f t="shared" si="36"/>
        <v>3</v>
      </c>
      <c r="E25" s="148">
        <f t="shared" si="36"/>
        <v>0</v>
      </c>
      <c r="F25" s="148">
        <f t="shared" si="36"/>
        <v>0</v>
      </c>
      <c r="G25" s="148">
        <f t="shared" si="36"/>
        <v>5</v>
      </c>
      <c r="H25" s="270">
        <f t="shared" si="36"/>
        <v>0</v>
      </c>
      <c r="I25" s="148">
        <f t="shared" si="36"/>
        <v>0</v>
      </c>
      <c r="J25" s="148">
        <f t="shared" si="36"/>
        <v>5</v>
      </c>
      <c r="K25" s="148">
        <f t="shared" si="36"/>
        <v>4</v>
      </c>
      <c r="L25" s="148">
        <f t="shared" si="36"/>
        <v>5</v>
      </c>
      <c r="M25" s="148">
        <f t="shared" si="36"/>
        <v>11</v>
      </c>
      <c r="N25" s="148">
        <f t="shared" si="36"/>
        <v>5</v>
      </c>
      <c r="O25" s="148">
        <f t="shared" si="36"/>
        <v>3</v>
      </c>
      <c r="P25" s="148">
        <f t="shared" si="36"/>
        <v>10</v>
      </c>
      <c r="Q25" s="148">
        <f t="shared" si="15"/>
        <v>56</v>
      </c>
      <c r="R25" s="333" t="e">
        <f>'PPTO REDES ACUEDUCTO'!#REF!</f>
        <v>#REF!</v>
      </c>
      <c r="S25" s="333" t="e">
        <f>'PPTO REDES ACUEDUCTO'!#REF!</f>
        <v>#REF!</v>
      </c>
      <c r="T25" s="334">
        <f t="shared" si="13"/>
        <v>4</v>
      </c>
      <c r="U25" s="334">
        <f t="shared" si="0"/>
        <v>1</v>
      </c>
      <c r="V25" s="335">
        <f t="shared" si="1"/>
        <v>3</v>
      </c>
      <c r="W25" s="335">
        <f t="shared" si="2"/>
        <v>0</v>
      </c>
      <c r="X25" s="335">
        <f t="shared" si="3"/>
        <v>0</v>
      </c>
      <c r="Y25" s="335">
        <f t="shared" si="4"/>
        <v>5</v>
      </c>
      <c r="Z25" s="335">
        <f t="shared" si="5"/>
        <v>0</v>
      </c>
      <c r="AA25" s="335">
        <f t="shared" si="6"/>
        <v>0</v>
      </c>
      <c r="AB25" s="335">
        <f t="shared" si="7"/>
        <v>5</v>
      </c>
      <c r="AC25" s="335">
        <f t="shared" si="8"/>
        <v>4</v>
      </c>
      <c r="AD25" s="335">
        <f t="shared" si="9"/>
        <v>5</v>
      </c>
      <c r="AE25" s="335">
        <f t="shared" si="10"/>
        <v>11</v>
      </c>
      <c r="AF25" s="335">
        <f t="shared" si="11"/>
        <v>5</v>
      </c>
      <c r="AG25" s="335">
        <f t="shared" si="12"/>
        <v>3</v>
      </c>
      <c r="AH25" s="334">
        <f t="shared" si="14"/>
        <v>10</v>
      </c>
      <c r="AI25" s="341">
        <f t="shared" ref="AI25:AK25" si="37">ROUND(AI60*1.25,0)</f>
        <v>5</v>
      </c>
      <c r="AJ25" s="341">
        <f t="shared" si="37"/>
        <v>9</v>
      </c>
      <c r="AK25" s="341">
        <f t="shared" si="37"/>
        <v>21</v>
      </c>
      <c r="AL25" s="4"/>
      <c r="AM25" s="4"/>
    </row>
    <row r="26" spans="1:39">
      <c r="A26" s="149" t="s">
        <v>267</v>
      </c>
      <c r="B26" s="148">
        <f t="shared" ref="B26:P26" si="38">ROUND(B61*1.25,0)</f>
        <v>1</v>
      </c>
      <c r="C26" s="148">
        <f t="shared" si="38"/>
        <v>6</v>
      </c>
      <c r="D26" s="148">
        <f t="shared" si="38"/>
        <v>1</v>
      </c>
      <c r="E26" s="148">
        <f t="shared" si="38"/>
        <v>1</v>
      </c>
      <c r="F26" s="148">
        <f t="shared" si="38"/>
        <v>0</v>
      </c>
      <c r="G26" s="148">
        <f t="shared" si="38"/>
        <v>0</v>
      </c>
      <c r="H26" s="270">
        <f t="shared" si="38"/>
        <v>0</v>
      </c>
      <c r="I26" s="148">
        <f t="shared" si="38"/>
        <v>0</v>
      </c>
      <c r="J26" s="148">
        <f t="shared" si="38"/>
        <v>3</v>
      </c>
      <c r="K26" s="148">
        <f t="shared" si="38"/>
        <v>0</v>
      </c>
      <c r="L26" s="148">
        <f t="shared" si="38"/>
        <v>0</v>
      </c>
      <c r="M26" s="148">
        <f t="shared" si="38"/>
        <v>3</v>
      </c>
      <c r="N26" s="148">
        <f t="shared" si="38"/>
        <v>4</v>
      </c>
      <c r="O26" s="148">
        <f t="shared" si="38"/>
        <v>3</v>
      </c>
      <c r="P26" s="148">
        <f t="shared" si="38"/>
        <v>1</v>
      </c>
      <c r="Q26" s="148">
        <f t="shared" si="15"/>
        <v>23</v>
      </c>
      <c r="R26" s="333" t="e">
        <f>'PPTO REDES ACUEDUCTO'!#REF!</f>
        <v>#REF!</v>
      </c>
      <c r="S26" s="333" t="e">
        <f>'PPTO REDES ACUEDUCTO'!#REF!</f>
        <v>#REF!</v>
      </c>
      <c r="T26" s="334">
        <f t="shared" si="13"/>
        <v>1</v>
      </c>
      <c r="U26" s="334">
        <f t="shared" si="0"/>
        <v>6</v>
      </c>
      <c r="V26" s="335">
        <f t="shared" si="1"/>
        <v>1</v>
      </c>
      <c r="W26" s="335">
        <f t="shared" si="2"/>
        <v>1</v>
      </c>
      <c r="X26" s="335">
        <f t="shared" si="3"/>
        <v>0</v>
      </c>
      <c r="Y26" s="335">
        <f t="shared" si="4"/>
        <v>0</v>
      </c>
      <c r="Z26" s="335">
        <f t="shared" si="5"/>
        <v>0</v>
      </c>
      <c r="AA26" s="335">
        <f t="shared" si="6"/>
        <v>0</v>
      </c>
      <c r="AB26" s="335">
        <f t="shared" si="7"/>
        <v>3</v>
      </c>
      <c r="AC26" s="335">
        <f t="shared" si="8"/>
        <v>0</v>
      </c>
      <c r="AD26" s="335">
        <f t="shared" si="9"/>
        <v>0</v>
      </c>
      <c r="AE26" s="335">
        <f t="shared" si="10"/>
        <v>3</v>
      </c>
      <c r="AF26" s="335">
        <f t="shared" si="11"/>
        <v>4</v>
      </c>
      <c r="AG26" s="335">
        <f t="shared" si="12"/>
        <v>3</v>
      </c>
      <c r="AH26" s="334">
        <f t="shared" si="14"/>
        <v>1</v>
      </c>
      <c r="AI26" s="341">
        <f t="shared" ref="AI26:AK26" si="39">ROUND(AI61*1.25,0)</f>
        <v>13</v>
      </c>
      <c r="AJ26" s="341">
        <f t="shared" si="39"/>
        <v>11</v>
      </c>
      <c r="AK26" s="341">
        <f t="shared" si="39"/>
        <v>11</v>
      </c>
      <c r="AL26" s="4"/>
      <c r="AM26" s="4"/>
    </row>
    <row r="27" spans="1:39">
      <c r="A27" s="149" t="s">
        <v>268</v>
      </c>
      <c r="B27" s="148">
        <f t="shared" ref="B27:P27" si="40">ROUND(B62*1.25,0)</f>
        <v>0</v>
      </c>
      <c r="C27" s="148">
        <f t="shared" si="40"/>
        <v>0</v>
      </c>
      <c r="D27" s="148">
        <f t="shared" si="40"/>
        <v>8</v>
      </c>
      <c r="E27" s="148">
        <f t="shared" si="40"/>
        <v>13</v>
      </c>
      <c r="F27" s="148">
        <f t="shared" si="40"/>
        <v>0</v>
      </c>
      <c r="G27" s="148">
        <f t="shared" si="40"/>
        <v>11</v>
      </c>
      <c r="H27" s="270">
        <f t="shared" si="40"/>
        <v>0</v>
      </c>
      <c r="I27" s="148">
        <f t="shared" si="40"/>
        <v>0</v>
      </c>
      <c r="J27" s="148">
        <f t="shared" si="40"/>
        <v>0</v>
      </c>
      <c r="K27" s="148">
        <f t="shared" si="40"/>
        <v>0</v>
      </c>
      <c r="L27" s="148">
        <f t="shared" si="40"/>
        <v>0</v>
      </c>
      <c r="M27" s="148">
        <f t="shared" si="40"/>
        <v>0</v>
      </c>
      <c r="N27" s="148">
        <f t="shared" si="40"/>
        <v>0</v>
      </c>
      <c r="O27" s="148">
        <f t="shared" si="40"/>
        <v>0</v>
      </c>
      <c r="P27" s="148">
        <f t="shared" si="40"/>
        <v>0</v>
      </c>
      <c r="Q27" s="148">
        <f t="shared" si="15"/>
        <v>32</v>
      </c>
      <c r="R27" s="333" t="e">
        <f>'PPTO REDES ACUEDUCTO'!#REF!</f>
        <v>#REF!</v>
      </c>
      <c r="S27" s="333" t="e">
        <f>'PPTO REDES ACUEDUCTO'!#REF!</f>
        <v>#REF!</v>
      </c>
      <c r="T27" s="334">
        <f t="shared" si="13"/>
        <v>0</v>
      </c>
      <c r="U27" s="334">
        <f t="shared" si="0"/>
        <v>0</v>
      </c>
      <c r="V27" s="335">
        <f t="shared" si="1"/>
        <v>8</v>
      </c>
      <c r="W27" s="335">
        <f t="shared" si="2"/>
        <v>13</v>
      </c>
      <c r="X27" s="335">
        <f t="shared" si="3"/>
        <v>0</v>
      </c>
      <c r="Y27" s="335">
        <f t="shared" si="4"/>
        <v>11</v>
      </c>
      <c r="Z27" s="335">
        <f t="shared" si="5"/>
        <v>0</v>
      </c>
      <c r="AA27" s="335">
        <f t="shared" si="6"/>
        <v>0</v>
      </c>
      <c r="AB27" s="335">
        <f t="shared" si="7"/>
        <v>0</v>
      </c>
      <c r="AC27" s="335">
        <f t="shared" si="8"/>
        <v>0</v>
      </c>
      <c r="AD27" s="335">
        <f t="shared" si="9"/>
        <v>0</v>
      </c>
      <c r="AE27" s="335">
        <f t="shared" si="10"/>
        <v>0</v>
      </c>
      <c r="AF27" s="335">
        <f t="shared" si="11"/>
        <v>0</v>
      </c>
      <c r="AG27" s="335">
        <f t="shared" si="12"/>
        <v>0</v>
      </c>
      <c r="AH27" s="334">
        <f t="shared" si="14"/>
        <v>0</v>
      </c>
      <c r="AI27" s="341">
        <f t="shared" ref="AI27:AK27" si="41">ROUND(AI62*1.25,0)</f>
        <v>0</v>
      </c>
      <c r="AJ27" s="341">
        <f t="shared" si="41"/>
        <v>0</v>
      </c>
      <c r="AK27" s="341">
        <f t="shared" si="41"/>
        <v>0</v>
      </c>
      <c r="AL27" s="4"/>
      <c r="AM27" s="4"/>
    </row>
    <row r="28" spans="1:39">
      <c r="A28" s="149" t="s">
        <v>269</v>
      </c>
      <c r="B28" s="148">
        <f t="shared" ref="B28:P28" si="42">ROUND(B63*1.25,0)</f>
        <v>4</v>
      </c>
      <c r="C28" s="148">
        <f t="shared" si="42"/>
        <v>5</v>
      </c>
      <c r="D28" s="148">
        <f t="shared" si="42"/>
        <v>3</v>
      </c>
      <c r="E28" s="148">
        <f t="shared" si="42"/>
        <v>14</v>
      </c>
      <c r="F28" s="148">
        <f t="shared" si="42"/>
        <v>0</v>
      </c>
      <c r="G28" s="148">
        <f t="shared" si="42"/>
        <v>14</v>
      </c>
      <c r="H28" s="270">
        <f t="shared" si="42"/>
        <v>0</v>
      </c>
      <c r="I28" s="148">
        <f t="shared" si="42"/>
        <v>0</v>
      </c>
      <c r="J28" s="148">
        <f t="shared" si="42"/>
        <v>8</v>
      </c>
      <c r="K28" s="148">
        <f t="shared" si="42"/>
        <v>0</v>
      </c>
      <c r="L28" s="148">
        <f t="shared" si="42"/>
        <v>0</v>
      </c>
      <c r="M28" s="148">
        <f t="shared" si="42"/>
        <v>0</v>
      </c>
      <c r="N28" s="148">
        <f t="shared" si="42"/>
        <v>0</v>
      </c>
      <c r="O28" s="148">
        <f t="shared" si="42"/>
        <v>0</v>
      </c>
      <c r="P28" s="148">
        <f t="shared" si="42"/>
        <v>0</v>
      </c>
      <c r="Q28" s="148">
        <f t="shared" si="15"/>
        <v>48</v>
      </c>
      <c r="R28" s="333" t="e">
        <f>'PPTO REDES ACUEDUCTO'!#REF!</f>
        <v>#REF!</v>
      </c>
      <c r="S28" s="333" t="e">
        <f>'PPTO REDES ACUEDUCTO'!#REF!</f>
        <v>#REF!</v>
      </c>
      <c r="T28" s="334">
        <f t="shared" si="13"/>
        <v>4</v>
      </c>
      <c r="U28" s="334">
        <f t="shared" si="0"/>
        <v>5</v>
      </c>
      <c r="V28" s="335">
        <f t="shared" si="1"/>
        <v>3</v>
      </c>
      <c r="W28" s="335">
        <f t="shared" si="2"/>
        <v>14</v>
      </c>
      <c r="X28" s="335">
        <f t="shared" si="3"/>
        <v>0</v>
      </c>
      <c r="Y28" s="335">
        <f t="shared" si="4"/>
        <v>14</v>
      </c>
      <c r="Z28" s="335">
        <f t="shared" si="5"/>
        <v>0</v>
      </c>
      <c r="AA28" s="335">
        <f t="shared" si="6"/>
        <v>0</v>
      </c>
      <c r="AB28" s="335">
        <f t="shared" si="7"/>
        <v>8</v>
      </c>
      <c r="AC28" s="335">
        <f t="shared" si="8"/>
        <v>0</v>
      </c>
      <c r="AD28" s="335">
        <f t="shared" si="9"/>
        <v>0</v>
      </c>
      <c r="AE28" s="335">
        <f t="shared" si="10"/>
        <v>0</v>
      </c>
      <c r="AF28" s="335">
        <f t="shared" si="11"/>
        <v>0</v>
      </c>
      <c r="AG28" s="335">
        <f t="shared" si="12"/>
        <v>0</v>
      </c>
      <c r="AH28" s="334">
        <f t="shared" si="14"/>
        <v>0</v>
      </c>
      <c r="AI28" s="341">
        <f t="shared" ref="AI28:AK28" si="43">ROUND(AI63*1.25,0)</f>
        <v>0</v>
      </c>
      <c r="AJ28" s="341">
        <f t="shared" si="43"/>
        <v>0</v>
      </c>
      <c r="AK28" s="341">
        <f t="shared" si="43"/>
        <v>0</v>
      </c>
      <c r="AL28" s="4"/>
      <c r="AM28" s="4"/>
    </row>
    <row r="29" spans="1:39">
      <c r="A29" s="149" t="s">
        <v>270</v>
      </c>
      <c r="B29" s="148">
        <f t="shared" ref="B29:P29" si="44">ROUND(B64*1.25,0)</f>
        <v>10</v>
      </c>
      <c r="C29" s="148">
        <f t="shared" si="44"/>
        <v>6</v>
      </c>
      <c r="D29" s="148">
        <f t="shared" si="44"/>
        <v>3</v>
      </c>
      <c r="E29" s="148">
        <f t="shared" si="44"/>
        <v>14</v>
      </c>
      <c r="F29" s="148">
        <f t="shared" si="44"/>
        <v>0</v>
      </c>
      <c r="G29" s="148">
        <f t="shared" si="44"/>
        <v>11</v>
      </c>
      <c r="H29" s="148">
        <f t="shared" si="44"/>
        <v>0</v>
      </c>
      <c r="I29" s="148">
        <f t="shared" si="44"/>
        <v>0</v>
      </c>
      <c r="J29" s="148">
        <f t="shared" si="44"/>
        <v>10</v>
      </c>
      <c r="K29" s="148">
        <f t="shared" si="44"/>
        <v>0</v>
      </c>
      <c r="L29" s="148">
        <f t="shared" si="44"/>
        <v>0</v>
      </c>
      <c r="M29" s="148">
        <f t="shared" si="44"/>
        <v>0</v>
      </c>
      <c r="N29" s="148">
        <f t="shared" si="44"/>
        <v>0</v>
      </c>
      <c r="O29" s="148">
        <f t="shared" si="44"/>
        <v>0</v>
      </c>
      <c r="P29" s="148">
        <f t="shared" si="44"/>
        <v>0</v>
      </c>
      <c r="Q29" s="148">
        <f t="shared" si="15"/>
        <v>54</v>
      </c>
      <c r="R29" s="333" t="e">
        <f>'PPTO REDES ACUEDUCTO'!#REF!</f>
        <v>#REF!</v>
      </c>
      <c r="S29" s="333" t="e">
        <f>'PPTO REDES ACUEDUCTO'!#REF!</f>
        <v>#REF!</v>
      </c>
      <c r="T29" s="334">
        <f t="shared" si="13"/>
        <v>10</v>
      </c>
      <c r="U29" s="334">
        <f t="shared" si="0"/>
        <v>6</v>
      </c>
      <c r="V29" s="335">
        <f t="shared" si="1"/>
        <v>3</v>
      </c>
      <c r="W29" s="335">
        <f t="shared" si="2"/>
        <v>14</v>
      </c>
      <c r="X29" s="335">
        <f t="shared" si="3"/>
        <v>0</v>
      </c>
      <c r="Y29" s="335">
        <f t="shared" si="4"/>
        <v>11</v>
      </c>
      <c r="Z29" s="335">
        <f t="shared" si="5"/>
        <v>0</v>
      </c>
      <c r="AA29" s="335">
        <f t="shared" si="6"/>
        <v>0</v>
      </c>
      <c r="AB29" s="335">
        <f t="shared" si="7"/>
        <v>10</v>
      </c>
      <c r="AC29" s="335">
        <f t="shared" si="8"/>
        <v>0</v>
      </c>
      <c r="AD29" s="335">
        <f t="shared" si="9"/>
        <v>0</v>
      </c>
      <c r="AE29" s="335">
        <f t="shared" si="10"/>
        <v>0</v>
      </c>
      <c r="AF29" s="335">
        <f t="shared" si="11"/>
        <v>0</v>
      </c>
      <c r="AG29" s="335">
        <f t="shared" si="12"/>
        <v>0</v>
      </c>
      <c r="AH29" s="334">
        <f t="shared" si="14"/>
        <v>0</v>
      </c>
      <c r="AI29" s="341">
        <f t="shared" ref="AI29:AK29" si="45">ROUND(AI64*1.25,0)</f>
        <v>0</v>
      </c>
      <c r="AJ29" s="341">
        <f t="shared" si="45"/>
        <v>0</v>
      </c>
      <c r="AK29" s="341">
        <f t="shared" si="45"/>
        <v>0</v>
      </c>
      <c r="AL29" s="4"/>
      <c r="AM29" s="4"/>
    </row>
    <row r="30" spans="1:39">
      <c r="A30" s="149" t="s">
        <v>271</v>
      </c>
      <c r="B30" s="148">
        <f t="shared" ref="B30:P30" si="46">ROUND(B65*1.25,0)</f>
        <v>0</v>
      </c>
      <c r="C30" s="148">
        <f t="shared" si="46"/>
        <v>0</v>
      </c>
      <c r="D30" s="148">
        <f t="shared" si="46"/>
        <v>0</v>
      </c>
      <c r="E30" s="148">
        <f t="shared" si="46"/>
        <v>6</v>
      </c>
      <c r="F30" s="148">
        <f t="shared" si="46"/>
        <v>0</v>
      </c>
      <c r="G30" s="148">
        <f t="shared" si="46"/>
        <v>0</v>
      </c>
      <c r="H30" s="148">
        <f t="shared" si="46"/>
        <v>0</v>
      </c>
      <c r="I30" s="148">
        <f t="shared" si="46"/>
        <v>0</v>
      </c>
      <c r="J30" s="148">
        <f t="shared" si="46"/>
        <v>6</v>
      </c>
      <c r="K30" s="148">
        <f t="shared" si="46"/>
        <v>0</v>
      </c>
      <c r="L30" s="148">
        <f t="shared" si="46"/>
        <v>0</v>
      </c>
      <c r="M30" s="148">
        <f t="shared" si="46"/>
        <v>0</v>
      </c>
      <c r="N30" s="148">
        <f t="shared" si="46"/>
        <v>0</v>
      </c>
      <c r="O30" s="148">
        <f t="shared" si="46"/>
        <v>0</v>
      </c>
      <c r="P30" s="148">
        <f t="shared" si="46"/>
        <v>0</v>
      </c>
      <c r="Q30" s="148">
        <f t="shared" si="15"/>
        <v>12</v>
      </c>
      <c r="R30" s="333" t="e">
        <f>'PPTO REDES ACUEDUCTO'!#REF!</f>
        <v>#REF!</v>
      </c>
      <c r="S30" s="333" t="e">
        <f>'PPTO REDES ACUEDUCTO'!#REF!</f>
        <v>#REF!</v>
      </c>
      <c r="T30" s="334">
        <f t="shared" si="13"/>
        <v>0</v>
      </c>
      <c r="U30" s="334">
        <f t="shared" si="0"/>
        <v>0</v>
      </c>
      <c r="V30" s="335">
        <f t="shared" si="1"/>
        <v>0</v>
      </c>
      <c r="W30" s="335">
        <f t="shared" si="2"/>
        <v>6</v>
      </c>
      <c r="X30" s="335">
        <f t="shared" si="3"/>
        <v>0</v>
      </c>
      <c r="Y30" s="335">
        <f t="shared" si="4"/>
        <v>0</v>
      </c>
      <c r="Z30" s="335">
        <f t="shared" si="5"/>
        <v>0</v>
      </c>
      <c r="AA30" s="335">
        <f t="shared" si="6"/>
        <v>0</v>
      </c>
      <c r="AB30" s="335">
        <f t="shared" si="7"/>
        <v>6</v>
      </c>
      <c r="AC30" s="335">
        <f t="shared" si="8"/>
        <v>0</v>
      </c>
      <c r="AD30" s="335">
        <f t="shared" si="9"/>
        <v>0</v>
      </c>
      <c r="AE30" s="335">
        <f t="shared" si="10"/>
        <v>0</v>
      </c>
      <c r="AF30" s="335">
        <f t="shared" si="11"/>
        <v>0</v>
      </c>
      <c r="AG30" s="335">
        <f t="shared" si="12"/>
        <v>0</v>
      </c>
      <c r="AH30" s="334">
        <f t="shared" si="14"/>
        <v>0</v>
      </c>
      <c r="AI30" s="341">
        <f t="shared" ref="AI30:AK30" si="47">ROUND(AI65*1.25,0)</f>
        <v>0</v>
      </c>
      <c r="AJ30" s="341">
        <f t="shared" si="47"/>
        <v>0</v>
      </c>
      <c r="AK30" s="341">
        <f t="shared" si="47"/>
        <v>0</v>
      </c>
      <c r="AL30" s="4"/>
      <c r="AM30" s="4"/>
    </row>
    <row r="31" spans="1:39">
      <c r="A31" s="147" t="s">
        <v>272</v>
      </c>
      <c r="B31" s="148">
        <f t="shared" ref="B31:P31" si="48">ROUND(B66*1.25,0)</f>
        <v>0</v>
      </c>
      <c r="C31" s="148">
        <f t="shared" si="48"/>
        <v>0</v>
      </c>
      <c r="D31" s="148">
        <f t="shared" si="48"/>
        <v>0</v>
      </c>
      <c r="E31" s="148">
        <f t="shared" si="48"/>
        <v>0</v>
      </c>
      <c r="F31" s="148">
        <f t="shared" si="48"/>
        <v>0</v>
      </c>
      <c r="G31" s="148">
        <f t="shared" si="48"/>
        <v>0</v>
      </c>
      <c r="H31" s="148">
        <f t="shared" si="48"/>
        <v>0</v>
      </c>
      <c r="I31" s="148">
        <f t="shared" si="48"/>
        <v>0</v>
      </c>
      <c r="J31" s="148">
        <f t="shared" si="48"/>
        <v>0</v>
      </c>
      <c r="K31" s="148">
        <f t="shared" si="48"/>
        <v>0</v>
      </c>
      <c r="L31" s="148">
        <f t="shared" si="48"/>
        <v>0</v>
      </c>
      <c r="M31" s="148">
        <f t="shared" si="48"/>
        <v>0</v>
      </c>
      <c r="N31" s="148">
        <f t="shared" si="48"/>
        <v>0</v>
      </c>
      <c r="O31" s="148">
        <f t="shared" si="48"/>
        <v>0</v>
      </c>
      <c r="P31" s="148">
        <f t="shared" si="48"/>
        <v>0</v>
      </c>
      <c r="Q31" s="148">
        <f t="shared" si="15"/>
        <v>0</v>
      </c>
      <c r="R31" s="333"/>
      <c r="S31" s="333"/>
      <c r="T31" s="334">
        <f t="shared" si="13"/>
        <v>0</v>
      </c>
      <c r="U31" s="334">
        <f t="shared" si="0"/>
        <v>0</v>
      </c>
      <c r="V31" s="335">
        <f t="shared" si="1"/>
        <v>0</v>
      </c>
      <c r="W31" s="335">
        <f t="shared" si="2"/>
        <v>0</v>
      </c>
      <c r="X31" s="335">
        <f t="shared" si="3"/>
        <v>0</v>
      </c>
      <c r="Y31" s="335">
        <f t="shared" si="4"/>
        <v>0</v>
      </c>
      <c r="Z31" s="335">
        <f t="shared" si="5"/>
        <v>0</v>
      </c>
      <c r="AA31" s="335">
        <f t="shared" si="6"/>
        <v>0</v>
      </c>
      <c r="AB31" s="335">
        <f t="shared" si="7"/>
        <v>0</v>
      </c>
      <c r="AC31" s="335">
        <f t="shared" si="8"/>
        <v>0</v>
      </c>
      <c r="AD31" s="335">
        <f t="shared" si="9"/>
        <v>0</v>
      </c>
      <c r="AE31" s="335">
        <f t="shared" si="10"/>
        <v>0</v>
      </c>
      <c r="AF31" s="335">
        <f t="shared" si="11"/>
        <v>0</v>
      </c>
      <c r="AG31" s="335">
        <f t="shared" si="12"/>
        <v>0</v>
      </c>
      <c r="AH31" s="334">
        <f t="shared" si="14"/>
        <v>0</v>
      </c>
      <c r="AI31" s="341">
        <f t="shared" ref="AI31:AK31" si="49">ROUND(AI66*1.25,0)</f>
        <v>0</v>
      </c>
      <c r="AJ31" s="341">
        <f t="shared" si="49"/>
        <v>0</v>
      </c>
      <c r="AK31" s="341">
        <f t="shared" si="49"/>
        <v>0</v>
      </c>
      <c r="AL31" s="4"/>
      <c r="AM31" s="4"/>
    </row>
    <row r="32" spans="1:39">
      <c r="A32" s="153" t="s">
        <v>273</v>
      </c>
      <c r="B32" s="148">
        <f t="shared" ref="B32:P32" si="50">ROUND(B67*1.25,0)</f>
        <v>0</v>
      </c>
      <c r="C32" s="148">
        <f t="shared" si="50"/>
        <v>1</v>
      </c>
      <c r="D32" s="148">
        <f t="shared" si="50"/>
        <v>0</v>
      </c>
      <c r="E32" s="148">
        <f t="shared" si="50"/>
        <v>0</v>
      </c>
      <c r="F32" s="148">
        <f t="shared" si="50"/>
        <v>0</v>
      </c>
      <c r="G32" s="148">
        <f t="shared" si="50"/>
        <v>0</v>
      </c>
      <c r="H32" s="148">
        <f t="shared" si="50"/>
        <v>0</v>
      </c>
      <c r="I32" s="148">
        <f t="shared" si="50"/>
        <v>0</v>
      </c>
      <c r="J32" s="148">
        <f t="shared" si="50"/>
        <v>0</v>
      </c>
      <c r="K32" s="148">
        <f t="shared" si="50"/>
        <v>0</v>
      </c>
      <c r="L32" s="148">
        <f t="shared" si="50"/>
        <v>0</v>
      </c>
      <c r="M32" s="148">
        <f t="shared" si="50"/>
        <v>0</v>
      </c>
      <c r="N32" s="148">
        <f t="shared" si="50"/>
        <v>0</v>
      </c>
      <c r="O32" s="148">
        <f t="shared" si="50"/>
        <v>0</v>
      </c>
      <c r="P32" s="148">
        <f t="shared" si="50"/>
        <v>0</v>
      </c>
      <c r="Q32" s="154">
        <f t="shared" si="15"/>
        <v>1</v>
      </c>
      <c r="R32" s="342"/>
      <c r="S32" s="342"/>
      <c r="T32" s="343">
        <f t="shared" si="13"/>
        <v>0</v>
      </c>
      <c r="U32" s="343">
        <f t="shared" si="0"/>
        <v>1</v>
      </c>
      <c r="V32" s="344">
        <f t="shared" si="1"/>
        <v>0</v>
      </c>
      <c r="W32" s="344">
        <f t="shared" si="2"/>
        <v>0</v>
      </c>
      <c r="X32" s="344">
        <f t="shared" si="3"/>
        <v>0</v>
      </c>
      <c r="Y32" s="344">
        <f t="shared" si="4"/>
        <v>0</v>
      </c>
      <c r="Z32" s="344">
        <f t="shared" si="5"/>
        <v>0</v>
      </c>
      <c r="AA32" s="344">
        <f t="shared" si="6"/>
        <v>0</v>
      </c>
      <c r="AB32" s="344">
        <f t="shared" si="7"/>
        <v>0</v>
      </c>
      <c r="AC32" s="344">
        <f t="shared" si="8"/>
        <v>0</v>
      </c>
      <c r="AD32" s="344">
        <f t="shared" si="9"/>
        <v>0</v>
      </c>
      <c r="AE32" s="344">
        <f t="shared" si="10"/>
        <v>0</v>
      </c>
      <c r="AF32" s="344">
        <f t="shared" si="11"/>
        <v>0</v>
      </c>
      <c r="AG32" s="344">
        <f t="shared" si="12"/>
        <v>0</v>
      </c>
      <c r="AH32" s="343">
        <f t="shared" si="14"/>
        <v>0</v>
      </c>
      <c r="AI32" s="341">
        <f t="shared" ref="AI32:AK32" si="51">ROUND(AI67*1.25,0)</f>
        <v>0</v>
      </c>
      <c r="AJ32" s="341">
        <f t="shared" si="51"/>
        <v>0</v>
      </c>
      <c r="AK32" s="341">
        <f t="shared" si="51"/>
        <v>0</v>
      </c>
      <c r="AL32" s="4"/>
      <c r="AM32" s="4"/>
    </row>
    <row r="33" spans="1:37" s="4" customFormat="1">
      <c r="A33" s="155" t="s">
        <v>274</v>
      </c>
      <c r="B33" s="148">
        <f t="shared" ref="B33:P33" si="52">ROUND(B68*1.25,0)</f>
        <v>3</v>
      </c>
      <c r="C33" s="148">
        <f t="shared" si="52"/>
        <v>1</v>
      </c>
      <c r="D33" s="148">
        <f t="shared" si="52"/>
        <v>0</v>
      </c>
      <c r="E33" s="148">
        <f t="shared" si="52"/>
        <v>0</v>
      </c>
      <c r="F33" s="148">
        <f t="shared" si="52"/>
        <v>0</v>
      </c>
      <c r="G33" s="148">
        <f t="shared" si="52"/>
        <v>0</v>
      </c>
      <c r="H33" s="148">
        <f t="shared" si="52"/>
        <v>0</v>
      </c>
      <c r="I33" s="148">
        <f t="shared" si="52"/>
        <v>3</v>
      </c>
      <c r="J33" s="148">
        <f t="shared" si="52"/>
        <v>11</v>
      </c>
      <c r="K33" s="148">
        <f t="shared" si="52"/>
        <v>20</v>
      </c>
      <c r="L33" s="148">
        <f t="shared" si="52"/>
        <v>16</v>
      </c>
      <c r="M33" s="148">
        <f t="shared" si="52"/>
        <v>10</v>
      </c>
      <c r="N33" s="148">
        <f t="shared" si="52"/>
        <v>10</v>
      </c>
      <c r="O33" s="148">
        <f t="shared" si="52"/>
        <v>9</v>
      </c>
      <c r="P33" s="148">
        <f t="shared" si="52"/>
        <v>38</v>
      </c>
      <c r="Q33" s="156">
        <f t="shared" si="15"/>
        <v>121</v>
      </c>
      <c r="R33" s="345" t="e">
        <f>'PPTO REDES ACUEDUCTO'!#REF!</f>
        <v>#REF!</v>
      </c>
      <c r="S33" s="345" t="e">
        <f>'PPTO REDES ACUEDUCTO'!#REF!</f>
        <v>#REF!</v>
      </c>
      <c r="T33" s="346">
        <f t="shared" si="13"/>
        <v>3</v>
      </c>
      <c r="U33" s="346">
        <f t="shared" si="0"/>
        <v>1</v>
      </c>
      <c r="V33" s="346">
        <f t="shared" si="1"/>
        <v>0</v>
      </c>
      <c r="W33" s="346">
        <f t="shared" si="2"/>
        <v>0</v>
      </c>
      <c r="X33" s="346">
        <f t="shared" si="3"/>
        <v>0</v>
      </c>
      <c r="Y33" s="346">
        <f t="shared" si="4"/>
        <v>0</v>
      </c>
      <c r="Z33" s="346">
        <f t="shared" si="5"/>
        <v>0</v>
      </c>
      <c r="AA33" s="346">
        <f t="shared" si="6"/>
        <v>3</v>
      </c>
      <c r="AB33" s="346">
        <f t="shared" si="7"/>
        <v>11</v>
      </c>
      <c r="AC33" s="346">
        <f t="shared" si="8"/>
        <v>20</v>
      </c>
      <c r="AD33" s="346">
        <f t="shared" si="9"/>
        <v>16</v>
      </c>
      <c r="AE33" s="346">
        <f t="shared" si="10"/>
        <v>10</v>
      </c>
      <c r="AF33" s="346">
        <f t="shared" si="11"/>
        <v>10</v>
      </c>
      <c r="AG33" s="346">
        <f t="shared" si="12"/>
        <v>9</v>
      </c>
      <c r="AH33" s="346">
        <f t="shared" si="14"/>
        <v>38</v>
      </c>
      <c r="AI33" s="341">
        <f t="shared" ref="AI33:AK33" si="53">ROUND(AI68*1.25,0)</f>
        <v>35</v>
      </c>
      <c r="AJ33" s="341">
        <f t="shared" si="53"/>
        <v>15</v>
      </c>
      <c r="AK33" s="341">
        <f t="shared" si="53"/>
        <v>19</v>
      </c>
    </row>
    <row r="34" spans="1:37" s="4" customFormat="1">
      <c r="A34" s="151" t="s">
        <v>275</v>
      </c>
      <c r="B34" s="148">
        <f t="shared" ref="B34:P34" si="54">ROUND(B69*1.25,0)</f>
        <v>24</v>
      </c>
      <c r="C34" s="148">
        <f t="shared" si="54"/>
        <v>15</v>
      </c>
      <c r="D34" s="148">
        <f t="shared" si="54"/>
        <v>0</v>
      </c>
      <c r="E34" s="148">
        <f t="shared" si="54"/>
        <v>13</v>
      </c>
      <c r="F34" s="148">
        <f t="shared" si="54"/>
        <v>0</v>
      </c>
      <c r="G34" s="148">
        <f t="shared" si="54"/>
        <v>13</v>
      </c>
      <c r="H34" s="148">
        <f t="shared" si="54"/>
        <v>0</v>
      </c>
      <c r="I34" s="148">
        <f t="shared" si="54"/>
        <v>0</v>
      </c>
      <c r="J34" s="148">
        <f t="shared" si="54"/>
        <v>0</v>
      </c>
      <c r="K34" s="148">
        <f t="shared" si="54"/>
        <v>0</v>
      </c>
      <c r="L34" s="148">
        <f t="shared" si="54"/>
        <v>0</v>
      </c>
      <c r="M34" s="148">
        <f t="shared" si="54"/>
        <v>0</v>
      </c>
      <c r="N34" s="148">
        <f t="shared" si="54"/>
        <v>0</v>
      </c>
      <c r="O34" s="148">
        <f t="shared" si="54"/>
        <v>0</v>
      </c>
      <c r="P34" s="148">
        <f t="shared" si="54"/>
        <v>0</v>
      </c>
      <c r="Q34" s="152">
        <f t="shared" si="15"/>
        <v>65</v>
      </c>
      <c r="R34" s="347" t="e">
        <f>'PPTO REDES ACUEDUCTO'!#REF!</f>
        <v>#REF!</v>
      </c>
      <c r="S34" s="347" t="e">
        <f>'PPTO REDES ACUEDUCTO'!#REF!</f>
        <v>#REF!</v>
      </c>
      <c r="T34" s="348">
        <f t="shared" si="13"/>
        <v>24</v>
      </c>
      <c r="U34" s="348">
        <f t="shared" si="0"/>
        <v>15</v>
      </c>
      <c r="V34" s="348">
        <f t="shared" si="1"/>
        <v>0</v>
      </c>
      <c r="W34" s="348">
        <f t="shared" si="2"/>
        <v>13</v>
      </c>
      <c r="X34" s="348">
        <f t="shared" si="3"/>
        <v>0</v>
      </c>
      <c r="Y34" s="348">
        <f t="shared" si="4"/>
        <v>13</v>
      </c>
      <c r="Z34" s="348">
        <f t="shared" si="5"/>
        <v>0</v>
      </c>
      <c r="AA34" s="348">
        <f t="shared" si="6"/>
        <v>0</v>
      </c>
      <c r="AB34" s="348">
        <f t="shared" si="7"/>
        <v>0</v>
      </c>
      <c r="AC34" s="348">
        <f t="shared" si="8"/>
        <v>0</v>
      </c>
      <c r="AD34" s="348">
        <f t="shared" si="9"/>
        <v>0</v>
      </c>
      <c r="AE34" s="348">
        <f t="shared" si="10"/>
        <v>0</v>
      </c>
      <c r="AF34" s="348">
        <f t="shared" si="11"/>
        <v>0</v>
      </c>
      <c r="AG34" s="348">
        <f t="shared" si="12"/>
        <v>0</v>
      </c>
      <c r="AH34" s="348">
        <f t="shared" si="14"/>
        <v>0</v>
      </c>
      <c r="AI34" s="341">
        <f t="shared" ref="AI34:AK34" si="55">ROUND(AI69*1.25,0)</f>
        <v>0</v>
      </c>
      <c r="AJ34" s="341">
        <f t="shared" si="55"/>
        <v>0</v>
      </c>
      <c r="AK34" s="341">
        <f t="shared" si="55"/>
        <v>0</v>
      </c>
    </row>
    <row r="35" spans="1:37">
      <c r="R35" s="349"/>
      <c r="S35" s="349"/>
      <c r="T35" s="350"/>
      <c r="U35" s="350"/>
      <c r="V35" s="351"/>
      <c r="W35" s="351"/>
      <c r="X35" s="351"/>
      <c r="Y35" s="351"/>
      <c r="Z35" s="351"/>
      <c r="AA35" s="351"/>
      <c r="AB35" s="351"/>
      <c r="AC35" s="351"/>
      <c r="AD35" s="351"/>
      <c r="AE35" s="351"/>
      <c r="AF35" s="351"/>
      <c r="AG35" s="351"/>
      <c r="AH35" s="351"/>
      <c r="AI35" s="351"/>
      <c r="AJ35" s="351"/>
      <c r="AK35" s="351"/>
    </row>
    <row r="36" spans="1:37">
      <c r="R36" s="349"/>
      <c r="S36" s="349"/>
      <c r="T36" s="350"/>
      <c r="U36" s="350"/>
      <c r="V36" s="351"/>
      <c r="W36" s="351"/>
      <c r="X36" s="351"/>
      <c r="Y36" s="351"/>
      <c r="Z36" s="351"/>
      <c r="AA36" s="351"/>
      <c r="AB36" s="351"/>
      <c r="AC36" s="351"/>
      <c r="AD36" s="351"/>
      <c r="AE36" s="351"/>
      <c r="AF36" s="351"/>
      <c r="AG36" s="351"/>
      <c r="AH36" s="351"/>
      <c r="AI36" s="351"/>
      <c r="AJ36" s="351"/>
      <c r="AK36" s="351"/>
    </row>
    <row r="37" spans="1:37">
      <c r="A37" s="159" t="s">
        <v>227</v>
      </c>
      <c r="B37" s="160" t="s">
        <v>228</v>
      </c>
      <c r="C37" s="160" t="s">
        <v>229</v>
      </c>
      <c r="D37" s="160" t="s">
        <v>230</v>
      </c>
      <c r="E37" s="160" t="s">
        <v>231</v>
      </c>
      <c r="F37" s="160" t="s">
        <v>232</v>
      </c>
      <c r="G37" s="160" t="s">
        <v>233</v>
      </c>
      <c r="H37" s="160" t="s">
        <v>234</v>
      </c>
      <c r="I37" s="160" t="s">
        <v>235</v>
      </c>
      <c r="J37" s="160" t="s">
        <v>236</v>
      </c>
      <c r="K37" s="160" t="s">
        <v>237</v>
      </c>
      <c r="L37" s="160" t="s">
        <v>238</v>
      </c>
      <c r="M37" s="160" t="s">
        <v>239</v>
      </c>
      <c r="N37" s="160" t="s">
        <v>240</v>
      </c>
      <c r="O37" s="160" t="s">
        <v>241</v>
      </c>
      <c r="P37" s="160" t="s">
        <v>242</v>
      </c>
      <c r="Q37" s="160" t="s">
        <v>243</v>
      </c>
      <c r="R37" s="352" t="s">
        <v>276</v>
      </c>
      <c r="S37" s="352" t="s">
        <v>277</v>
      </c>
      <c r="T37" s="353" t="str">
        <f>B37</f>
        <v>S-1</v>
      </c>
      <c r="U37" s="353" t="str">
        <f t="shared" ref="U37:U69" si="56">C37</f>
        <v>S-2</v>
      </c>
      <c r="V37" s="354" t="str">
        <f t="shared" ref="V37:V69" si="57">D37</f>
        <v>S-3</v>
      </c>
      <c r="W37" s="354" t="str">
        <f t="shared" ref="W37:W69" si="58">E37</f>
        <v>S-4</v>
      </c>
      <c r="X37" s="354" t="str">
        <f t="shared" ref="X37:X69" si="59">F37</f>
        <v>S-5</v>
      </c>
      <c r="Y37" s="354" t="str">
        <f t="shared" ref="Y37:Y69" si="60">G37</f>
        <v>S-6</v>
      </c>
      <c r="Z37" s="354" t="str">
        <f t="shared" ref="Z37:Z69" si="61">H37</f>
        <v>S-7</v>
      </c>
      <c r="AA37" s="354" t="str">
        <f t="shared" ref="AA37:AA69" si="62">I37</f>
        <v>S-8</v>
      </c>
      <c r="AB37" s="354" t="str">
        <f t="shared" ref="AB37:AB69" si="63">J37</f>
        <v>S-9</v>
      </c>
      <c r="AC37" s="354" t="str">
        <f t="shared" ref="AC37:AC69" si="64">K37</f>
        <v>S-10</v>
      </c>
      <c r="AD37" s="354" t="str">
        <f t="shared" ref="AD37:AD69" si="65">L37</f>
        <v>S-11</v>
      </c>
      <c r="AE37" s="354" t="str">
        <f t="shared" ref="AE37:AE69" si="66">M37</f>
        <v>S-12</v>
      </c>
      <c r="AF37" s="354" t="str">
        <f t="shared" ref="AF37:AF69" si="67">N37</f>
        <v>S-13</v>
      </c>
      <c r="AG37" s="354" t="str">
        <f t="shared" ref="AG37:AG69" si="68">O37</f>
        <v>S-14</v>
      </c>
      <c r="AH37" s="353" t="str">
        <f>P37</f>
        <v>S-15</v>
      </c>
      <c r="AI37" s="353" t="s">
        <v>306</v>
      </c>
      <c r="AJ37" s="353" t="s">
        <v>307</v>
      </c>
      <c r="AK37" s="355" t="s">
        <v>308</v>
      </c>
    </row>
    <row r="38" spans="1:37">
      <c r="A38" s="157" t="s">
        <v>244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329"/>
      <c r="S38" s="329"/>
      <c r="T38" s="330">
        <f t="shared" ref="T38:T69" si="69">B38</f>
        <v>0</v>
      </c>
      <c r="U38" s="330">
        <f t="shared" si="56"/>
        <v>0</v>
      </c>
      <c r="V38" s="331">
        <f t="shared" si="57"/>
        <v>0</v>
      </c>
      <c r="W38" s="331">
        <f t="shared" si="58"/>
        <v>0</v>
      </c>
      <c r="X38" s="331">
        <f t="shared" si="59"/>
        <v>0</v>
      </c>
      <c r="Y38" s="331">
        <f t="shared" si="60"/>
        <v>0</v>
      </c>
      <c r="Z38" s="331">
        <f t="shared" si="61"/>
        <v>0</v>
      </c>
      <c r="AA38" s="331">
        <f t="shared" si="62"/>
        <v>0</v>
      </c>
      <c r="AB38" s="331">
        <f t="shared" si="63"/>
        <v>0</v>
      </c>
      <c r="AC38" s="331">
        <f t="shared" si="64"/>
        <v>0</v>
      </c>
      <c r="AD38" s="331">
        <f t="shared" si="65"/>
        <v>0</v>
      </c>
      <c r="AE38" s="331">
        <f t="shared" si="66"/>
        <v>0</v>
      </c>
      <c r="AF38" s="331">
        <f t="shared" si="67"/>
        <v>0</v>
      </c>
      <c r="AG38" s="331">
        <f t="shared" si="68"/>
        <v>0</v>
      </c>
      <c r="AH38" s="330">
        <f t="shared" ref="AH38:AH69" si="70">P38</f>
        <v>0</v>
      </c>
      <c r="AI38" s="330"/>
      <c r="AJ38" s="330"/>
      <c r="AK38" s="332"/>
    </row>
    <row r="39" spans="1:37">
      <c r="A39" s="149" t="s">
        <v>245</v>
      </c>
      <c r="B39" s="148"/>
      <c r="C39" s="148"/>
      <c r="D39" s="148"/>
      <c r="E39" s="148">
        <v>2</v>
      </c>
      <c r="F39" s="148"/>
      <c r="G39" s="148">
        <v>1</v>
      </c>
      <c r="H39" s="148"/>
      <c r="I39" s="148"/>
      <c r="J39" s="148">
        <v>4</v>
      </c>
      <c r="K39" s="148"/>
      <c r="L39" s="148"/>
      <c r="M39" s="148"/>
      <c r="N39" s="148">
        <v>1</v>
      </c>
      <c r="O39" s="148">
        <v>1</v>
      </c>
      <c r="P39" s="148">
        <v>2</v>
      </c>
      <c r="Q39" s="148">
        <f>SUM(B39:P39)</f>
        <v>11</v>
      </c>
      <c r="R39" s="333">
        <v>47</v>
      </c>
      <c r="S39" s="333" t="e">
        <f>'PPTO REDES ACUEDUCTO'!#REF!</f>
        <v>#REF!</v>
      </c>
      <c r="T39" s="334">
        <f t="shared" si="69"/>
        <v>0</v>
      </c>
      <c r="U39" s="334">
        <f t="shared" si="56"/>
        <v>0</v>
      </c>
      <c r="V39" s="335">
        <f t="shared" si="57"/>
        <v>0</v>
      </c>
      <c r="W39" s="335">
        <f t="shared" si="58"/>
        <v>2</v>
      </c>
      <c r="X39" s="335">
        <f t="shared" si="59"/>
        <v>0</v>
      </c>
      <c r="Y39" s="335">
        <f t="shared" si="60"/>
        <v>1</v>
      </c>
      <c r="Z39" s="335">
        <f t="shared" si="61"/>
        <v>0</v>
      </c>
      <c r="AA39" s="335">
        <f t="shared" si="62"/>
        <v>0</v>
      </c>
      <c r="AB39" s="335">
        <f t="shared" si="63"/>
        <v>4</v>
      </c>
      <c r="AC39" s="335">
        <f t="shared" si="64"/>
        <v>0</v>
      </c>
      <c r="AD39" s="335">
        <f t="shared" si="65"/>
        <v>0</v>
      </c>
      <c r="AE39" s="335">
        <f t="shared" si="66"/>
        <v>0</v>
      </c>
      <c r="AF39" s="335">
        <f t="shared" si="67"/>
        <v>1</v>
      </c>
      <c r="AG39" s="335">
        <f t="shared" si="68"/>
        <v>1</v>
      </c>
      <c r="AH39" s="334">
        <f t="shared" si="70"/>
        <v>2</v>
      </c>
      <c r="AI39" s="334">
        <v>1</v>
      </c>
      <c r="AJ39" s="334"/>
      <c r="AK39" s="336"/>
    </row>
    <row r="40" spans="1:37">
      <c r="A40" s="149" t="s">
        <v>246</v>
      </c>
      <c r="B40" s="148"/>
      <c r="C40" s="148">
        <v>1</v>
      </c>
      <c r="D40" s="148">
        <v>1</v>
      </c>
      <c r="E40" s="148">
        <v>4</v>
      </c>
      <c r="F40" s="148">
        <v>1</v>
      </c>
      <c r="G40" s="148">
        <v>2</v>
      </c>
      <c r="H40" s="148"/>
      <c r="I40" s="148">
        <v>4</v>
      </c>
      <c r="J40" s="148"/>
      <c r="K40" s="148">
        <v>3</v>
      </c>
      <c r="L40" s="148">
        <v>2</v>
      </c>
      <c r="M40" s="148">
        <v>2</v>
      </c>
      <c r="N40" s="148">
        <v>3</v>
      </c>
      <c r="O40" s="148"/>
      <c r="P40" s="148">
        <v>1</v>
      </c>
      <c r="Q40" s="148">
        <f t="shared" ref="Q40:Q69" si="71">SUM(B40:P40)</f>
        <v>24</v>
      </c>
      <c r="R40" s="333" t="e">
        <f>'PPTO REDES ACUEDUCTO'!#REF!</f>
        <v>#REF!</v>
      </c>
      <c r="S40" s="333" t="e">
        <f>'PPTO REDES ACUEDUCTO'!#REF!</f>
        <v>#REF!</v>
      </c>
      <c r="T40" s="334">
        <f t="shared" si="69"/>
        <v>0</v>
      </c>
      <c r="U40" s="334">
        <f t="shared" si="56"/>
        <v>1</v>
      </c>
      <c r="V40" s="335">
        <f t="shared" si="57"/>
        <v>1</v>
      </c>
      <c r="W40" s="335">
        <f t="shared" si="58"/>
        <v>4</v>
      </c>
      <c r="X40" s="335">
        <f t="shared" si="59"/>
        <v>1</v>
      </c>
      <c r="Y40" s="335">
        <f t="shared" si="60"/>
        <v>2</v>
      </c>
      <c r="Z40" s="335">
        <f t="shared" si="61"/>
        <v>0</v>
      </c>
      <c r="AA40" s="335">
        <f t="shared" si="62"/>
        <v>4</v>
      </c>
      <c r="AB40" s="335">
        <f t="shared" si="63"/>
        <v>0</v>
      </c>
      <c r="AC40" s="335">
        <f t="shared" si="64"/>
        <v>3</v>
      </c>
      <c r="AD40" s="335">
        <f t="shared" si="65"/>
        <v>2</v>
      </c>
      <c r="AE40" s="335">
        <f t="shared" si="66"/>
        <v>2</v>
      </c>
      <c r="AF40" s="335">
        <f t="shared" si="67"/>
        <v>3</v>
      </c>
      <c r="AG40" s="335">
        <f t="shared" si="68"/>
        <v>0</v>
      </c>
      <c r="AH40" s="334">
        <f t="shared" si="70"/>
        <v>1</v>
      </c>
      <c r="AI40" s="334">
        <v>1</v>
      </c>
      <c r="AJ40" s="334"/>
      <c r="AK40" s="336">
        <v>1</v>
      </c>
    </row>
    <row r="41" spans="1:37">
      <c r="A41" s="149" t="s">
        <v>247</v>
      </c>
      <c r="B41" s="148"/>
      <c r="C41" s="148">
        <v>2</v>
      </c>
      <c r="D41" s="148">
        <v>2</v>
      </c>
      <c r="E41" s="148"/>
      <c r="F41" s="148"/>
      <c r="G41" s="148">
        <v>2</v>
      </c>
      <c r="H41" s="148"/>
      <c r="I41" s="148">
        <v>2</v>
      </c>
      <c r="J41" s="148"/>
      <c r="K41" s="148">
        <v>2</v>
      </c>
      <c r="L41" s="148"/>
      <c r="M41" s="148"/>
      <c r="N41" s="148"/>
      <c r="O41" s="148">
        <v>1</v>
      </c>
      <c r="P41" s="148">
        <v>1</v>
      </c>
      <c r="Q41" s="148">
        <f t="shared" si="71"/>
        <v>12</v>
      </c>
      <c r="R41" s="333" t="e">
        <f>'PPTO REDES ACUEDUCTO'!#REF!</f>
        <v>#REF!</v>
      </c>
      <c r="S41" s="333" t="e">
        <f>'PPTO REDES ACUEDUCTO'!#REF!</f>
        <v>#REF!</v>
      </c>
      <c r="T41" s="334">
        <f t="shared" si="69"/>
        <v>0</v>
      </c>
      <c r="U41" s="334">
        <f t="shared" si="56"/>
        <v>2</v>
      </c>
      <c r="V41" s="335">
        <f t="shared" si="57"/>
        <v>2</v>
      </c>
      <c r="W41" s="335">
        <f t="shared" si="58"/>
        <v>0</v>
      </c>
      <c r="X41" s="335">
        <f t="shared" si="59"/>
        <v>0</v>
      </c>
      <c r="Y41" s="335">
        <f t="shared" si="60"/>
        <v>2</v>
      </c>
      <c r="Z41" s="335">
        <f t="shared" si="61"/>
        <v>0</v>
      </c>
      <c r="AA41" s="335">
        <f t="shared" si="62"/>
        <v>2</v>
      </c>
      <c r="AB41" s="335">
        <f t="shared" si="63"/>
        <v>0</v>
      </c>
      <c r="AC41" s="335">
        <f t="shared" si="64"/>
        <v>2</v>
      </c>
      <c r="AD41" s="335">
        <f t="shared" si="65"/>
        <v>0</v>
      </c>
      <c r="AE41" s="335">
        <f t="shared" si="66"/>
        <v>0</v>
      </c>
      <c r="AF41" s="335">
        <f t="shared" si="67"/>
        <v>0</v>
      </c>
      <c r="AG41" s="335">
        <f t="shared" si="68"/>
        <v>1</v>
      </c>
      <c r="AH41" s="334">
        <f t="shared" si="70"/>
        <v>1</v>
      </c>
      <c r="AI41" s="334"/>
      <c r="AJ41" s="334">
        <v>1</v>
      </c>
      <c r="AK41" s="336">
        <v>1</v>
      </c>
    </row>
    <row r="42" spans="1:37">
      <c r="A42" s="149" t="s">
        <v>248</v>
      </c>
      <c r="B42" s="148"/>
      <c r="C42" s="148"/>
      <c r="D42" s="148"/>
      <c r="E42" s="148">
        <v>3</v>
      </c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>
        <f t="shared" si="71"/>
        <v>3</v>
      </c>
      <c r="R42" s="333"/>
      <c r="S42" s="333"/>
      <c r="T42" s="334">
        <f t="shared" si="69"/>
        <v>0</v>
      </c>
      <c r="U42" s="334">
        <f t="shared" si="56"/>
        <v>0</v>
      </c>
      <c r="V42" s="335">
        <f t="shared" si="57"/>
        <v>0</v>
      </c>
      <c r="W42" s="335">
        <f t="shared" si="58"/>
        <v>3</v>
      </c>
      <c r="X42" s="335">
        <f t="shared" si="59"/>
        <v>0</v>
      </c>
      <c r="Y42" s="335">
        <f t="shared" si="60"/>
        <v>0</v>
      </c>
      <c r="Z42" s="335">
        <f t="shared" si="61"/>
        <v>0</v>
      </c>
      <c r="AA42" s="335">
        <f t="shared" si="62"/>
        <v>0</v>
      </c>
      <c r="AB42" s="335">
        <f t="shared" si="63"/>
        <v>0</v>
      </c>
      <c r="AC42" s="335">
        <f t="shared" si="64"/>
        <v>0</v>
      </c>
      <c r="AD42" s="335">
        <f t="shared" si="65"/>
        <v>0</v>
      </c>
      <c r="AE42" s="335">
        <f t="shared" si="66"/>
        <v>0</v>
      </c>
      <c r="AF42" s="335">
        <f t="shared" si="67"/>
        <v>0</v>
      </c>
      <c r="AG42" s="335">
        <f t="shared" si="68"/>
        <v>0</v>
      </c>
      <c r="AH42" s="334">
        <f t="shared" si="70"/>
        <v>0</v>
      </c>
      <c r="AI42" s="334"/>
      <c r="AJ42" s="334"/>
      <c r="AK42" s="336"/>
    </row>
    <row r="43" spans="1:37">
      <c r="A43" s="149" t="s">
        <v>249</v>
      </c>
      <c r="B43" s="148"/>
      <c r="C43" s="148">
        <v>3</v>
      </c>
      <c r="D43" s="148">
        <v>8</v>
      </c>
      <c r="E43" s="148">
        <v>3</v>
      </c>
      <c r="F43" s="148">
        <v>5</v>
      </c>
      <c r="G43" s="148">
        <v>6</v>
      </c>
      <c r="H43" s="148"/>
      <c r="I43" s="148">
        <v>8</v>
      </c>
      <c r="J43" s="148">
        <v>19</v>
      </c>
      <c r="K43" s="148">
        <v>9</v>
      </c>
      <c r="L43" s="148">
        <v>2</v>
      </c>
      <c r="M43" s="148">
        <v>1</v>
      </c>
      <c r="N43" s="148">
        <v>4</v>
      </c>
      <c r="O43" s="148">
        <v>1</v>
      </c>
      <c r="P43" s="148">
        <v>14</v>
      </c>
      <c r="Q43" s="148">
        <f t="shared" si="71"/>
        <v>83</v>
      </c>
      <c r="R43" s="333" t="e">
        <f>'PPTO REDES ACUEDUCTO'!#REF!</f>
        <v>#REF!</v>
      </c>
      <c r="S43" s="333" t="e">
        <f>'PPTO REDES ACUEDUCTO'!#REF!</f>
        <v>#REF!</v>
      </c>
      <c r="T43" s="334">
        <f t="shared" si="69"/>
        <v>0</v>
      </c>
      <c r="U43" s="334">
        <f t="shared" si="56"/>
        <v>3</v>
      </c>
      <c r="V43" s="335">
        <f t="shared" si="57"/>
        <v>8</v>
      </c>
      <c r="W43" s="335">
        <f t="shared" si="58"/>
        <v>3</v>
      </c>
      <c r="X43" s="335">
        <f t="shared" si="59"/>
        <v>5</v>
      </c>
      <c r="Y43" s="335">
        <f t="shared" si="60"/>
        <v>6</v>
      </c>
      <c r="Z43" s="335">
        <f t="shared" si="61"/>
        <v>0</v>
      </c>
      <c r="AA43" s="335">
        <f t="shared" si="62"/>
        <v>8</v>
      </c>
      <c r="AB43" s="335">
        <f t="shared" si="63"/>
        <v>19</v>
      </c>
      <c r="AC43" s="335">
        <f t="shared" si="64"/>
        <v>9</v>
      </c>
      <c r="AD43" s="335">
        <f t="shared" si="65"/>
        <v>2</v>
      </c>
      <c r="AE43" s="335">
        <f t="shared" si="66"/>
        <v>1</v>
      </c>
      <c r="AF43" s="335">
        <f t="shared" si="67"/>
        <v>4</v>
      </c>
      <c r="AG43" s="335">
        <f t="shared" si="68"/>
        <v>1</v>
      </c>
      <c r="AH43" s="334">
        <f t="shared" si="70"/>
        <v>14</v>
      </c>
      <c r="AI43" s="334">
        <v>10</v>
      </c>
      <c r="AJ43" s="334">
        <v>9</v>
      </c>
      <c r="AK43" s="336">
        <v>6</v>
      </c>
    </row>
    <row r="44" spans="1:37">
      <c r="A44" s="149" t="s">
        <v>250</v>
      </c>
      <c r="B44" s="148"/>
      <c r="C44" s="148"/>
      <c r="D44" s="148">
        <v>4</v>
      </c>
      <c r="E44" s="148">
        <v>8</v>
      </c>
      <c r="F44" s="148"/>
      <c r="G44" s="148">
        <v>4</v>
      </c>
      <c r="H44" s="148"/>
      <c r="I44" s="148">
        <v>8</v>
      </c>
      <c r="J44" s="148">
        <v>4</v>
      </c>
      <c r="K44" s="148">
        <v>21</v>
      </c>
      <c r="L44" s="148">
        <v>8</v>
      </c>
      <c r="M44" s="148">
        <v>10</v>
      </c>
      <c r="N44" s="148">
        <v>8</v>
      </c>
      <c r="O44" s="148">
        <v>8</v>
      </c>
      <c r="P44" s="148">
        <v>7</v>
      </c>
      <c r="Q44" s="148">
        <f t="shared" si="71"/>
        <v>90</v>
      </c>
      <c r="R44" s="333" t="e">
        <f>'PPTO REDES ACUEDUCTO'!#REF!</f>
        <v>#REF!</v>
      </c>
      <c r="S44" s="333" t="e">
        <f>'PPTO REDES ACUEDUCTO'!#REF!</f>
        <v>#REF!</v>
      </c>
      <c r="T44" s="334">
        <f t="shared" si="69"/>
        <v>0</v>
      </c>
      <c r="U44" s="334">
        <f t="shared" si="56"/>
        <v>0</v>
      </c>
      <c r="V44" s="335">
        <f t="shared" si="57"/>
        <v>4</v>
      </c>
      <c r="W44" s="335">
        <f t="shared" si="58"/>
        <v>8</v>
      </c>
      <c r="X44" s="335">
        <f t="shared" si="59"/>
        <v>0</v>
      </c>
      <c r="Y44" s="335">
        <f t="shared" si="60"/>
        <v>4</v>
      </c>
      <c r="Z44" s="335">
        <f t="shared" si="61"/>
        <v>0</v>
      </c>
      <c r="AA44" s="335">
        <f t="shared" si="62"/>
        <v>8</v>
      </c>
      <c r="AB44" s="335">
        <f t="shared" si="63"/>
        <v>4</v>
      </c>
      <c r="AC44" s="335">
        <f t="shared" si="64"/>
        <v>21</v>
      </c>
      <c r="AD44" s="335">
        <f t="shared" si="65"/>
        <v>8</v>
      </c>
      <c r="AE44" s="335">
        <f t="shared" si="66"/>
        <v>10</v>
      </c>
      <c r="AF44" s="335">
        <f t="shared" si="67"/>
        <v>8</v>
      </c>
      <c r="AG44" s="335">
        <f t="shared" si="68"/>
        <v>8</v>
      </c>
      <c r="AH44" s="334">
        <f t="shared" si="70"/>
        <v>7</v>
      </c>
      <c r="AI44" s="334"/>
      <c r="AJ44" s="334">
        <v>8</v>
      </c>
      <c r="AK44" s="336">
        <v>3</v>
      </c>
    </row>
    <row r="45" spans="1:37">
      <c r="A45" s="149" t="s">
        <v>251</v>
      </c>
      <c r="B45" s="148">
        <v>12</v>
      </c>
      <c r="C45" s="148">
        <v>13</v>
      </c>
      <c r="D45" s="148">
        <v>9</v>
      </c>
      <c r="E45" s="148">
        <v>10</v>
      </c>
      <c r="F45" s="148"/>
      <c r="G45" s="148">
        <v>2</v>
      </c>
      <c r="H45" s="148"/>
      <c r="I45" s="148"/>
      <c r="J45" s="148"/>
      <c r="K45" s="148"/>
      <c r="L45" s="148"/>
      <c r="M45" s="148"/>
      <c r="N45" s="148"/>
      <c r="O45" s="148"/>
      <c r="P45" s="148"/>
      <c r="Q45" s="148">
        <f t="shared" si="71"/>
        <v>46</v>
      </c>
      <c r="R45" s="333" t="e">
        <f>'PPTO REDES ACUEDUCTO'!#REF!</f>
        <v>#REF!</v>
      </c>
      <c r="S45" s="333" t="e">
        <f>'PPTO REDES ACUEDUCTO'!#REF!</f>
        <v>#REF!</v>
      </c>
      <c r="T45" s="334">
        <f t="shared" si="69"/>
        <v>12</v>
      </c>
      <c r="U45" s="334">
        <f t="shared" si="56"/>
        <v>13</v>
      </c>
      <c r="V45" s="335">
        <f t="shared" si="57"/>
        <v>9</v>
      </c>
      <c r="W45" s="335">
        <f t="shared" si="58"/>
        <v>10</v>
      </c>
      <c r="X45" s="335">
        <f t="shared" si="59"/>
        <v>0</v>
      </c>
      <c r="Y45" s="335">
        <f t="shared" si="60"/>
        <v>2</v>
      </c>
      <c r="Z45" s="335">
        <f t="shared" si="61"/>
        <v>0</v>
      </c>
      <c r="AA45" s="335">
        <f t="shared" si="62"/>
        <v>0</v>
      </c>
      <c r="AB45" s="335">
        <f t="shared" si="63"/>
        <v>0</v>
      </c>
      <c r="AC45" s="335">
        <f t="shared" si="64"/>
        <v>0</v>
      </c>
      <c r="AD45" s="335">
        <f t="shared" si="65"/>
        <v>0</v>
      </c>
      <c r="AE45" s="335">
        <f t="shared" si="66"/>
        <v>0</v>
      </c>
      <c r="AF45" s="335">
        <f t="shared" si="67"/>
        <v>0</v>
      </c>
      <c r="AG45" s="335">
        <f t="shared" si="68"/>
        <v>0</v>
      </c>
      <c r="AH45" s="334">
        <f t="shared" si="70"/>
        <v>0</v>
      </c>
      <c r="AI45" s="334"/>
      <c r="AJ45" s="334"/>
      <c r="AK45" s="336"/>
    </row>
    <row r="46" spans="1:37">
      <c r="A46" s="149" t="s">
        <v>252</v>
      </c>
      <c r="B46" s="148">
        <v>1</v>
      </c>
      <c r="C46" s="148"/>
      <c r="D46" s="148">
        <v>1</v>
      </c>
      <c r="E46" s="148">
        <v>2</v>
      </c>
      <c r="F46" s="148"/>
      <c r="G46" s="148">
        <v>10</v>
      </c>
      <c r="H46" s="148"/>
      <c r="I46" s="148">
        <v>11</v>
      </c>
      <c r="J46" s="148">
        <v>13</v>
      </c>
      <c r="K46" s="148">
        <v>12</v>
      </c>
      <c r="L46" s="148">
        <v>9</v>
      </c>
      <c r="M46" s="148"/>
      <c r="N46" s="148">
        <v>10</v>
      </c>
      <c r="O46" s="148">
        <v>7</v>
      </c>
      <c r="P46" s="148">
        <v>23</v>
      </c>
      <c r="Q46" s="148">
        <f t="shared" si="71"/>
        <v>99</v>
      </c>
      <c r="R46" s="333" t="e">
        <f>'PPTO REDES ACUEDUCTO'!#REF!</f>
        <v>#REF!</v>
      </c>
      <c r="S46" s="333" t="e">
        <f>'PPTO REDES ACUEDUCTO'!#REF!</f>
        <v>#REF!</v>
      </c>
      <c r="T46" s="334">
        <f t="shared" si="69"/>
        <v>1</v>
      </c>
      <c r="U46" s="334">
        <f t="shared" si="56"/>
        <v>0</v>
      </c>
      <c r="V46" s="335">
        <f t="shared" si="57"/>
        <v>1</v>
      </c>
      <c r="W46" s="335">
        <f t="shared" si="58"/>
        <v>2</v>
      </c>
      <c r="X46" s="335">
        <f t="shared" si="59"/>
        <v>0</v>
      </c>
      <c r="Y46" s="335">
        <f t="shared" si="60"/>
        <v>10</v>
      </c>
      <c r="Z46" s="335">
        <f t="shared" si="61"/>
        <v>0</v>
      </c>
      <c r="AA46" s="335">
        <f t="shared" si="62"/>
        <v>11</v>
      </c>
      <c r="AB46" s="335">
        <f t="shared" si="63"/>
        <v>13</v>
      </c>
      <c r="AC46" s="335">
        <f t="shared" si="64"/>
        <v>12</v>
      </c>
      <c r="AD46" s="335">
        <f t="shared" si="65"/>
        <v>9</v>
      </c>
      <c r="AE46" s="335">
        <f t="shared" si="66"/>
        <v>0</v>
      </c>
      <c r="AF46" s="335">
        <f t="shared" si="67"/>
        <v>10</v>
      </c>
      <c r="AG46" s="335">
        <f t="shared" si="68"/>
        <v>7</v>
      </c>
      <c r="AH46" s="334">
        <f t="shared" si="70"/>
        <v>23</v>
      </c>
      <c r="AI46" s="334">
        <v>5</v>
      </c>
      <c r="AJ46" s="334">
        <v>8</v>
      </c>
      <c r="AK46" s="336"/>
    </row>
    <row r="47" spans="1:37">
      <c r="A47" s="149" t="s">
        <v>253</v>
      </c>
      <c r="B47" s="148"/>
      <c r="C47" s="148"/>
      <c r="D47" s="148">
        <v>3</v>
      </c>
      <c r="E47" s="148">
        <v>1</v>
      </c>
      <c r="F47" s="148"/>
      <c r="G47" s="148">
        <v>6</v>
      </c>
      <c r="H47" s="148"/>
      <c r="I47" s="148"/>
      <c r="J47" s="148"/>
      <c r="K47" s="148"/>
      <c r="L47" s="148"/>
      <c r="M47" s="148"/>
      <c r="N47" s="148"/>
      <c r="O47" s="148"/>
      <c r="P47" s="148"/>
      <c r="Q47" s="148">
        <f t="shared" si="71"/>
        <v>10</v>
      </c>
      <c r="R47" s="333" t="e">
        <f>'PPTO REDES ACUEDUCTO'!#REF!</f>
        <v>#REF!</v>
      </c>
      <c r="S47" s="333" t="e">
        <f>'PPTO REDES ACUEDUCTO'!#REF!</f>
        <v>#REF!</v>
      </c>
      <c r="T47" s="334">
        <f t="shared" si="69"/>
        <v>0</v>
      </c>
      <c r="U47" s="334">
        <f t="shared" si="56"/>
        <v>0</v>
      </c>
      <c r="V47" s="335">
        <f t="shared" si="57"/>
        <v>3</v>
      </c>
      <c r="W47" s="335">
        <f t="shared" si="58"/>
        <v>1</v>
      </c>
      <c r="X47" s="335">
        <f t="shared" si="59"/>
        <v>0</v>
      </c>
      <c r="Y47" s="335">
        <f t="shared" si="60"/>
        <v>6</v>
      </c>
      <c r="Z47" s="335">
        <f t="shared" si="61"/>
        <v>0</v>
      </c>
      <c r="AA47" s="335">
        <f t="shared" si="62"/>
        <v>0</v>
      </c>
      <c r="AB47" s="335">
        <f t="shared" si="63"/>
        <v>0</v>
      </c>
      <c r="AC47" s="335">
        <f t="shared" si="64"/>
        <v>0</v>
      </c>
      <c r="AD47" s="335">
        <f t="shared" si="65"/>
        <v>0</v>
      </c>
      <c r="AE47" s="335">
        <f t="shared" si="66"/>
        <v>0</v>
      </c>
      <c r="AF47" s="335">
        <f t="shared" si="67"/>
        <v>0</v>
      </c>
      <c r="AG47" s="335">
        <f t="shared" si="68"/>
        <v>0</v>
      </c>
      <c r="AH47" s="334">
        <f t="shared" si="70"/>
        <v>0</v>
      </c>
      <c r="AI47" s="334"/>
      <c r="AJ47" s="334"/>
      <c r="AK47" s="336"/>
    </row>
    <row r="48" spans="1:37">
      <c r="A48" s="149" t="s">
        <v>254</v>
      </c>
      <c r="B48" s="148">
        <v>6</v>
      </c>
      <c r="C48" s="148">
        <v>3</v>
      </c>
      <c r="D48" s="148">
        <v>1</v>
      </c>
      <c r="E48" s="148">
        <v>5</v>
      </c>
      <c r="F48" s="148"/>
      <c r="G48" s="148">
        <v>7</v>
      </c>
      <c r="H48" s="148"/>
      <c r="I48" s="148"/>
      <c r="J48" s="148"/>
      <c r="K48" s="148"/>
      <c r="L48" s="148"/>
      <c r="M48" s="148"/>
      <c r="N48" s="148"/>
      <c r="O48" s="148"/>
      <c r="P48" s="148"/>
      <c r="Q48" s="148">
        <f t="shared" si="71"/>
        <v>22</v>
      </c>
      <c r="R48" s="333" t="e">
        <f>'PPTO REDES ACUEDUCTO'!#REF!</f>
        <v>#REF!</v>
      </c>
      <c r="S48" s="333" t="e">
        <f>'PPTO REDES ACUEDUCTO'!#REF!</f>
        <v>#REF!</v>
      </c>
      <c r="T48" s="334">
        <f t="shared" si="69"/>
        <v>6</v>
      </c>
      <c r="U48" s="334">
        <f t="shared" si="56"/>
        <v>3</v>
      </c>
      <c r="V48" s="335">
        <f t="shared" si="57"/>
        <v>1</v>
      </c>
      <c r="W48" s="335">
        <f t="shared" si="58"/>
        <v>5</v>
      </c>
      <c r="X48" s="335">
        <f t="shared" si="59"/>
        <v>0</v>
      </c>
      <c r="Y48" s="335">
        <f t="shared" si="60"/>
        <v>7</v>
      </c>
      <c r="Z48" s="335">
        <f t="shared" si="61"/>
        <v>0</v>
      </c>
      <c r="AA48" s="335">
        <f t="shared" si="62"/>
        <v>0</v>
      </c>
      <c r="AB48" s="335">
        <f t="shared" si="63"/>
        <v>0</v>
      </c>
      <c r="AC48" s="335">
        <f t="shared" si="64"/>
        <v>0</v>
      </c>
      <c r="AD48" s="335">
        <f t="shared" si="65"/>
        <v>0</v>
      </c>
      <c r="AE48" s="335">
        <f t="shared" si="66"/>
        <v>0</v>
      </c>
      <c r="AF48" s="335">
        <f t="shared" si="67"/>
        <v>0</v>
      </c>
      <c r="AG48" s="335">
        <f t="shared" si="68"/>
        <v>0</v>
      </c>
      <c r="AH48" s="334">
        <f t="shared" si="70"/>
        <v>0</v>
      </c>
      <c r="AI48" s="334"/>
      <c r="AJ48" s="334"/>
      <c r="AK48" s="336"/>
    </row>
    <row r="49" spans="1:37">
      <c r="A49" s="147" t="s">
        <v>255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48">
        <f t="shared" si="71"/>
        <v>0</v>
      </c>
      <c r="R49" s="337"/>
      <c r="S49" s="337"/>
      <c r="T49" s="338">
        <f t="shared" si="69"/>
        <v>0</v>
      </c>
      <c r="U49" s="338">
        <f t="shared" si="56"/>
        <v>0</v>
      </c>
      <c r="V49" s="339">
        <f t="shared" si="57"/>
        <v>0</v>
      </c>
      <c r="W49" s="339">
        <f t="shared" si="58"/>
        <v>0</v>
      </c>
      <c r="X49" s="339">
        <f t="shared" si="59"/>
        <v>0</v>
      </c>
      <c r="Y49" s="339">
        <f t="shared" si="60"/>
        <v>0</v>
      </c>
      <c r="Z49" s="339">
        <f t="shared" si="61"/>
        <v>0</v>
      </c>
      <c r="AA49" s="339">
        <f t="shared" si="62"/>
        <v>0</v>
      </c>
      <c r="AB49" s="339">
        <f t="shared" si="63"/>
        <v>0</v>
      </c>
      <c r="AC49" s="339">
        <f t="shared" si="64"/>
        <v>0</v>
      </c>
      <c r="AD49" s="339">
        <f t="shared" si="65"/>
        <v>0</v>
      </c>
      <c r="AE49" s="339">
        <f t="shared" si="66"/>
        <v>0</v>
      </c>
      <c r="AF49" s="339">
        <f t="shared" si="67"/>
        <v>0</v>
      </c>
      <c r="AG49" s="339">
        <f t="shared" si="68"/>
        <v>0</v>
      </c>
      <c r="AH49" s="338">
        <f t="shared" si="70"/>
        <v>0</v>
      </c>
      <c r="AI49" s="338"/>
      <c r="AJ49" s="338"/>
      <c r="AK49" s="340"/>
    </row>
    <row r="50" spans="1:37">
      <c r="A50" s="149" t="s">
        <v>256</v>
      </c>
      <c r="B50" s="148"/>
      <c r="C50" s="148"/>
      <c r="D50" s="148"/>
      <c r="E50" s="148">
        <v>1</v>
      </c>
      <c r="F50" s="148"/>
      <c r="G50" s="148">
        <v>1</v>
      </c>
      <c r="H50" s="148"/>
      <c r="I50" s="148"/>
      <c r="J50" s="148">
        <v>5</v>
      </c>
      <c r="K50" s="148"/>
      <c r="L50" s="148"/>
      <c r="M50" s="148"/>
      <c r="N50" s="148">
        <v>1</v>
      </c>
      <c r="O50" s="148"/>
      <c r="P50" s="148"/>
      <c r="Q50" s="148">
        <f t="shared" si="71"/>
        <v>8</v>
      </c>
      <c r="R50" s="333" t="e">
        <f>'PPTO REDES ACUEDUCTO'!#REF!</f>
        <v>#REF!</v>
      </c>
      <c r="S50" s="333" t="e">
        <f>'PPTO REDES ACUEDUCTO'!#REF!</f>
        <v>#REF!</v>
      </c>
      <c r="T50" s="334">
        <f t="shared" si="69"/>
        <v>0</v>
      </c>
      <c r="U50" s="334">
        <f t="shared" si="56"/>
        <v>0</v>
      </c>
      <c r="V50" s="335">
        <f t="shared" si="57"/>
        <v>0</v>
      </c>
      <c r="W50" s="335">
        <f t="shared" si="58"/>
        <v>1</v>
      </c>
      <c r="X50" s="335">
        <f t="shared" si="59"/>
        <v>0</v>
      </c>
      <c r="Y50" s="335">
        <f t="shared" si="60"/>
        <v>1</v>
      </c>
      <c r="Z50" s="335">
        <f t="shared" si="61"/>
        <v>0</v>
      </c>
      <c r="AA50" s="335">
        <f t="shared" si="62"/>
        <v>0</v>
      </c>
      <c r="AB50" s="335">
        <f t="shared" si="63"/>
        <v>5</v>
      </c>
      <c r="AC50" s="335">
        <f t="shared" si="64"/>
        <v>0</v>
      </c>
      <c r="AD50" s="335">
        <f t="shared" si="65"/>
        <v>0</v>
      </c>
      <c r="AE50" s="335">
        <f t="shared" si="66"/>
        <v>0</v>
      </c>
      <c r="AF50" s="335">
        <f t="shared" si="67"/>
        <v>1</v>
      </c>
      <c r="AG50" s="335">
        <f t="shared" si="68"/>
        <v>0</v>
      </c>
      <c r="AH50" s="334">
        <f t="shared" si="70"/>
        <v>0</v>
      </c>
      <c r="AI50" s="334">
        <v>5</v>
      </c>
      <c r="AJ50" s="334"/>
      <c r="AK50" s="336"/>
    </row>
    <row r="51" spans="1:37">
      <c r="A51" s="149" t="s">
        <v>257</v>
      </c>
      <c r="B51" s="148"/>
      <c r="C51" s="148"/>
      <c r="D51" s="148"/>
      <c r="E51" s="148">
        <v>0</v>
      </c>
      <c r="F51" s="148"/>
      <c r="G51" s="148">
        <v>1</v>
      </c>
      <c r="H51" s="148"/>
      <c r="I51" s="148"/>
      <c r="J51" s="148"/>
      <c r="K51" s="148"/>
      <c r="L51" s="148">
        <v>1</v>
      </c>
      <c r="M51" s="148"/>
      <c r="N51" s="148">
        <v>3</v>
      </c>
      <c r="O51" s="148"/>
      <c r="P51" s="148"/>
      <c r="Q51" s="148">
        <f t="shared" si="71"/>
        <v>5</v>
      </c>
      <c r="R51" s="333" t="e">
        <f>'PPTO REDES ACUEDUCTO'!#REF!</f>
        <v>#REF!</v>
      </c>
      <c r="S51" s="333" t="e">
        <f>'PPTO REDES ACUEDUCTO'!#REF!</f>
        <v>#REF!</v>
      </c>
      <c r="T51" s="334">
        <f t="shared" si="69"/>
        <v>0</v>
      </c>
      <c r="U51" s="334">
        <f t="shared" si="56"/>
        <v>0</v>
      </c>
      <c r="V51" s="335">
        <f t="shared" si="57"/>
        <v>0</v>
      </c>
      <c r="W51" s="335">
        <f t="shared" si="58"/>
        <v>0</v>
      </c>
      <c r="X51" s="335">
        <f t="shared" si="59"/>
        <v>0</v>
      </c>
      <c r="Y51" s="335">
        <f t="shared" si="60"/>
        <v>1</v>
      </c>
      <c r="Z51" s="335">
        <f t="shared" si="61"/>
        <v>0</v>
      </c>
      <c r="AA51" s="335">
        <f t="shared" si="62"/>
        <v>0</v>
      </c>
      <c r="AB51" s="335">
        <f t="shared" si="63"/>
        <v>0</v>
      </c>
      <c r="AC51" s="335">
        <f t="shared" si="64"/>
        <v>0</v>
      </c>
      <c r="AD51" s="335">
        <f t="shared" si="65"/>
        <v>1</v>
      </c>
      <c r="AE51" s="335">
        <f t="shared" si="66"/>
        <v>0</v>
      </c>
      <c r="AF51" s="335">
        <f t="shared" si="67"/>
        <v>3</v>
      </c>
      <c r="AG51" s="335">
        <f t="shared" si="68"/>
        <v>0</v>
      </c>
      <c r="AH51" s="334">
        <f t="shared" si="70"/>
        <v>0</v>
      </c>
      <c r="AI51" s="334"/>
      <c r="AJ51" s="334">
        <v>2</v>
      </c>
      <c r="AK51" s="336"/>
    </row>
    <row r="52" spans="1:37">
      <c r="A52" s="149" t="s">
        <v>258</v>
      </c>
      <c r="B52" s="148"/>
      <c r="C52" s="148"/>
      <c r="D52" s="148">
        <v>3</v>
      </c>
      <c r="E52" s="148">
        <v>5</v>
      </c>
      <c r="F52" s="148"/>
      <c r="G52" s="148">
        <v>3</v>
      </c>
      <c r="H52" s="148"/>
      <c r="I52" s="148">
        <v>2</v>
      </c>
      <c r="J52" s="148"/>
      <c r="K52" s="148"/>
      <c r="L52" s="148"/>
      <c r="M52" s="148">
        <v>4</v>
      </c>
      <c r="N52" s="148">
        <v>3</v>
      </c>
      <c r="O52" s="148">
        <v>3</v>
      </c>
      <c r="P52" s="148">
        <v>1</v>
      </c>
      <c r="Q52" s="148">
        <f t="shared" si="71"/>
        <v>24</v>
      </c>
      <c r="R52" s="333" t="e">
        <f>'PPTO REDES ACUEDUCTO'!#REF!</f>
        <v>#REF!</v>
      </c>
      <c r="S52" s="333" t="e">
        <f>'PPTO REDES ACUEDUCTO'!#REF!</f>
        <v>#REF!</v>
      </c>
      <c r="T52" s="334">
        <f t="shared" si="69"/>
        <v>0</v>
      </c>
      <c r="U52" s="334">
        <f t="shared" si="56"/>
        <v>0</v>
      </c>
      <c r="V52" s="335">
        <f t="shared" si="57"/>
        <v>3</v>
      </c>
      <c r="W52" s="335">
        <f t="shared" si="58"/>
        <v>5</v>
      </c>
      <c r="X52" s="335">
        <f t="shared" si="59"/>
        <v>0</v>
      </c>
      <c r="Y52" s="335">
        <f t="shared" si="60"/>
        <v>3</v>
      </c>
      <c r="Z52" s="335">
        <f t="shared" si="61"/>
        <v>0</v>
      </c>
      <c r="AA52" s="335">
        <f t="shared" si="62"/>
        <v>2</v>
      </c>
      <c r="AB52" s="335">
        <f t="shared" si="63"/>
        <v>0</v>
      </c>
      <c r="AC52" s="335">
        <f t="shared" si="64"/>
        <v>0</v>
      </c>
      <c r="AD52" s="335">
        <f t="shared" si="65"/>
        <v>0</v>
      </c>
      <c r="AE52" s="335">
        <f t="shared" si="66"/>
        <v>4</v>
      </c>
      <c r="AF52" s="335">
        <f t="shared" si="67"/>
        <v>3</v>
      </c>
      <c r="AG52" s="335">
        <f t="shared" si="68"/>
        <v>3</v>
      </c>
      <c r="AH52" s="334">
        <f t="shared" si="70"/>
        <v>1</v>
      </c>
      <c r="AI52" s="334">
        <v>1</v>
      </c>
      <c r="AJ52" s="334">
        <v>3</v>
      </c>
      <c r="AK52" s="336">
        <v>1</v>
      </c>
    </row>
    <row r="53" spans="1:37">
      <c r="A53" s="149" t="s">
        <v>259</v>
      </c>
      <c r="B53" s="148"/>
      <c r="C53" s="148"/>
      <c r="D53" s="148">
        <v>3</v>
      </c>
      <c r="E53" s="148">
        <v>3</v>
      </c>
      <c r="F53" s="148"/>
      <c r="G53" s="148">
        <v>1</v>
      </c>
      <c r="H53" s="148"/>
      <c r="I53" s="148"/>
      <c r="J53" s="148"/>
      <c r="K53" s="148"/>
      <c r="L53" s="148"/>
      <c r="M53" s="148"/>
      <c r="N53" s="148">
        <v>3</v>
      </c>
      <c r="O53" s="148">
        <v>6</v>
      </c>
      <c r="P53" s="148"/>
      <c r="Q53" s="148">
        <f t="shared" si="71"/>
        <v>16</v>
      </c>
      <c r="R53" s="333" t="e">
        <f>'PPTO REDES ACUEDUCTO'!#REF!</f>
        <v>#REF!</v>
      </c>
      <c r="S53" s="333" t="e">
        <f>'PPTO REDES ACUEDUCTO'!#REF!</f>
        <v>#REF!</v>
      </c>
      <c r="T53" s="334">
        <f t="shared" si="69"/>
        <v>0</v>
      </c>
      <c r="U53" s="334">
        <f t="shared" si="56"/>
        <v>0</v>
      </c>
      <c r="V53" s="335">
        <f t="shared" si="57"/>
        <v>3</v>
      </c>
      <c r="W53" s="335">
        <f t="shared" si="58"/>
        <v>3</v>
      </c>
      <c r="X53" s="335">
        <f t="shared" si="59"/>
        <v>0</v>
      </c>
      <c r="Y53" s="335">
        <f t="shared" si="60"/>
        <v>1</v>
      </c>
      <c r="Z53" s="335">
        <f t="shared" si="61"/>
        <v>0</v>
      </c>
      <c r="AA53" s="335">
        <f t="shared" si="62"/>
        <v>0</v>
      </c>
      <c r="AB53" s="335">
        <f t="shared" si="63"/>
        <v>0</v>
      </c>
      <c r="AC53" s="335">
        <f t="shared" si="64"/>
        <v>0</v>
      </c>
      <c r="AD53" s="335">
        <f t="shared" si="65"/>
        <v>0</v>
      </c>
      <c r="AE53" s="335">
        <f t="shared" si="66"/>
        <v>0</v>
      </c>
      <c r="AF53" s="335">
        <f t="shared" si="67"/>
        <v>3</v>
      </c>
      <c r="AG53" s="335">
        <f t="shared" si="68"/>
        <v>6</v>
      </c>
      <c r="AH53" s="334">
        <f t="shared" si="70"/>
        <v>0</v>
      </c>
      <c r="AI53" s="334"/>
      <c r="AJ53" s="334"/>
      <c r="AK53" s="336">
        <v>1</v>
      </c>
    </row>
    <row r="54" spans="1:37">
      <c r="A54" s="149" t="s">
        <v>260</v>
      </c>
      <c r="B54" s="148"/>
      <c r="C54" s="148"/>
      <c r="D54" s="148">
        <v>8</v>
      </c>
      <c r="E54" s="148">
        <v>1</v>
      </c>
      <c r="F54" s="148"/>
      <c r="G54" s="148">
        <v>3</v>
      </c>
      <c r="H54" s="148"/>
      <c r="I54" s="148"/>
      <c r="J54" s="148">
        <v>10</v>
      </c>
      <c r="K54" s="148">
        <v>9</v>
      </c>
      <c r="L54" s="148">
        <v>1</v>
      </c>
      <c r="M54" s="148">
        <v>2</v>
      </c>
      <c r="N54" s="148">
        <v>4</v>
      </c>
      <c r="O54" s="148"/>
      <c r="P54" s="148"/>
      <c r="Q54" s="148">
        <f t="shared" si="71"/>
        <v>38</v>
      </c>
      <c r="R54" s="333" t="e">
        <f>'PPTO REDES ACUEDUCTO'!#REF!</f>
        <v>#REF!</v>
      </c>
      <c r="S54" s="333" t="e">
        <f>'PPTO REDES ACUEDUCTO'!#REF!</f>
        <v>#REF!</v>
      </c>
      <c r="T54" s="334">
        <f t="shared" si="69"/>
        <v>0</v>
      </c>
      <c r="U54" s="334">
        <f t="shared" si="56"/>
        <v>0</v>
      </c>
      <c r="V54" s="335">
        <f t="shared" si="57"/>
        <v>8</v>
      </c>
      <c r="W54" s="335">
        <f t="shared" si="58"/>
        <v>1</v>
      </c>
      <c r="X54" s="335">
        <f t="shared" si="59"/>
        <v>0</v>
      </c>
      <c r="Y54" s="335">
        <f t="shared" si="60"/>
        <v>3</v>
      </c>
      <c r="Z54" s="335">
        <f t="shared" si="61"/>
        <v>0</v>
      </c>
      <c r="AA54" s="335">
        <f t="shared" si="62"/>
        <v>0</v>
      </c>
      <c r="AB54" s="335">
        <f t="shared" si="63"/>
        <v>10</v>
      </c>
      <c r="AC54" s="335">
        <f t="shared" si="64"/>
        <v>9</v>
      </c>
      <c r="AD54" s="335">
        <f t="shared" si="65"/>
        <v>1</v>
      </c>
      <c r="AE54" s="335">
        <f t="shared" si="66"/>
        <v>2</v>
      </c>
      <c r="AF54" s="335">
        <f t="shared" si="67"/>
        <v>4</v>
      </c>
      <c r="AG54" s="335">
        <f t="shared" si="68"/>
        <v>0</v>
      </c>
      <c r="AH54" s="334">
        <f t="shared" si="70"/>
        <v>0</v>
      </c>
      <c r="AI54" s="334"/>
      <c r="AJ54" s="334"/>
      <c r="AK54" s="336"/>
    </row>
    <row r="55" spans="1:37">
      <c r="A55" s="149" t="s">
        <v>261</v>
      </c>
      <c r="B55" s="148"/>
      <c r="C55" s="148">
        <v>4</v>
      </c>
      <c r="D55" s="148">
        <v>14</v>
      </c>
      <c r="E55" s="148">
        <v>8</v>
      </c>
      <c r="F55" s="148">
        <v>1</v>
      </c>
      <c r="G55" s="148">
        <v>6</v>
      </c>
      <c r="H55" s="148"/>
      <c r="I55" s="148"/>
      <c r="J55" s="148">
        <v>4</v>
      </c>
      <c r="K55" s="148">
        <v>6</v>
      </c>
      <c r="L55" s="148">
        <v>1</v>
      </c>
      <c r="M55" s="148">
        <v>5</v>
      </c>
      <c r="N55" s="148">
        <v>4</v>
      </c>
      <c r="O55" s="148"/>
      <c r="P55" s="148">
        <v>6</v>
      </c>
      <c r="Q55" s="148">
        <f t="shared" si="71"/>
        <v>59</v>
      </c>
      <c r="R55" s="333" t="e">
        <f>'PPTO REDES ACUEDUCTO'!#REF!</f>
        <v>#REF!</v>
      </c>
      <c r="S55" s="333" t="e">
        <f>'PPTO REDES ACUEDUCTO'!#REF!</f>
        <v>#REF!</v>
      </c>
      <c r="T55" s="334">
        <f t="shared" si="69"/>
        <v>0</v>
      </c>
      <c r="U55" s="334">
        <f t="shared" si="56"/>
        <v>4</v>
      </c>
      <c r="V55" s="335">
        <f t="shared" si="57"/>
        <v>14</v>
      </c>
      <c r="W55" s="335">
        <f t="shared" si="58"/>
        <v>8</v>
      </c>
      <c r="X55" s="335">
        <f t="shared" si="59"/>
        <v>1</v>
      </c>
      <c r="Y55" s="335">
        <f t="shared" si="60"/>
        <v>6</v>
      </c>
      <c r="Z55" s="335">
        <f t="shared" si="61"/>
        <v>0</v>
      </c>
      <c r="AA55" s="335">
        <f t="shared" si="62"/>
        <v>0</v>
      </c>
      <c r="AB55" s="335">
        <f t="shared" si="63"/>
        <v>4</v>
      </c>
      <c r="AC55" s="335">
        <f t="shared" si="64"/>
        <v>6</v>
      </c>
      <c r="AD55" s="335">
        <f t="shared" si="65"/>
        <v>1</v>
      </c>
      <c r="AE55" s="335">
        <f t="shared" si="66"/>
        <v>5</v>
      </c>
      <c r="AF55" s="335">
        <f t="shared" si="67"/>
        <v>4</v>
      </c>
      <c r="AG55" s="335">
        <f t="shared" si="68"/>
        <v>0</v>
      </c>
      <c r="AH55" s="334">
        <f t="shared" si="70"/>
        <v>6</v>
      </c>
      <c r="AI55" s="334"/>
      <c r="AJ55" s="334"/>
      <c r="AK55" s="336">
        <v>4</v>
      </c>
    </row>
    <row r="56" spans="1:37">
      <c r="A56" s="149" t="s">
        <v>262</v>
      </c>
      <c r="B56" s="148">
        <v>2</v>
      </c>
      <c r="C56" s="148">
        <v>13</v>
      </c>
      <c r="D56" s="148">
        <v>12</v>
      </c>
      <c r="E56" s="148">
        <v>11</v>
      </c>
      <c r="F56" s="148"/>
      <c r="G56" s="148">
        <v>5</v>
      </c>
      <c r="H56" s="148"/>
      <c r="I56" s="148">
        <v>1</v>
      </c>
      <c r="J56" s="148">
        <v>1</v>
      </c>
      <c r="K56" s="148">
        <v>9</v>
      </c>
      <c r="L56" s="148">
        <v>4</v>
      </c>
      <c r="M56" s="148">
        <v>2</v>
      </c>
      <c r="N56" s="148">
        <v>5</v>
      </c>
      <c r="O56" s="148">
        <v>1</v>
      </c>
      <c r="P56" s="148"/>
      <c r="Q56" s="148">
        <f t="shared" si="71"/>
        <v>66</v>
      </c>
      <c r="R56" s="333" t="e">
        <f>'PPTO REDES ACUEDUCTO'!#REF!</f>
        <v>#REF!</v>
      </c>
      <c r="S56" s="333" t="e">
        <f>'PPTO REDES ACUEDUCTO'!#REF!</f>
        <v>#REF!</v>
      </c>
      <c r="T56" s="334">
        <f t="shared" si="69"/>
        <v>2</v>
      </c>
      <c r="U56" s="334">
        <f t="shared" si="56"/>
        <v>13</v>
      </c>
      <c r="V56" s="335">
        <f t="shared" si="57"/>
        <v>12</v>
      </c>
      <c r="W56" s="335">
        <f t="shared" si="58"/>
        <v>11</v>
      </c>
      <c r="X56" s="335">
        <f t="shared" si="59"/>
        <v>0</v>
      </c>
      <c r="Y56" s="335">
        <f t="shared" si="60"/>
        <v>5</v>
      </c>
      <c r="Z56" s="335">
        <f t="shared" si="61"/>
        <v>0</v>
      </c>
      <c r="AA56" s="335">
        <f t="shared" si="62"/>
        <v>1</v>
      </c>
      <c r="AB56" s="335">
        <f t="shared" si="63"/>
        <v>1</v>
      </c>
      <c r="AC56" s="335">
        <f t="shared" si="64"/>
        <v>9</v>
      </c>
      <c r="AD56" s="335">
        <f t="shared" si="65"/>
        <v>4</v>
      </c>
      <c r="AE56" s="335">
        <f t="shared" si="66"/>
        <v>2</v>
      </c>
      <c r="AF56" s="335">
        <f t="shared" si="67"/>
        <v>5</v>
      </c>
      <c r="AG56" s="335">
        <f t="shared" si="68"/>
        <v>1</v>
      </c>
      <c r="AH56" s="334">
        <f t="shared" si="70"/>
        <v>0</v>
      </c>
      <c r="AI56" s="334">
        <v>4</v>
      </c>
      <c r="AJ56" s="334">
        <v>1</v>
      </c>
      <c r="AK56" s="336">
        <v>9</v>
      </c>
    </row>
    <row r="57" spans="1:37">
      <c r="A57" s="149" t="s">
        <v>263</v>
      </c>
      <c r="B57" s="148"/>
      <c r="C57" s="148">
        <v>1</v>
      </c>
      <c r="D57" s="148">
        <v>1</v>
      </c>
      <c r="E57" s="148">
        <v>6</v>
      </c>
      <c r="F57" s="148"/>
      <c r="G57" s="148">
        <v>1</v>
      </c>
      <c r="H57" s="148"/>
      <c r="I57" s="148"/>
      <c r="J57" s="148">
        <v>1</v>
      </c>
      <c r="K57" s="148">
        <v>1</v>
      </c>
      <c r="L57" s="148">
        <v>2</v>
      </c>
      <c r="M57" s="148">
        <v>4</v>
      </c>
      <c r="N57" s="148">
        <v>10</v>
      </c>
      <c r="O57" s="148"/>
      <c r="P57" s="148"/>
      <c r="Q57" s="148">
        <f t="shared" si="71"/>
        <v>27</v>
      </c>
      <c r="R57" s="333" t="e">
        <f>'PPTO REDES ACUEDUCTO'!#REF!</f>
        <v>#REF!</v>
      </c>
      <c r="S57" s="333" t="e">
        <f>'PPTO REDES ACUEDUCTO'!#REF!</f>
        <v>#REF!</v>
      </c>
      <c r="T57" s="334">
        <f t="shared" si="69"/>
        <v>0</v>
      </c>
      <c r="U57" s="334">
        <f t="shared" si="56"/>
        <v>1</v>
      </c>
      <c r="V57" s="335">
        <f t="shared" si="57"/>
        <v>1</v>
      </c>
      <c r="W57" s="335">
        <f t="shared" si="58"/>
        <v>6</v>
      </c>
      <c r="X57" s="335">
        <f t="shared" si="59"/>
        <v>0</v>
      </c>
      <c r="Y57" s="335">
        <f t="shared" si="60"/>
        <v>1</v>
      </c>
      <c r="Z57" s="335">
        <f t="shared" si="61"/>
        <v>0</v>
      </c>
      <c r="AA57" s="335">
        <f t="shared" si="62"/>
        <v>0</v>
      </c>
      <c r="AB57" s="335">
        <f t="shared" si="63"/>
        <v>1</v>
      </c>
      <c r="AC57" s="335">
        <f t="shared" si="64"/>
        <v>1</v>
      </c>
      <c r="AD57" s="335">
        <f t="shared" si="65"/>
        <v>2</v>
      </c>
      <c r="AE57" s="335">
        <f t="shared" si="66"/>
        <v>4</v>
      </c>
      <c r="AF57" s="335">
        <f t="shared" si="67"/>
        <v>10</v>
      </c>
      <c r="AG57" s="335">
        <f t="shared" si="68"/>
        <v>0</v>
      </c>
      <c r="AH57" s="334">
        <f t="shared" si="70"/>
        <v>0</v>
      </c>
      <c r="AI57" s="334">
        <v>4</v>
      </c>
      <c r="AJ57" s="334">
        <v>1</v>
      </c>
      <c r="AK57" s="336">
        <v>3</v>
      </c>
    </row>
    <row r="58" spans="1:37">
      <c r="A58" s="149" t="s">
        <v>264</v>
      </c>
      <c r="B58" s="148"/>
      <c r="C58" s="148"/>
      <c r="D58" s="148">
        <v>2</v>
      </c>
      <c r="E58" s="148"/>
      <c r="F58" s="148"/>
      <c r="G58" s="148">
        <v>3</v>
      </c>
      <c r="H58" s="148"/>
      <c r="I58" s="148">
        <v>6</v>
      </c>
      <c r="J58" s="148">
        <v>4</v>
      </c>
      <c r="K58" s="148">
        <v>4</v>
      </c>
      <c r="L58" s="148">
        <v>3</v>
      </c>
      <c r="M58" s="148">
        <v>2</v>
      </c>
      <c r="N58" s="148">
        <v>4</v>
      </c>
      <c r="O58" s="148">
        <v>5</v>
      </c>
      <c r="P58" s="148">
        <v>7</v>
      </c>
      <c r="Q58" s="148">
        <f t="shared" si="71"/>
        <v>40</v>
      </c>
      <c r="R58" s="333" t="e">
        <f>'PPTO REDES ACUEDUCTO'!#REF!</f>
        <v>#REF!</v>
      </c>
      <c r="S58" s="333" t="e">
        <f>'PPTO REDES ACUEDUCTO'!#REF!</f>
        <v>#REF!</v>
      </c>
      <c r="T58" s="334">
        <f t="shared" si="69"/>
        <v>0</v>
      </c>
      <c r="U58" s="334">
        <f t="shared" si="56"/>
        <v>0</v>
      </c>
      <c r="V58" s="335">
        <f t="shared" si="57"/>
        <v>2</v>
      </c>
      <c r="W58" s="335">
        <f t="shared" si="58"/>
        <v>0</v>
      </c>
      <c r="X58" s="335">
        <f t="shared" si="59"/>
        <v>0</v>
      </c>
      <c r="Y58" s="335">
        <f t="shared" si="60"/>
        <v>3</v>
      </c>
      <c r="Z58" s="335">
        <f t="shared" si="61"/>
        <v>0</v>
      </c>
      <c r="AA58" s="335">
        <f t="shared" si="62"/>
        <v>6</v>
      </c>
      <c r="AB58" s="335">
        <f t="shared" si="63"/>
        <v>4</v>
      </c>
      <c r="AC58" s="335">
        <f t="shared" si="64"/>
        <v>4</v>
      </c>
      <c r="AD58" s="335">
        <f t="shared" si="65"/>
        <v>3</v>
      </c>
      <c r="AE58" s="335">
        <f t="shared" si="66"/>
        <v>2</v>
      </c>
      <c r="AF58" s="335">
        <f t="shared" si="67"/>
        <v>4</v>
      </c>
      <c r="AG58" s="335">
        <f t="shared" si="68"/>
        <v>5</v>
      </c>
      <c r="AH58" s="334">
        <f t="shared" si="70"/>
        <v>7</v>
      </c>
      <c r="AI58" s="334">
        <v>7</v>
      </c>
      <c r="AJ58" s="334">
        <v>7</v>
      </c>
      <c r="AK58" s="336">
        <v>8</v>
      </c>
    </row>
    <row r="59" spans="1:37">
      <c r="A59" s="149" t="s">
        <v>265</v>
      </c>
      <c r="B59" s="148"/>
      <c r="C59" s="148"/>
      <c r="D59" s="148">
        <v>1</v>
      </c>
      <c r="E59" s="148">
        <v>4</v>
      </c>
      <c r="F59" s="148"/>
      <c r="G59" s="148">
        <v>10</v>
      </c>
      <c r="H59" s="148"/>
      <c r="I59" s="148"/>
      <c r="J59" s="148">
        <v>7</v>
      </c>
      <c r="K59" s="148">
        <v>7</v>
      </c>
      <c r="L59" s="148">
        <v>1</v>
      </c>
      <c r="M59" s="148">
        <v>2</v>
      </c>
      <c r="N59" s="148">
        <v>4</v>
      </c>
      <c r="O59" s="148">
        <v>2</v>
      </c>
      <c r="P59" s="148">
        <v>5</v>
      </c>
      <c r="Q59" s="148">
        <f t="shared" si="71"/>
        <v>43</v>
      </c>
      <c r="R59" s="333" t="e">
        <f>'PPTO REDES ACUEDUCTO'!#REF!</f>
        <v>#REF!</v>
      </c>
      <c r="S59" s="333" t="e">
        <f>'PPTO REDES ACUEDUCTO'!#REF!</f>
        <v>#REF!</v>
      </c>
      <c r="T59" s="334">
        <f t="shared" si="69"/>
        <v>0</v>
      </c>
      <c r="U59" s="334">
        <f t="shared" si="56"/>
        <v>0</v>
      </c>
      <c r="V59" s="335">
        <f t="shared" si="57"/>
        <v>1</v>
      </c>
      <c r="W59" s="335">
        <f t="shared" si="58"/>
        <v>4</v>
      </c>
      <c r="X59" s="335">
        <f t="shared" si="59"/>
        <v>0</v>
      </c>
      <c r="Y59" s="335">
        <f t="shared" si="60"/>
        <v>10</v>
      </c>
      <c r="Z59" s="335">
        <f t="shared" si="61"/>
        <v>0</v>
      </c>
      <c r="AA59" s="335">
        <f t="shared" si="62"/>
        <v>0</v>
      </c>
      <c r="AB59" s="335">
        <f t="shared" si="63"/>
        <v>7</v>
      </c>
      <c r="AC59" s="335">
        <f t="shared" si="64"/>
        <v>7</v>
      </c>
      <c r="AD59" s="335">
        <f t="shared" si="65"/>
        <v>1</v>
      </c>
      <c r="AE59" s="335">
        <f t="shared" si="66"/>
        <v>2</v>
      </c>
      <c r="AF59" s="335">
        <f t="shared" si="67"/>
        <v>4</v>
      </c>
      <c r="AG59" s="335">
        <f t="shared" si="68"/>
        <v>2</v>
      </c>
      <c r="AH59" s="334">
        <f t="shared" si="70"/>
        <v>5</v>
      </c>
      <c r="AI59" s="334"/>
      <c r="AJ59" s="334">
        <v>2</v>
      </c>
      <c r="AK59" s="336">
        <v>5</v>
      </c>
    </row>
    <row r="60" spans="1:37">
      <c r="A60" s="149" t="s">
        <v>266</v>
      </c>
      <c r="B60" s="148">
        <v>3</v>
      </c>
      <c r="C60" s="148">
        <v>1</v>
      </c>
      <c r="D60" s="148">
        <v>2</v>
      </c>
      <c r="E60" s="148"/>
      <c r="F60" s="148"/>
      <c r="G60" s="148">
        <v>4</v>
      </c>
      <c r="H60" s="148"/>
      <c r="I60" s="148"/>
      <c r="J60" s="148">
        <v>4</v>
      </c>
      <c r="K60" s="148">
        <v>3</v>
      </c>
      <c r="L60" s="148">
        <v>4</v>
      </c>
      <c r="M60" s="148">
        <v>9</v>
      </c>
      <c r="N60" s="148">
        <v>4</v>
      </c>
      <c r="O60" s="148">
        <v>2</v>
      </c>
      <c r="P60" s="148">
        <v>8</v>
      </c>
      <c r="Q60" s="148">
        <f t="shared" si="71"/>
        <v>44</v>
      </c>
      <c r="R60" s="333" t="e">
        <f>'PPTO REDES ACUEDUCTO'!#REF!</f>
        <v>#REF!</v>
      </c>
      <c r="S60" s="333" t="e">
        <f>'PPTO REDES ACUEDUCTO'!#REF!</f>
        <v>#REF!</v>
      </c>
      <c r="T60" s="334">
        <f t="shared" si="69"/>
        <v>3</v>
      </c>
      <c r="U60" s="334">
        <f t="shared" si="56"/>
        <v>1</v>
      </c>
      <c r="V60" s="335">
        <f t="shared" si="57"/>
        <v>2</v>
      </c>
      <c r="W60" s="335">
        <f t="shared" si="58"/>
        <v>0</v>
      </c>
      <c r="X60" s="335">
        <f t="shared" si="59"/>
        <v>0</v>
      </c>
      <c r="Y60" s="335">
        <f t="shared" si="60"/>
        <v>4</v>
      </c>
      <c r="Z60" s="335">
        <f t="shared" si="61"/>
        <v>0</v>
      </c>
      <c r="AA60" s="335">
        <f t="shared" si="62"/>
        <v>0</v>
      </c>
      <c r="AB60" s="335">
        <f t="shared" si="63"/>
        <v>4</v>
      </c>
      <c r="AC60" s="335">
        <f t="shared" si="64"/>
        <v>3</v>
      </c>
      <c r="AD60" s="335">
        <f t="shared" si="65"/>
        <v>4</v>
      </c>
      <c r="AE60" s="335">
        <f t="shared" si="66"/>
        <v>9</v>
      </c>
      <c r="AF60" s="335">
        <f t="shared" si="67"/>
        <v>4</v>
      </c>
      <c r="AG60" s="335">
        <f t="shared" si="68"/>
        <v>2</v>
      </c>
      <c r="AH60" s="334">
        <f t="shared" si="70"/>
        <v>8</v>
      </c>
      <c r="AI60" s="334">
        <v>4</v>
      </c>
      <c r="AJ60" s="334">
        <v>7</v>
      </c>
      <c r="AK60" s="336">
        <v>17</v>
      </c>
    </row>
    <row r="61" spans="1:37">
      <c r="A61" s="149" t="s">
        <v>267</v>
      </c>
      <c r="B61" s="148">
        <v>1</v>
      </c>
      <c r="C61" s="148">
        <v>5</v>
      </c>
      <c r="D61" s="148">
        <v>1</v>
      </c>
      <c r="E61" s="148">
        <v>1</v>
      </c>
      <c r="F61" s="148"/>
      <c r="G61" s="148"/>
      <c r="H61" s="148"/>
      <c r="I61" s="148"/>
      <c r="J61" s="148">
        <v>2</v>
      </c>
      <c r="K61" s="148"/>
      <c r="L61" s="148"/>
      <c r="M61" s="148">
        <v>2</v>
      </c>
      <c r="N61" s="148">
        <v>3</v>
      </c>
      <c r="O61" s="148">
        <v>2</v>
      </c>
      <c r="P61" s="148">
        <v>1</v>
      </c>
      <c r="Q61" s="148">
        <f t="shared" si="71"/>
        <v>18</v>
      </c>
      <c r="R61" s="333" t="e">
        <f>'PPTO REDES ACUEDUCTO'!#REF!</f>
        <v>#REF!</v>
      </c>
      <c r="S61" s="333" t="e">
        <f>'PPTO REDES ACUEDUCTO'!#REF!</f>
        <v>#REF!</v>
      </c>
      <c r="T61" s="334">
        <f t="shared" si="69"/>
        <v>1</v>
      </c>
      <c r="U61" s="334">
        <f t="shared" si="56"/>
        <v>5</v>
      </c>
      <c r="V61" s="335">
        <f t="shared" si="57"/>
        <v>1</v>
      </c>
      <c r="W61" s="335">
        <f t="shared" si="58"/>
        <v>1</v>
      </c>
      <c r="X61" s="335">
        <f t="shared" si="59"/>
        <v>0</v>
      </c>
      <c r="Y61" s="335">
        <f t="shared" si="60"/>
        <v>0</v>
      </c>
      <c r="Z61" s="335">
        <f t="shared" si="61"/>
        <v>0</v>
      </c>
      <c r="AA61" s="335">
        <f t="shared" si="62"/>
        <v>0</v>
      </c>
      <c r="AB61" s="335">
        <f t="shared" si="63"/>
        <v>2</v>
      </c>
      <c r="AC61" s="335">
        <f t="shared" si="64"/>
        <v>0</v>
      </c>
      <c r="AD61" s="335">
        <f t="shared" si="65"/>
        <v>0</v>
      </c>
      <c r="AE61" s="335">
        <f t="shared" si="66"/>
        <v>2</v>
      </c>
      <c r="AF61" s="335">
        <f t="shared" si="67"/>
        <v>3</v>
      </c>
      <c r="AG61" s="335">
        <f t="shared" si="68"/>
        <v>2</v>
      </c>
      <c r="AH61" s="334">
        <f t="shared" si="70"/>
        <v>1</v>
      </c>
      <c r="AI61" s="334">
        <v>10</v>
      </c>
      <c r="AJ61" s="334">
        <v>9</v>
      </c>
      <c r="AK61" s="336">
        <v>9</v>
      </c>
    </row>
    <row r="62" spans="1:37">
      <c r="A62" s="149" t="s">
        <v>268</v>
      </c>
      <c r="B62" s="148"/>
      <c r="C62" s="148"/>
      <c r="D62" s="148">
        <v>6</v>
      </c>
      <c r="E62" s="148">
        <v>10</v>
      </c>
      <c r="F62" s="148"/>
      <c r="G62" s="148">
        <v>9</v>
      </c>
      <c r="H62" s="148"/>
      <c r="I62" s="148"/>
      <c r="J62" s="148"/>
      <c r="K62" s="148"/>
      <c r="L62" s="148"/>
      <c r="M62" s="148"/>
      <c r="N62" s="148"/>
      <c r="O62" s="148"/>
      <c r="P62" s="148"/>
      <c r="Q62" s="148">
        <f t="shared" si="71"/>
        <v>25</v>
      </c>
      <c r="R62" s="333" t="e">
        <f>'PPTO REDES ACUEDUCTO'!#REF!</f>
        <v>#REF!</v>
      </c>
      <c r="S62" s="333" t="e">
        <f>'PPTO REDES ACUEDUCTO'!#REF!</f>
        <v>#REF!</v>
      </c>
      <c r="T62" s="334">
        <f t="shared" si="69"/>
        <v>0</v>
      </c>
      <c r="U62" s="334">
        <f t="shared" si="56"/>
        <v>0</v>
      </c>
      <c r="V62" s="335">
        <f t="shared" si="57"/>
        <v>6</v>
      </c>
      <c r="W62" s="335">
        <f t="shared" si="58"/>
        <v>10</v>
      </c>
      <c r="X62" s="335">
        <f t="shared" si="59"/>
        <v>0</v>
      </c>
      <c r="Y62" s="335">
        <f t="shared" si="60"/>
        <v>9</v>
      </c>
      <c r="Z62" s="335">
        <f t="shared" si="61"/>
        <v>0</v>
      </c>
      <c r="AA62" s="335">
        <f t="shared" si="62"/>
        <v>0</v>
      </c>
      <c r="AB62" s="335">
        <f t="shared" si="63"/>
        <v>0</v>
      </c>
      <c r="AC62" s="335">
        <f t="shared" si="64"/>
        <v>0</v>
      </c>
      <c r="AD62" s="335">
        <f t="shared" si="65"/>
        <v>0</v>
      </c>
      <c r="AE62" s="335">
        <f t="shared" si="66"/>
        <v>0</v>
      </c>
      <c r="AF62" s="335">
        <f t="shared" si="67"/>
        <v>0</v>
      </c>
      <c r="AG62" s="335">
        <f t="shared" si="68"/>
        <v>0</v>
      </c>
      <c r="AH62" s="334">
        <f t="shared" si="70"/>
        <v>0</v>
      </c>
      <c r="AI62" s="334"/>
      <c r="AJ62" s="334"/>
      <c r="AK62" s="336"/>
    </row>
    <row r="63" spans="1:37">
      <c r="A63" s="149" t="s">
        <v>269</v>
      </c>
      <c r="B63" s="148">
        <v>3</v>
      </c>
      <c r="C63" s="148">
        <v>4</v>
      </c>
      <c r="D63" s="148">
        <v>2</v>
      </c>
      <c r="E63" s="148">
        <v>11</v>
      </c>
      <c r="F63" s="148"/>
      <c r="G63" s="148">
        <v>11</v>
      </c>
      <c r="H63" s="148"/>
      <c r="I63" s="148"/>
      <c r="J63" s="148">
        <v>6</v>
      </c>
      <c r="K63" s="148"/>
      <c r="L63" s="148"/>
      <c r="M63" s="148"/>
      <c r="N63" s="148"/>
      <c r="O63" s="148"/>
      <c r="P63" s="148"/>
      <c r="Q63" s="148">
        <f t="shared" si="71"/>
        <v>37</v>
      </c>
      <c r="R63" s="333" t="e">
        <f>'PPTO REDES ACUEDUCTO'!#REF!</f>
        <v>#REF!</v>
      </c>
      <c r="S63" s="333" t="e">
        <f>'PPTO REDES ACUEDUCTO'!#REF!</f>
        <v>#REF!</v>
      </c>
      <c r="T63" s="334">
        <f t="shared" si="69"/>
        <v>3</v>
      </c>
      <c r="U63" s="334">
        <f t="shared" si="56"/>
        <v>4</v>
      </c>
      <c r="V63" s="335">
        <f t="shared" si="57"/>
        <v>2</v>
      </c>
      <c r="W63" s="335">
        <f t="shared" si="58"/>
        <v>11</v>
      </c>
      <c r="X63" s="335">
        <f t="shared" si="59"/>
        <v>0</v>
      </c>
      <c r="Y63" s="335">
        <f t="shared" si="60"/>
        <v>11</v>
      </c>
      <c r="Z63" s="335">
        <f t="shared" si="61"/>
        <v>0</v>
      </c>
      <c r="AA63" s="335">
        <f t="shared" si="62"/>
        <v>0</v>
      </c>
      <c r="AB63" s="335">
        <f t="shared" si="63"/>
        <v>6</v>
      </c>
      <c r="AC63" s="335">
        <f t="shared" si="64"/>
        <v>0</v>
      </c>
      <c r="AD63" s="335">
        <f t="shared" si="65"/>
        <v>0</v>
      </c>
      <c r="AE63" s="335">
        <f t="shared" si="66"/>
        <v>0</v>
      </c>
      <c r="AF63" s="335">
        <f t="shared" si="67"/>
        <v>0</v>
      </c>
      <c r="AG63" s="335">
        <f t="shared" si="68"/>
        <v>0</v>
      </c>
      <c r="AH63" s="334">
        <f t="shared" si="70"/>
        <v>0</v>
      </c>
      <c r="AI63" s="334"/>
      <c r="AJ63" s="334"/>
      <c r="AK63" s="336"/>
    </row>
    <row r="64" spans="1:37">
      <c r="A64" s="149" t="s">
        <v>270</v>
      </c>
      <c r="B64" s="148">
        <v>8</v>
      </c>
      <c r="C64" s="148">
        <v>5</v>
      </c>
      <c r="D64" s="148">
        <v>2</v>
      </c>
      <c r="E64" s="148">
        <v>11</v>
      </c>
      <c r="F64" s="148"/>
      <c r="G64" s="148">
        <v>9</v>
      </c>
      <c r="H64" s="148"/>
      <c r="I64" s="148"/>
      <c r="J64" s="148">
        <v>8</v>
      </c>
      <c r="K64" s="148"/>
      <c r="L64" s="148"/>
      <c r="M64" s="148"/>
      <c r="N64" s="148"/>
      <c r="O64" s="148"/>
      <c r="P64" s="148"/>
      <c r="Q64" s="148">
        <f t="shared" si="71"/>
        <v>43</v>
      </c>
      <c r="R64" s="333" t="e">
        <f>'PPTO REDES ACUEDUCTO'!#REF!</f>
        <v>#REF!</v>
      </c>
      <c r="S64" s="333" t="e">
        <f>'PPTO REDES ACUEDUCTO'!#REF!</f>
        <v>#REF!</v>
      </c>
      <c r="T64" s="334">
        <f t="shared" si="69"/>
        <v>8</v>
      </c>
      <c r="U64" s="334">
        <f t="shared" si="56"/>
        <v>5</v>
      </c>
      <c r="V64" s="335">
        <f t="shared" si="57"/>
        <v>2</v>
      </c>
      <c r="W64" s="335">
        <f t="shared" si="58"/>
        <v>11</v>
      </c>
      <c r="X64" s="335">
        <f t="shared" si="59"/>
        <v>0</v>
      </c>
      <c r="Y64" s="335">
        <f t="shared" si="60"/>
        <v>9</v>
      </c>
      <c r="Z64" s="335">
        <f t="shared" si="61"/>
        <v>0</v>
      </c>
      <c r="AA64" s="335">
        <f t="shared" si="62"/>
        <v>0</v>
      </c>
      <c r="AB64" s="335">
        <f t="shared" si="63"/>
        <v>8</v>
      </c>
      <c r="AC64" s="335">
        <f t="shared" si="64"/>
        <v>0</v>
      </c>
      <c r="AD64" s="335">
        <f t="shared" si="65"/>
        <v>0</v>
      </c>
      <c r="AE64" s="335">
        <f t="shared" si="66"/>
        <v>0</v>
      </c>
      <c r="AF64" s="335">
        <f t="shared" si="67"/>
        <v>0</v>
      </c>
      <c r="AG64" s="335">
        <f t="shared" si="68"/>
        <v>0</v>
      </c>
      <c r="AH64" s="334">
        <f t="shared" si="70"/>
        <v>0</v>
      </c>
      <c r="AI64" s="334"/>
      <c r="AJ64" s="334"/>
      <c r="AK64" s="336"/>
    </row>
    <row r="65" spans="1:37">
      <c r="A65" s="149" t="s">
        <v>271</v>
      </c>
      <c r="B65" s="148"/>
      <c r="C65" s="148"/>
      <c r="D65" s="148"/>
      <c r="E65" s="148">
        <v>5</v>
      </c>
      <c r="F65" s="148"/>
      <c r="G65" s="148"/>
      <c r="H65" s="148"/>
      <c r="I65" s="148"/>
      <c r="J65" s="148">
        <v>5</v>
      </c>
      <c r="K65" s="148"/>
      <c r="L65" s="148"/>
      <c r="M65" s="148"/>
      <c r="N65" s="148"/>
      <c r="O65" s="148"/>
      <c r="P65" s="148"/>
      <c r="Q65" s="148">
        <f t="shared" si="71"/>
        <v>10</v>
      </c>
      <c r="R65" s="333" t="e">
        <f>'PPTO REDES ACUEDUCTO'!#REF!</f>
        <v>#REF!</v>
      </c>
      <c r="S65" s="333" t="e">
        <f>'PPTO REDES ACUEDUCTO'!#REF!</f>
        <v>#REF!</v>
      </c>
      <c r="T65" s="334">
        <f t="shared" si="69"/>
        <v>0</v>
      </c>
      <c r="U65" s="334">
        <f t="shared" si="56"/>
        <v>0</v>
      </c>
      <c r="V65" s="335">
        <f t="shared" si="57"/>
        <v>0</v>
      </c>
      <c r="W65" s="335">
        <f t="shared" si="58"/>
        <v>5</v>
      </c>
      <c r="X65" s="335">
        <f t="shared" si="59"/>
        <v>0</v>
      </c>
      <c r="Y65" s="335">
        <f t="shared" si="60"/>
        <v>0</v>
      </c>
      <c r="Z65" s="335">
        <f t="shared" si="61"/>
        <v>0</v>
      </c>
      <c r="AA65" s="335">
        <f t="shared" si="62"/>
        <v>0</v>
      </c>
      <c r="AB65" s="335">
        <f t="shared" si="63"/>
        <v>5</v>
      </c>
      <c r="AC65" s="335">
        <f t="shared" si="64"/>
        <v>0</v>
      </c>
      <c r="AD65" s="335">
        <f t="shared" si="65"/>
        <v>0</v>
      </c>
      <c r="AE65" s="335">
        <f t="shared" si="66"/>
        <v>0</v>
      </c>
      <c r="AF65" s="335">
        <f t="shared" si="67"/>
        <v>0</v>
      </c>
      <c r="AG65" s="335">
        <f t="shared" si="68"/>
        <v>0</v>
      </c>
      <c r="AH65" s="334">
        <f t="shared" si="70"/>
        <v>0</v>
      </c>
      <c r="AI65" s="334"/>
      <c r="AJ65" s="334"/>
      <c r="AK65" s="336"/>
    </row>
    <row r="66" spans="1:37">
      <c r="A66" s="147" t="s">
        <v>272</v>
      </c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>
        <f t="shared" si="71"/>
        <v>0</v>
      </c>
      <c r="R66" s="333"/>
      <c r="S66" s="333"/>
      <c r="T66" s="334">
        <f t="shared" si="69"/>
        <v>0</v>
      </c>
      <c r="U66" s="334">
        <f t="shared" si="56"/>
        <v>0</v>
      </c>
      <c r="V66" s="335">
        <f t="shared" si="57"/>
        <v>0</v>
      </c>
      <c r="W66" s="335">
        <f t="shared" si="58"/>
        <v>0</v>
      </c>
      <c r="X66" s="335">
        <f t="shared" si="59"/>
        <v>0</v>
      </c>
      <c r="Y66" s="335">
        <f t="shared" si="60"/>
        <v>0</v>
      </c>
      <c r="Z66" s="335">
        <f t="shared" si="61"/>
        <v>0</v>
      </c>
      <c r="AA66" s="335">
        <f t="shared" si="62"/>
        <v>0</v>
      </c>
      <c r="AB66" s="335">
        <f t="shared" si="63"/>
        <v>0</v>
      </c>
      <c r="AC66" s="335">
        <f t="shared" si="64"/>
        <v>0</v>
      </c>
      <c r="AD66" s="335">
        <f t="shared" si="65"/>
        <v>0</v>
      </c>
      <c r="AE66" s="335">
        <f t="shared" si="66"/>
        <v>0</v>
      </c>
      <c r="AF66" s="335">
        <f t="shared" si="67"/>
        <v>0</v>
      </c>
      <c r="AG66" s="335">
        <f t="shared" si="68"/>
        <v>0</v>
      </c>
      <c r="AH66" s="334">
        <f t="shared" si="70"/>
        <v>0</v>
      </c>
      <c r="AI66" s="334"/>
      <c r="AJ66" s="334"/>
      <c r="AK66" s="336"/>
    </row>
    <row r="67" spans="1:37">
      <c r="A67" s="153" t="s">
        <v>273</v>
      </c>
      <c r="B67" s="154"/>
      <c r="C67" s="154">
        <v>1</v>
      </c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>
        <f t="shared" si="71"/>
        <v>1</v>
      </c>
      <c r="R67" s="342"/>
      <c r="S67" s="342"/>
      <c r="T67" s="343">
        <f t="shared" si="69"/>
        <v>0</v>
      </c>
      <c r="U67" s="343">
        <f t="shared" si="56"/>
        <v>1</v>
      </c>
      <c r="V67" s="344">
        <f t="shared" si="57"/>
        <v>0</v>
      </c>
      <c r="W67" s="344">
        <f t="shared" si="58"/>
        <v>0</v>
      </c>
      <c r="X67" s="344">
        <f t="shared" si="59"/>
        <v>0</v>
      </c>
      <c r="Y67" s="344">
        <f t="shared" si="60"/>
        <v>0</v>
      </c>
      <c r="Z67" s="344">
        <f t="shared" si="61"/>
        <v>0</v>
      </c>
      <c r="AA67" s="344">
        <f t="shared" si="62"/>
        <v>0</v>
      </c>
      <c r="AB67" s="344">
        <f t="shared" si="63"/>
        <v>0</v>
      </c>
      <c r="AC67" s="344">
        <f t="shared" si="64"/>
        <v>0</v>
      </c>
      <c r="AD67" s="344">
        <f t="shared" si="65"/>
        <v>0</v>
      </c>
      <c r="AE67" s="344">
        <f t="shared" si="66"/>
        <v>0</v>
      </c>
      <c r="AF67" s="344">
        <f t="shared" si="67"/>
        <v>0</v>
      </c>
      <c r="AG67" s="344">
        <f t="shared" si="68"/>
        <v>0</v>
      </c>
      <c r="AH67" s="343">
        <f t="shared" si="70"/>
        <v>0</v>
      </c>
      <c r="AI67" s="343"/>
      <c r="AJ67" s="343"/>
      <c r="AK67" s="356"/>
    </row>
    <row r="68" spans="1:37">
      <c r="A68" s="155" t="s">
        <v>274</v>
      </c>
      <c r="B68" s="156">
        <v>2</v>
      </c>
      <c r="C68" s="156">
        <v>1</v>
      </c>
      <c r="D68" s="156"/>
      <c r="E68" s="156"/>
      <c r="F68" s="156"/>
      <c r="G68" s="156"/>
      <c r="H68" s="156"/>
      <c r="I68" s="156">
        <v>2</v>
      </c>
      <c r="J68" s="156">
        <v>9</v>
      </c>
      <c r="K68" s="156">
        <v>16</v>
      </c>
      <c r="L68" s="156">
        <v>13</v>
      </c>
      <c r="M68" s="156">
        <v>8</v>
      </c>
      <c r="N68" s="156">
        <v>8</v>
      </c>
      <c r="O68" s="156">
        <v>7</v>
      </c>
      <c r="P68" s="156">
        <v>30</v>
      </c>
      <c r="Q68" s="156">
        <f t="shared" si="71"/>
        <v>96</v>
      </c>
      <c r="R68" s="345" t="e">
        <f>'PPTO REDES ACUEDUCTO'!#REF!</f>
        <v>#REF!</v>
      </c>
      <c r="S68" s="345" t="e">
        <f>'PPTO REDES ACUEDUCTO'!#REF!</f>
        <v>#REF!</v>
      </c>
      <c r="T68" s="346">
        <f t="shared" si="69"/>
        <v>2</v>
      </c>
      <c r="U68" s="346">
        <f t="shared" si="56"/>
        <v>1</v>
      </c>
      <c r="V68" s="346">
        <f t="shared" si="57"/>
        <v>0</v>
      </c>
      <c r="W68" s="346">
        <f t="shared" si="58"/>
        <v>0</v>
      </c>
      <c r="X68" s="346">
        <f t="shared" si="59"/>
        <v>0</v>
      </c>
      <c r="Y68" s="346">
        <f t="shared" si="60"/>
        <v>0</v>
      </c>
      <c r="Z68" s="346">
        <f t="shared" si="61"/>
        <v>0</v>
      </c>
      <c r="AA68" s="346">
        <f t="shared" si="62"/>
        <v>2</v>
      </c>
      <c r="AB68" s="346">
        <f t="shared" si="63"/>
        <v>9</v>
      </c>
      <c r="AC68" s="346">
        <f t="shared" si="64"/>
        <v>16</v>
      </c>
      <c r="AD68" s="346">
        <f t="shared" si="65"/>
        <v>13</v>
      </c>
      <c r="AE68" s="346">
        <f t="shared" si="66"/>
        <v>8</v>
      </c>
      <c r="AF68" s="346">
        <f t="shared" si="67"/>
        <v>8</v>
      </c>
      <c r="AG68" s="346">
        <f t="shared" si="68"/>
        <v>7</v>
      </c>
      <c r="AH68" s="346">
        <f t="shared" si="70"/>
        <v>30</v>
      </c>
      <c r="AI68" s="346">
        <v>28</v>
      </c>
      <c r="AJ68" s="346">
        <v>12</v>
      </c>
      <c r="AK68" s="357">
        <v>15</v>
      </c>
    </row>
    <row r="69" spans="1:37">
      <c r="A69" s="151" t="s">
        <v>275</v>
      </c>
      <c r="B69" s="152">
        <v>19</v>
      </c>
      <c r="C69" s="152">
        <v>12</v>
      </c>
      <c r="D69" s="152"/>
      <c r="E69" s="152">
        <v>10</v>
      </c>
      <c r="F69" s="152"/>
      <c r="G69" s="152">
        <v>10</v>
      </c>
      <c r="H69" s="152"/>
      <c r="I69" s="152"/>
      <c r="J69" s="152"/>
      <c r="K69" s="152"/>
      <c r="L69" s="152"/>
      <c r="M69" s="152"/>
      <c r="N69" s="152"/>
      <c r="O69" s="152"/>
      <c r="P69" s="152"/>
      <c r="Q69" s="152">
        <f t="shared" si="71"/>
        <v>51</v>
      </c>
      <c r="R69" s="347" t="e">
        <f>'PPTO REDES ACUEDUCTO'!#REF!</f>
        <v>#REF!</v>
      </c>
      <c r="S69" s="347" t="e">
        <f>'PPTO REDES ACUEDUCTO'!#REF!</f>
        <v>#REF!</v>
      </c>
      <c r="T69" s="348">
        <f t="shared" si="69"/>
        <v>19</v>
      </c>
      <c r="U69" s="348">
        <f t="shared" si="56"/>
        <v>12</v>
      </c>
      <c r="V69" s="348">
        <f t="shared" si="57"/>
        <v>0</v>
      </c>
      <c r="W69" s="348">
        <f t="shared" si="58"/>
        <v>10</v>
      </c>
      <c r="X69" s="348">
        <f t="shared" si="59"/>
        <v>0</v>
      </c>
      <c r="Y69" s="348">
        <f t="shared" si="60"/>
        <v>10</v>
      </c>
      <c r="Z69" s="348">
        <f t="shared" si="61"/>
        <v>0</v>
      </c>
      <c r="AA69" s="348">
        <f t="shared" si="62"/>
        <v>0</v>
      </c>
      <c r="AB69" s="348">
        <f t="shared" si="63"/>
        <v>0</v>
      </c>
      <c r="AC69" s="348">
        <f t="shared" si="64"/>
        <v>0</v>
      </c>
      <c r="AD69" s="348">
        <f t="shared" si="65"/>
        <v>0</v>
      </c>
      <c r="AE69" s="348">
        <f t="shared" si="66"/>
        <v>0</v>
      </c>
      <c r="AF69" s="348">
        <f t="shared" si="67"/>
        <v>0</v>
      </c>
      <c r="AG69" s="348">
        <f t="shared" si="68"/>
        <v>0</v>
      </c>
      <c r="AH69" s="348">
        <f t="shared" si="70"/>
        <v>0</v>
      </c>
      <c r="AI69" s="348"/>
      <c r="AJ69" s="348"/>
      <c r="AK69" s="3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155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2D6BE172-ED7B-44ED-958A-4E7728D169A4}"/>
</file>

<file path=customXml/itemProps2.xml><?xml version="1.0" encoding="utf-8"?>
<ds:datastoreItem xmlns:ds="http://schemas.openxmlformats.org/officeDocument/2006/customXml" ds:itemID="{28D57DC8-0B1F-4988-8100-886CD55384D2}"/>
</file>

<file path=customXml/itemProps3.xml><?xml version="1.0" encoding="utf-8"?>
<ds:datastoreItem xmlns:ds="http://schemas.openxmlformats.org/officeDocument/2006/customXml" ds:itemID="{69D0DD6A-72D6-4A83-ACC2-DDC162D4BD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RES ALC ACTUAL F2-3</vt:lpstr>
      <vt:lpstr>RESUMEN PRESUPUESTO ESTIMADO</vt:lpstr>
      <vt:lpstr>PPTO REDES ACUEDUCTO</vt:lpstr>
      <vt:lpstr>Hoja1</vt:lpstr>
      <vt:lpstr>TUBERIAS</vt:lpstr>
      <vt:lpstr>LONGITUDES</vt:lpstr>
      <vt:lpstr>HIDRA. PURGAS. MACROS Y PILAS</vt:lpstr>
      <vt:lpstr>VALVULAS</vt:lpstr>
      <vt:lpstr>ACCESORIOS</vt:lpstr>
      <vt:lpstr>Concreto anclajes y cajas</vt:lpstr>
      <vt:lpstr>PPTO PASOS ESPCECIALES</vt:lpstr>
      <vt:lpstr>MEMORIAS CRUCES</vt:lpstr>
      <vt:lpstr>ESTRUCT VIADUCTOS</vt:lpstr>
      <vt:lpstr> PPTO OBRAS ELÉCTRICAS BT Y MT</vt:lpstr>
      <vt:lpstr>' PPTO OBRAS ELÉCTRICAS BT Y MT'!Área_de_impresión</vt:lpstr>
      <vt:lpstr>'MEMORIAS CRUCES'!Área_de_impresión</vt:lpstr>
      <vt:lpstr>'PPTO PASOS ESPCECIALES'!Área_de_impresión</vt:lpstr>
      <vt:lpstr>'PPTO REDES ACUEDUCTO'!Área_de_impresión</vt:lpstr>
      <vt:lpstr>'RESUMEN PRESUPUESTO ESTIMADO'!Área_de_impresión</vt:lpstr>
      <vt:lpstr>TUBERIAS!Área_de_impresión</vt:lpstr>
    </vt:vector>
  </TitlesOfParts>
  <Company>Windows XP Colossus Edition 2 Reloaded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OFERTA ECONOMICA</dc:title>
  <dc:creator>Colossus User</dc:creator>
  <cp:lastModifiedBy>GIOVANNY GOMEZ HENAO</cp:lastModifiedBy>
  <cp:lastPrinted>2019-09-19T20:14:59Z</cp:lastPrinted>
  <dcterms:created xsi:type="dcterms:W3CDTF">2010-08-19T21:02:45Z</dcterms:created>
  <dcterms:modified xsi:type="dcterms:W3CDTF">2019-09-19T20:40:20Z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